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0" yWindow="0" windowWidth="25200" windowHeight="11175" tabRatio="799" activeTab="0"/>
  </bookViews>
  <sheets>
    <sheet name="Rekapitulace stavby" sheetId="1" r:id="rId1"/>
    <sheet name="SO 1.1. - Vodovodní řad 11" sheetId="2" r:id="rId2"/>
    <sheet name="SO 2.1. - Vodovodní řad 12" sheetId="3" r:id="rId3"/>
    <sheet name="SO 4.1 Stoka H" sheetId="7" r:id="rId4"/>
    <sheet name="SO 4.2 Stoka H1" sheetId="8" r:id="rId5"/>
    <sheet name="SO 4.3 Vodovodní řad 14" sheetId="9" r:id="rId6"/>
    <sheet name="06 - Vedlejší a ostaní ná..." sheetId="6" r:id="rId7"/>
  </sheets>
  <externalReferences>
    <externalReference r:id="rId10"/>
  </externalReferences>
  <definedNames>
    <definedName name="_xlnm._FilterDatabase" localSheetId="6" hidden="1">'06 - Vedlejší a ostaní ná...'!$C$120:$K$169</definedName>
    <definedName name="_xlnm._FilterDatabase" localSheetId="1" hidden="1">'SO 1.1. - Vodovodní řad 11'!$C$128:$K$376</definedName>
    <definedName name="_xlnm._FilterDatabase" localSheetId="2" hidden="1">'SO 2.1. - Vodovodní řad 12'!$C$128:$K$414</definedName>
    <definedName name="_xlnm.Print_Area" localSheetId="6">'06 - Vedlejší a ostaní ná...'!$B$81:$J$170</definedName>
    <definedName name="_xlnm.Print_Area" localSheetId="0">'Rekapitulace stavby'!$B$81:$AP$105</definedName>
    <definedName name="_xlnm.Print_Area" localSheetId="1">'SO 1.1. - Vodovodní řad 11'!$B$81:$J$377</definedName>
    <definedName name="_xlnm.Print_Area" localSheetId="2">'SO 2.1. - Vodovodní řad 12'!$B$81:$J$415</definedName>
    <definedName name="_xlnm.Print_Area" localSheetId="3">'SO 4.1 Stoka H'!$B$81:$J$415</definedName>
    <definedName name="_xlnm.Print_Area" localSheetId="4">'SO 4.2 Stoka H1'!$B$81:$J$293</definedName>
    <definedName name="_xlnm.Print_Area" localSheetId="5">'SO 4.3 Vodovodní řad 14'!$B$81:$J$360</definedName>
    <definedName name="_xlnm.Print_Titles" localSheetId="0">'Rekapitulace stavby'!$92:$92</definedName>
    <definedName name="_xlnm.Print_Titles" localSheetId="1">'SO 1.1. - Vodovodní řad 11'!$128:$128</definedName>
    <definedName name="_xlnm.Print_Titles" localSheetId="2">'SO 2.1. - Vodovodní řad 12'!$128:$128</definedName>
    <definedName name="_xlnm.Print_Titles" localSheetId="6">'06 - Vedlejší a ostaní ná...'!$120:$120</definedName>
  </definedNames>
  <calcPr calcId="191029"/>
</workbook>
</file>

<file path=xl/sharedStrings.xml><?xml version="1.0" encoding="utf-8"?>
<sst xmlns="http://schemas.openxmlformats.org/spreadsheetml/2006/main" count="14533" uniqueCount="1569">
  <si>
    <t>Export Komplet</t>
  </si>
  <si>
    <t/>
  </si>
  <si>
    <t>2.0</t>
  </si>
  <si>
    <t>False</t>
  </si>
  <si>
    <t>{d2792205-63d7-4e10-8794-19eb203a0841}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</si>
  <si>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</si>
  <si>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</si>
  <si>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</si>
  <si>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</si>
  <si>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</si>
  <si>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</si>
  <si>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</si>
  <si>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</si>
  <si>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20180121</t>
  </si>
  <si>
    <t>Stavba:</t>
  </si>
  <si>
    <t>Kosmonosy, obnova vodovodu a kanalizace - 3. etapa</t>
  </si>
  <si>
    <t>KSO:</t>
  </si>
  <si>
    <t>CC-CZ:</t>
  </si>
  <si>
    <t>Místo:</t>
  </si>
  <si>
    <t>Kosmonosy</t>
  </si>
  <si>
    <t>Datum:</t>
  </si>
  <si>
    <t>2. 3. 2020</t>
  </si>
  <si>
    <t>Zadavatel:</t>
  </si>
  <si>
    <t>IČ:</t>
  </si>
  <si>
    <t>46356983</t>
  </si>
  <si>
    <t>Vodovody a kanalizace Mladá Boleslav, a.s.</t>
  </si>
  <si>
    <t>DIČ:</t>
  </si>
  <si>
    <t>CZ46356983</t>
  </si>
  <si>
    <t>Zhotovitel:</t>
  </si>
  <si>
    <t>Dle výběrového řízení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</si>
  <si>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</si>
  <si>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</si>
  <si>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</si>
  <si>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</si>
  <si>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</si>
  <si>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</si>
  <si>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</si>
  <si>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</si>
  <si>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</si>
  <si>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</si>
  <si>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</si>
  <si>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</si>
  <si>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</si>
  <si>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</si>
  <si>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</si>
  <si>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</si>
  <si>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</si>
  <si>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</si>
  <si>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</si>
  <si>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</si>
  <si>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</si>
  <si>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</si>
  <si>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</si>
  <si>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</si>
  <si>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</si>
  <si>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</si>
  <si>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</si>
  <si>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</si>
  <si>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</si>
  <si>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</si>
  <si>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</si>
  <si>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</si>
  <si>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</si>
  <si>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</si>
  <si>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</si>
  <si>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</si>
  <si>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</si>
  <si>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</si>
  <si>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</si>
  <si>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</si>
  <si>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</si>
  <si>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</si>
  <si>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</si>
  <si>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</si>
  <si>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</si>
  <si>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</si>
  <si>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</si>
  <si>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</si>
  <si>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</si>
  <si>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</si>
  <si>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</si>
  <si>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</si>
  <si>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SO 01</t>
  </si>
  <si>
    <t>Ulice Sadová</t>
  </si>
  <si>
    <t>STA</t>
  </si>
  <si>
    <t>1</t>
  </si>
  <si>
    <t>{0ea54c39-a89e-4170-86c6-4f694f8dadeb}</t>
  </si>
  <si>
    <t>2</t>
  </si>
  <si>
    <t>/</t>
  </si>
  <si>
    <t>SO 1.1.</t>
  </si>
  <si>
    <t>Vodovodní řad 11</t>
  </si>
  <si>
    <t>Soupis</t>
  </si>
  <si>
    <t>{db38f527-7a86-433f-945c-57c5b80b4085}</t>
  </si>
  <si>
    <t>SO 02</t>
  </si>
  <si>
    <t>Ulice Bradlecká</t>
  </si>
  <si>
    <t>{3cb06bd6-808b-4d08-8258-c615f72e3ec4}</t>
  </si>
  <si>
    <t>SO 2.1.</t>
  </si>
  <si>
    <t>Vodovodní řad 12</t>
  </si>
  <si>
    <t>{f57be4f9-7c45-4b41-8c2c-bf623d48ec98}</t>
  </si>
  <si>
    <t>{acbe86d4-3059-4452-a778-e986185458bb}</t>
  </si>
  <si>
    <t>{c2c3b566-08b4-4b60-9118-5f6e2c4aa1e9}</t>
  </si>
  <si>
    <t>{35d304ba-c25d-464d-97f4-737066bf5461}</t>
  </si>
  <si>
    <t>06</t>
  </si>
  <si>
    <t>Vedlejší a ostaní náklady</t>
  </si>
  <si>
    <t>{5c0f177b-719b-4057-888c-9eb575b431f6}</t>
  </si>
  <si>
    <t>KRYCÍ LIST SOUPISU PRACÍ</t>
  </si>
  <si>
    <t>Objekt:</t>
  </si>
  <si>
    <t>SO 01 - Ulice Sadová</t>
  </si>
  <si>
    <t>Soupis:</t>
  </si>
  <si>
    <t>SO 1.1. - Vodovodní řad 11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</si>
  <si>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</si>
  <si>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</si>
  <si>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</si>
  <si>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</si>
  <si>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</si>
  <si>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</si>
  <si>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</si>
  <si>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</si>
  <si>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</si>
  <si>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</si>
  <si>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</si>
  <si>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</si>
  <si>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</si>
  <si>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</si>
  <si>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</si>
  <si>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</si>
  <si>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</si>
  <si>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</si>
  <si>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</si>
  <si>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</si>
  <si>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</si>
  <si>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</si>
  <si>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</si>
  <si>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</si>
  <si>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</si>
  <si>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</si>
  <si>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</si>
  <si>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</si>
  <si>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</si>
  <si>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</si>
  <si>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</si>
  <si>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</si>
  <si>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</si>
  <si>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</si>
  <si>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</si>
  <si>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2019 01</t>
  </si>
  <si>
    <t>4</t>
  </si>
  <si>
    <t>703460329</t>
  </si>
  <si>
    <t>VV</t>
  </si>
  <si>
    <t>2,1*1,5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</si>
  <si>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</si>
  <si>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</si>
  <si>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-1883225935</t>
  </si>
  <si>
    <t>P</t>
  </si>
  <si>
    <t>Poznámka k položce:
hmotnost sutě 0,58 t/m2</t>
  </si>
  <si>
    <t>výkres D.3.1.</t>
  </si>
  <si>
    <t>délky dle tabulky kubatur</t>
  </si>
  <si>
    <t>190,19*1,1"místní asf</t>
  </si>
  <si>
    <t>2,1*1,1 "dlažba</t>
  </si>
  <si>
    <t>Součet</t>
  </si>
  <si>
    <t>3</t>
  </si>
  <si>
    <t>190,19*2,1 "místní asf</t>
  </si>
  <si>
    <t>113154365-R</t>
  </si>
  <si>
    <t>Frézování živičného podkladu nebo krytu  s naložením na dopravní prostředek plochy přes 1 000 do 10 000 m2 s překážkami v trase pruhu šířky přes 1 m do 2 m, tloušťky vrstvy 150 mm</t>
  </si>
  <si>
    <t>31561390</t>
  </si>
  <si>
    <t>Poznámka k položce:
hmotnost sutě 0,384 t/m2</t>
  </si>
  <si>
    <t>výkres D.5.1.</t>
  </si>
  <si>
    <t>125,70*(1,1+0,25+0,25) "místní asf</t>
  </si>
  <si>
    <t>5</t>
  </si>
  <si>
    <t>113204111</t>
  </si>
  <si>
    <t>Vytrhání obrub  s vybouráním lože, s přemístěním hmot na skládku na vzdálenost do 3 m nebo s naložením na dopravní prostředek záhonových</t>
  </si>
  <si>
    <t>m</t>
  </si>
  <si>
    <t>331180569</t>
  </si>
  <si>
    <t>4*2*3,0</t>
  </si>
  <si>
    <t>6</t>
  </si>
  <si>
    <t>115101201</t>
  </si>
  <si>
    <t>Čerpání vody na dopravní výšku do 10 m s uvažovaným průměrným přítokem do 500 l/min</t>
  </si>
  <si>
    <t>hod</t>
  </si>
  <si>
    <t>-1487776089</t>
  </si>
  <si>
    <t>Poznámka k položce:
Předpoklad rychlosti výstavby 10,0 m/den</t>
  </si>
  <si>
    <t>50,0</t>
  </si>
  <si>
    <t>7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</si>
  <si>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</si>
  <si>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</t>
  </si>
  <si>
    <t>-2089671729</t>
  </si>
  <si>
    <t>výkres D.2.1</t>
  </si>
  <si>
    <t>4*1,10</t>
  </si>
  <si>
    <t>8</t>
  </si>
  <si>
    <t>119001421</t>
  </si>
  <si>
    <t>1830337196</t>
  </si>
  <si>
    <t>1*1,10</t>
  </si>
  <si>
    <t>9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</si>
  <si>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</si>
  <si>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</si>
  <si>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</si>
  <si>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1902682283</t>
  </si>
  <si>
    <t>55,27*1,1*0,2</t>
  </si>
  <si>
    <t>10</t>
  </si>
  <si>
    <t>130001101</t>
  </si>
  <si>
    <t>Příplatek k cenám hloubených vykopávek za ztížení vykopávky  v blízkosti podzemního vedení nebo výbušnin pro jakoukoliv třídu horniny</t>
  </si>
  <si>
    <t>-1242944909</t>
  </si>
  <si>
    <t>(4+1)*2*0,5*1,10*1,84</t>
  </si>
  <si>
    <t>11</t>
  </si>
  <si>
    <t>132201204</t>
  </si>
  <si>
    <t>Hloubení zapažených i nezapažených rýh šířky přes 600 do 2 000 mm  s urovnáním dna do předepsaného profilu a spádu v hornině tř. 3 přes 5 000 m3</t>
  </si>
  <si>
    <t>1922691063</t>
  </si>
  <si>
    <t>výkres D.3.1</t>
  </si>
  <si>
    <t>dle tabulky kubatur</t>
  </si>
  <si>
    <t>403,56</t>
  </si>
  <si>
    <t>12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</si>
  <si>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</si>
  <si>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</si>
  <si>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-129513308</t>
  </si>
  <si>
    <t>Poznámka k položce:
příplatek 30%</t>
  </si>
  <si>
    <t>403,56*0,3 'Přepočtené koeficientem množství</t>
  </si>
  <si>
    <t>13</t>
  </si>
  <si>
    <t>151811131</t>
  </si>
  <si>
    <t>Zřízení pažicích boxů pro pažení a rozepření stěn rýh podzemního vedení hloubka výkopu do 4 m, šířka do 1,2 m</t>
  </si>
  <si>
    <t>1264154054</t>
  </si>
  <si>
    <t>926,89</t>
  </si>
  <si>
    <t>14</t>
  </si>
  <si>
    <t>151811231</t>
  </si>
  <si>
    <t>Odstranění pažicích boxů pro pažení a rozepření stěn rýh podzemního vedení hloubka výkopu do 4 m, šířka do 1,2 m</t>
  </si>
  <si>
    <t>-1147120020</t>
  </si>
  <si>
    <t>926,89 "dle pol. osazení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</si>
  <si>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</si>
  <si>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</si>
  <si>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1185306788</t>
  </si>
  <si>
    <t>Poznámka k položce:
Procento svislého podílu dle úvodu ceníku 001 zemní práce kapitola 8 
- v množství výkopku rýhy přes 100  m3 50 % z celkového výkopku</t>
  </si>
  <si>
    <t>dle položek hloubení rýh tř. 3</t>
  </si>
  <si>
    <t>403,56*0,5</t>
  </si>
  <si>
    <t>16</t>
  </si>
  <si>
    <t>162401102-R</t>
  </si>
  <si>
    <t>Mezideponie výkopku/sypaniny z horniny tř. 1 až 4</t>
  </si>
  <si>
    <t>-879396284</t>
  </si>
  <si>
    <t>- přesun výkopku na mezideponiii  a zpět</t>
  </si>
  <si>
    <t>- naložení výkopku na mezideponii</t>
  </si>
  <si>
    <t>- dle tabulky kubatur</t>
  </si>
  <si>
    <t>17</t>
  </si>
  <si>
    <t>162701105-R</t>
  </si>
  <si>
    <t>Likvidace přebytečné zeminy v souladu s platnou legislativou o odpadech</t>
  </si>
  <si>
    <t>-753661974</t>
  </si>
  <si>
    <t xml:space="preserve">- vodorovný přesun sypaniny </t>
  </si>
  <si>
    <t>- poplatek za uložení</t>
  </si>
  <si>
    <t>- skládku si určí dodavatel dle svých zvyklostí</t>
  </si>
  <si>
    <t>18</t>
  </si>
  <si>
    <t>174201101</t>
  </si>
  <si>
    <t>Zásyp sypaninou z jakékoliv horniny  s uložením výkopku ve vrstvách bez zhutnění jam, šachet, rýh nebo kolem objektů v těchto vykopávkách</t>
  </si>
  <si>
    <t>-1888148519</t>
  </si>
  <si>
    <t>0,8*0,8*1,8 "zásyp A60</t>
  </si>
  <si>
    <t>19</t>
  </si>
  <si>
    <t>M</t>
  </si>
  <si>
    <t>58331202-R</t>
  </si>
  <si>
    <t>zemina vhodná ke zhutnění pro dosažení projektem požadovaných parametrů Edef2, kterou zakoupí dodavatel, případně kamenivo drcené frakce 0-63</t>
  </si>
  <si>
    <t>t</t>
  </si>
  <si>
    <t>-2058706090</t>
  </si>
  <si>
    <t>Poznámka k položce:
Hmotnost 2 t/m3</t>
  </si>
  <si>
    <t>20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</si>
  <si>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</si>
  <si>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</si>
  <si>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223243186</t>
  </si>
  <si>
    <t>62,87</t>
  </si>
  <si>
    <t>58337310</t>
  </si>
  <si>
    <t>štěrkopísek frakce 0/4</t>
  </si>
  <si>
    <t>-994057119</t>
  </si>
  <si>
    <t>62,87*2 'Přepočtené koeficientem množství</t>
  </si>
  <si>
    <t>22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</si>
  <si>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</si>
  <si>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</si>
  <si>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-390480299</t>
  </si>
  <si>
    <t>55,27*2,0</t>
  </si>
  <si>
    <t>23</t>
  </si>
  <si>
    <t>181301103</t>
  </si>
  <si>
    <t>Rozprostření a urovnání ornice v rovině nebo ve svahu sklonu do 1:5 při souvislé ploše do 500 m2, tl. vrstvy přes 150 do 200 mm</t>
  </si>
  <si>
    <t>-633910999</t>
  </si>
  <si>
    <t>55,27*1,1</t>
  </si>
  <si>
    <t>24</t>
  </si>
  <si>
    <t>181411121</t>
  </si>
  <si>
    <t>Založení trávníku na půdě předem připravené plochy do 1000 m2 výsevem včetně utažení lučního v rovině nebo na svahu do 1:5</t>
  </si>
  <si>
    <t>172766002</t>
  </si>
  <si>
    <t>výkres D.4.1.</t>
  </si>
  <si>
    <t>110,54+60,797</t>
  </si>
  <si>
    <t>25</t>
  </si>
  <si>
    <t>00572470</t>
  </si>
  <si>
    <t>osivo směs travní univerzál</t>
  </si>
  <si>
    <t>kg</t>
  </si>
  <si>
    <t>1026914566</t>
  </si>
  <si>
    <t>171,337*0,02</t>
  </si>
  <si>
    <t>Vodorovné konstrukce</t>
  </si>
  <si>
    <t>26</t>
  </si>
  <si>
    <t>451572111</t>
  </si>
  <si>
    <t>Lože pod potrubí, stoky a drobné objekty v otevřeném výkopu z kameniva drobného těženého 0 až 4 mm</t>
  </si>
  <si>
    <t>715015983</t>
  </si>
  <si>
    <t>41,51</t>
  </si>
  <si>
    <t>27</t>
  </si>
  <si>
    <t>452111111</t>
  </si>
  <si>
    <t>Osazení betonových dílců pražců pod potrubí v otevřeném výkopu, průřezové plochy do 25000 mm2</t>
  </si>
  <si>
    <t>kus</t>
  </si>
  <si>
    <t>-1950148394</t>
  </si>
  <si>
    <t>28</t>
  </si>
  <si>
    <t>5922826620</t>
  </si>
  <si>
    <t>kostka betonová min. rozměr 200x200x50</t>
  </si>
  <si>
    <t>-1087457933</t>
  </si>
  <si>
    <t>29</t>
  </si>
  <si>
    <t>452313151</t>
  </si>
  <si>
    <t>Podkladní a zajišťovací konstrukce z betonu prostého v otevřeném výkopu bloky pro potrubí z betonu tř. C 20/25</t>
  </si>
  <si>
    <t>266707467</t>
  </si>
  <si>
    <t>výkres D.4.1</t>
  </si>
  <si>
    <t>3*0,2*0,8*0,25 "OB 1</t>
  </si>
  <si>
    <t>2*0,3*0,3*0,25 "OB 2</t>
  </si>
  <si>
    <t>1*0,3*0,55*0,4 "OB 3</t>
  </si>
  <si>
    <t>Komunikace pozemní</t>
  </si>
  <si>
    <t>30</t>
  </si>
  <si>
    <t>564831111</t>
  </si>
  <si>
    <t>Podklad ze štěrkodrti ŠD  s rozprostřením a zhutněním, po zhutnění tl. 100 mm</t>
  </si>
  <si>
    <t>provizorní kryt</t>
  </si>
  <si>
    <t>(190,19+4,02)*1,1</t>
  </si>
  <si>
    <t>31</t>
  </si>
  <si>
    <t>32</t>
  </si>
  <si>
    <t>564871116-R</t>
  </si>
  <si>
    <t>Podklad ze štěrkodrti ŠD  s rozprostřením a zhutněním, po zhutnění tl. 340 mm</t>
  </si>
  <si>
    <t>821164728</t>
  </si>
  <si>
    <t>33</t>
  </si>
  <si>
    <t>bude použit recyklát vzniklý z frézování původní asfaltové komunikace</t>
  </si>
  <si>
    <t>34</t>
  </si>
  <si>
    <t>565136111</t>
  </si>
  <si>
    <t>Asfaltový beton vrstva podkladní ACP 22 (obalované kamenivo hrubozrnné - OKH)  s rozprostřením a zhutněním v pruhu šířky do 3 m, po zhutnění tl. 50 mm</t>
  </si>
  <si>
    <t>-1744810822</t>
  </si>
  <si>
    <t>35</t>
  </si>
  <si>
    <t>573111112</t>
  </si>
  <si>
    <t>Postřik infiltrační PI z asfaltu silničního s posypem kamenivem, v množství 1,00 kg/m2</t>
  </si>
  <si>
    <t>624188016</t>
  </si>
  <si>
    <t>36</t>
  </si>
  <si>
    <t>573211109</t>
  </si>
  <si>
    <t>Postřik spojovací PS bez posypu kamenivem z asfaltu silničního, v množství 0,50 kg/m2</t>
  </si>
  <si>
    <t>1325357206</t>
  </si>
  <si>
    <t>4,02*1,1</t>
  </si>
  <si>
    <t>37</t>
  </si>
  <si>
    <t>577144111</t>
  </si>
  <si>
    <t>Asfaltový beton vrstva obrusná ACO 11 (ABS)  s rozprostřením a se zhutněním z nemodifikovaného asfaltu v pruhu šířky do 3 m tř. I, po zhutnění tl. 50 mm</t>
  </si>
  <si>
    <t>-1922194802</t>
  </si>
  <si>
    <t>40,2*1,1</t>
  </si>
  <si>
    <t>38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</si>
  <si>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</si>
  <si>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</si>
  <si>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1531066677</t>
  </si>
  <si>
    <t>z rozebrané dlažby</t>
  </si>
  <si>
    <t>Trubní vedení</t>
  </si>
  <si>
    <t>39</t>
  </si>
  <si>
    <t>850245121</t>
  </si>
  <si>
    <t>Výřez nebo výsek  na potrubí z trub litinových tlakových nebo plasických hmot DN 80</t>
  </si>
  <si>
    <t>-823975835</t>
  </si>
  <si>
    <t>40</t>
  </si>
  <si>
    <t>851241131</t>
  </si>
  <si>
    <t>Montáž potrubí z trub litinových tlakových hrdlových  v otevřeném výkopu s integrovaným těsněním DN 80</t>
  </si>
  <si>
    <t>704348504</t>
  </si>
  <si>
    <t>251,58</t>
  </si>
  <si>
    <t>41</t>
  </si>
  <si>
    <t>552530008</t>
  </si>
  <si>
    <t>trouba vodovodní litinová hrdlová 6 m DN 80 mm</t>
  </si>
  <si>
    <t>1080539485</t>
  </si>
  <si>
    <t>specifikace viz technické podmínky</t>
  </si>
  <si>
    <t>42</t>
  </si>
  <si>
    <t>857241131</t>
  </si>
  <si>
    <t>Montáž litinových tvarovek na potrubí litinovém tlakovém jednoosých na potrubí z trub hrdlových v otevřeném výkopu, kanálu nebo v šachtě s integrovaným těsněním DN 80</t>
  </si>
  <si>
    <t>-1669823522</t>
  </si>
  <si>
    <t>1+1+1</t>
  </si>
  <si>
    <t>43</t>
  </si>
  <si>
    <t>55253940</t>
  </si>
  <si>
    <t>koleno hrdlové z tvárné litiny,práškový epoxid tl 250µm MMK-kus DN 80-45°</t>
  </si>
  <si>
    <t>246794295</t>
  </si>
  <si>
    <t>44</t>
  </si>
  <si>
    <t>55253928</t>
  </si>
  <si>
    <t>koleno hrdlové z tvárné litiny,práškový epoxid tl 250µm MMK-kus DN 80-30°</t>
  </si>
  <si>
    <t>2123606955</t>
  </si>
  <si>
    <t>45</t>
  </si>
  <si>
    <t>55253916</t>
  </si>
  <si>
    <t>koleno hrdlové z tvárné litiny,práškový epoxid tl 250µm MMK-kus DN 80-22,5°</t>
  </si>
  <si>
    <t>1665730008</t>
  </si>
  <si>
    <t>46</t>
  </si>
  <si>
    <t>857242122</t>
  </si>
  <si>
    <t>Montáž litinových tvarovek na potrubí litinovém tlakovém jednoosých na potrubí z trub přírubových v otevřeném výkopu, kanálu nebo v šachtě DN 80</t>
  </si>
  <si>
    <t>670537935</t>
  </si>
  <si>
    <t>2+2+1+1</t>
  </si>
  <si>
    <t>47</t>
  </si>
  <si>
    <t>HWL.505008020016</t>
  </si>
  <si>
    <t>KOLENO PATNÍ PŘÍRUBOVÉ DLOUHÉ 80</t>
  </si>
  <si>
    <t>-217118533</t>
  </si>
  <si>
    <t>48</t>
  </si>
  <si>
    <t>HWL.854008000016</t>
  </si>
  <si>
    <t>TVAROVKA OBLOUK 45° 80</t>
  </si>
  <si>
    <t>-64892801</t>
  </si>
  <si>
    <t>49</t>
  </si>
  <si>
    <t>HWL.853008000016</t>
  </si>
  <si>
    <t>TVAROVKA OBLOUK 90° 80</t>
  </si>
  <si>
    <t>-1579512983</t>
  </si>
  <si>
    <t>50</t>
  </si>
  <si>
    <t>HWL.850008050016</t>
  </si>
  <si>
    <t>TVAROVKA FF KUS 80/500</t>
  </si>
  <si>
    <t>1951450448</t>
  </si>
  <si>
    <t>51</t>
  </si>
  <si>
    <t>857251151</t>
  </si>
  <si>
    <t>Montáž litinových tvarovek na potrubí litinovém tlakovém jednoosých na potrubí z trub hrdlových v otevřeném výkopu, kanálu nebo v šachtě s přírubovým koncem vnějšího průměru DE 90</t>
  </si>
  <si>
    <t>-586377166</t>
  </si>
  <si>
    <t>52</t>
  </si>
  <si>
    <t>55251186</t>
  </si>
  <si>
    <t>tvarovka přírubová s hrdlem E, PN 10-16 DN 90/příruba DN 80</t>
  </si>
  <si>
    <t>-256794647</t>
  </si>
  <si>
    <t>53</t>
  </si>
  <si>
    <t>857253151</t>
  </si>
  <si>
    <t>Montáž litinových tvarovek na potrubí litinovém tlakovém odbočných na potrubí z trub hrdlových v otevřeném výkopu, kanálu nebo v šachtě s přírubovým koncem vnějšího průměru DE 90</t>
  </si>
  <si>
    <t>-924321435</t>
  </si>
  <si>
    <t>54</t>
  </si>
  <si>
    <t>55251211</t>
  </si>
  <si>
    <t>tvarovka hrdlová s přírubovou odbočkou A, PN 10-16 DN 90/odbočka DN 80</t>
  </si>
  <si>
    <t>-912701973</t>
  </si>
  <si>
    <t>55</t>
  </si>
  <si>
    <t>871161211</t>
  </si>
  <si>
    <t>Montáž vodovodního potrubí z plastů v otevřeném výkopu z polyetylenu PE 100 svařovaných elektrotvarovkou SDR 11/PN16 D 32 x 3,0 mm</t>
  </si>
  <si>
    <t>-336750336</t>
  </si>
  <si>
    <t>8,0</t>
  </si>
  <si>
    <t>56</t>
  </si>
  <si>
    <t>2861359532</t>
  </si>
  <si>
    <t xml:space="preserve">potrubí  PE100  SDR 11 32x3,0 </t>
  </si>
  <si>
    <t>-1450378476</t>
  </si>
  <si>
    <t>57</t>
  </si>
  <si>
    <t>871241221</t>
  </si>
  <si>
    <t>Montáž vodovodního potrubí z plastů v otevřeném výkopu z polyetylenu PE 100 svařovaných elektrotvarovkou SDR 17/PN10 D 90 x 5,4 mm</t>
  </si>
  <si>
    <t>2074482426</t>
  </si>
  <si>
    <t>výkres D.3.2</t>
  </si>
  <si>
    <t>4*1,0</t>
  </si>
  <si>
    <t>58</t>
  </si>
  <si>
    <t>28613129</t>
  </si>
  <si>
    <t>potrubí vodovodní PE100 PN 10 SDR17 6m 12m 100m 90x5,4mm</t>
  </si>
  <si>
    <t>-1134837748</t>
  </si>
  <si>
    <t>59</t>
  </si>
  <si>
    <t>871251221-R</t>
  </si>
  <si>
    <t>Provizorní zakrytí vrchu zemní soupravy uzávěru</t>
  </si>
  <si>
    <t>ks</t>
  </si>
  <si>
    <t>-1150565892</t>
  </si>
  <si>
    <t>montáž včetně materiálu</t>
  </si>
  <si>
    <t>-např. sek PE 110 + záslepka</t>
  </si>
  <si>
    <t>60</t>
  </si>
  <si>
    <t>890311851</t>
  </si>
  <si>
    <t>Bourání šachet strojně velikosti obestavěného prostoru do 1,5 m3 ze železobetonu</t>
  </si>
  <si>
    <t>339599393</t>
  </si>
  <si>
    <t>Poznámka k položce:
hmotnost sutě 1,92 t/m3</t>
  </si>
  <si>
    <t>ubourání stávající AŠ A60</t>
  </si>
  <si>
    <t>0,8*0,8*1,0</t>
  </si>
  <si>
    <t>61</t>
  </si>
  <si>
    <t>891173111</t>
  </si>
  <si>
    <t>Montáž vodovodních armatur na potrubí ventilů hlavních pro přípojky DN 32</t>
  </si>
  <si>
    <t>-1729900307</t>
  </si>
  <si>
    <t>62</t>
  </si>
  <si>
    <t>250005400016</t>
  </si>
  <si>
    <t>Domovní šoupátko 32/1 1/4“</t>
  </si>
  <si>
    <t>444847329</t>
  </si>
  <si>
    <t>63</t>
  </si>
  <si>
    <t>960113018004</t>
  </si>
  <si>
    <t>SOUPRAVA ZEMNÍ TELESKOPICKÁ DOM. ŠOUPÁTKA</t>
  </si>
  <si>
    <t>KS</t>
  </si>
  <si>
    <t>1511321241</t>
  </si>
  <si>
    <t>64</t>
  </si>
  <si>
    <t>891173111-R</t>
  </si>
  <si>
    <t>Montáž vodovodních armatur na potrubí propojení potrubí přípojky DN 32</t>
  </si>
  <si>
    <t>-1858298169</t>
  </si>
  <si>
    <t>65</t>
  </si>
  <si>
    <t>2.1.100.322</t>
  </si>
  <si>
    <t>Isiflo spojka přímá, rozměr 32x32</t>
  </si>
  <si>
    <t>-1737930386</t>
  </si>
  <si>
    <t>66</t>
  </si>
  <si>
    <t>891181811</t>
  </si>
  <si>
    <t>Demontáž vodovodních armatur na potrubí šoupátek nebo klapek uzavíracích v otevřeném výkopu nebo v šachtách DN 40</t>
  </si>
  <si>
    <t>-524867197</t>
  </si>
  <si>
    <t>Demontáž domovních šoupátek včetně zemních souprav a poklopů</t>
  </si>
  <si>
    <t>67</t>
  </si>
  <si>
    <t>891241112</t>
  </si>
  <si>
    <t>Montáž vodovodních armatur na potrubí šoupátek nebo klapek uzavíracích v otevřeném výkopu nebo v šachtách s osazením zemní soupravy (bez poklopů) DN 80</t>
  </si>
  <si>
    <t>1660542353</t>
  </si>
  <si>
    <t>68</t>
  </si>
  <si>
    <t>950108000003</t>
  </si>
  <si>
    <t>SOUPRAVA ZEMNÍ TELESKOPICKÁ E1/A-1,3 -1,8 65-80 E1/80 A (1,3-1,8m)</t>
  </si>
  <si>
    <t>365400022</t>
  </si>
  <si>
    <t>69</t>
  </si>
  <si>
    <t>400108000016</t>
  </si>
  <si>
    <t>ŠOUPĚ PŘÍRUBOVÉ KRÁTKÉ E1 CZ 80</t>
  </si>
  <si>
    <t>-1235168171</t>
  </si>
  <si>
    <t>70</t>
  </si>
  <si>
    <t>891241811</t>
  </si>
  <si>
    <t>Demontáž vodovodních armatur na potrubí šoupátek nebo klapek uzavíracích v otevřeném výkopu nebo v šachtách DN 80</t>
  </si>
  <si>
    <t>1717361955</t>
  </si>
  <si>
    <t>2 "šoupátka</t>
  </si>
  <si>
    <t>1 "hydrant</t>
  </si>
  <si>
    <t>71</t>
  </si>
  <si>
    <t>891243321</t>
  </si>
  <si>
    <t>Montáž vodovodních armatur na potrubí ventilů odvzdušňovacích nebo zavzdušňovacích mechanických a plovákových přírubových na venkovních řadech DN 80</t>
  </si>
  <si>
    <t>-809614874</t>
  </si>
  <si>
    <t>72</t>
  </si>
  <si>
    <t>HWL.983508000006</t>
  </si>
  <si>
    <t>VENTIL ODVZDUŠŇOVACÍ DVOJČINNÝ PN 0,2-6 80</t>
  </si>
  <si>
    <t>602711699</t>
  </si>
  <si>
    <t>73</t>
  </si>
  <si>
    <t>891247111</t>
  </si>
  <si>
    <t>Montáž vodovodních armatur na potrubí hydrantů podzemních (bez osazení poklopů) DN 80</t>
  </si>
  <si>
    <t>CS ÚRS 2018 01</t>
  </si>
  <si>
    <t>1604343693</t>
  </si>
  <si>
    <t>výkres D.6.5.2</t>
  </si>
  <si>
    <t>bude osazen demontovaný hydrant</t>
  </si>
  <si>
    <t>74</t>
  </si>
  <si>
    <t>42273589</t>
  </si>
  <si>
    <t>hydrant podzemní DN 80 PN 16 jednoduchý uzávěr krycí v 1000mm</t>
  </si>
  <si>
    <t>1513075528</t>
  </si>
  <si>
    <t>75</t>
  </si>
  <si>
    <t>891249111</t>
  </si>
  <si>
    <t>Montáž vodovodních armatur na potrubí navrtávacích pasů s ventilem Jt 1 MPa, na potrubí z trub litinových, ocelových nebo plastických hmot DN 80</t>
  </si>
  <si>
    <t>-1356909452</t>
  </si>
  <si>
    <t>76</t>
  </si>
  <si>
    <t>42271412</t>
  </si>
  <si>
    <t>pás navrtávací z tvárné litiny DN 80mm, rozsah (88-99), odbočky 1",5/4",6/4",2"</t>
  </si>
  <si>
    <t>-2059464784</t>
  </si>
  <si>
    <t>77</t>
  </si>
  <si>
    <t>892273122</t>
  </si>
  <si>
    <t>Proplach a dezinfekce vodovodního potrubí DN od 80 do 125</t>
  </si>
  <si>
    <t>600357825</t>
  </si>
  <si>
    <t>78</t>
  </si>
  <si>
    <t>892372111</t>
  </si>
  <si>
    <t>Tlakové zkoušky vodou zabezpečení konců potrubí při tlakových zkouškách DN do 300</t>
  </si>
  <si>
    <t>-1531052311</t>
  </si>
  <si>
    <t>79</t>
  </si>
  <si>
    <t>899401112</t>
  </si>
  <si>
    <t>Osazení poklopů litinových šoupátkových</t>
  </si>
  <si>
    <t>-1642595195</t>
  </si>
  <si>
    <t>80</t>
  </si>
  <si>
    <t>16500000000325</t>
  </si>
  <si>
    <t xml:space="preserve">POKLOP </t>
  </si>
  <si>
    <t>-1333569407</t>
  </si>
  <si>
    <t>81</t>
  </si>
  <si>
    <t>82</t>
  </si>
  <si>
    <t>899401113</t>
  </si>
  <si>
    <t>Osazení poklopů litinových hydrantových</t>
  </si>
  <si>
    <t>19704269</t>
  </si>
  <si>
    <t>bude osazen demontovaný poklop včetně podkladové desky</t>
  </si>
  <si>
    <t>83</t>
  </si>
  <si>
    <t>KSI.KVH01</t>
  </si>
  <si>
    <t>572879976</t>
  </si>
  <si>
    <t>84</t>
  </si>
  <si>
    <t>HWL.348200000000</t>
  </si>
  <si>
    <t>PODKLAD. DESKA  POD HYDRANT.POKLOP</t>
  </si>
  <si>
    <t>-1530918680</t>
  </si>
  <si>
    <t>85</t>
  </si>
  <si>
    <t>HWL.179000000000</t>
  </si>
  <si>
    <t>POKLOP ODVZDUŠŇOVACÍ HYDRANTY</t>
  </si>
  <si>
    <t>1855233820</t>
  </si>
  <si>
    <t>86</t>
  </si>
  <si>
    <t>899722113</t>
  </si>
  <si>
    <t>Krytí potrubí z plastů výstražnou fólií z PVC šířky 34cm</t>
  </si>
  <si>
    <t>598168295</t>
  </si>
  <si>
    <t>87</t>
  </si>
  <si>
    <t>899913103-R</t>
  </si>
  <si>
    <t>Příplatek za nerezové šrouby a bandáže přírubových spojů DN 80</t>
  </si>
  <si>
    <t>-1692373891</t>
  </si>
  <si>
    <t>včetně materiálu</t>
  </si>
  <si>
    <t>Ostatní konstrukce a práce, bourání</t>
  </si>
  <si>
    <t>88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</si>
  <si>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</si>
  <si>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</si>
  <si>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-351979214</t>
  </si>
  <si>
    <t>89</t>
  </si>
  <si>
    <t>59217008</t>
  </si>
  <si>
    <t>obrubník betonový parkový 1000x80x200mm</t>
  </si>
  <si>
    <t>1790027514</t>
  </si>
  <si>
    <t>90</t>
  </si>
  <si>
    <t>919735123</t>
  </si>
  <si>
    <t>Řezání stávajícího betonového krytu nebo podkladu  hloubky přes 100 do 150 mm</t>
  </si>
  <si>
    <t>22309165</t>
  </si>
  <si>
    <t>2*4,02</t>
  </si>
  <si>
    <t>997</t>
  </si>
  <si>
    <t>Přesun sutě</t>
  </si>
  <si>
    <t>91</t>
  </si>
  <si>
    <t>997221551-R</t>
  </si>
  <si>
    <t>Likvidace suti v souladu s platnou legislativou o odpadech</t>
  </si>
  <si>
    <t>-1650723615</t>
  </si>
  <si>
    <t>- naložení</t>
  </si>
  <si>
    <t xml:space="preserve">- vodorovný přesun </t>
  </si>
  <si>
    <t>998</t>
  </si>
  <si>
    <t>Přesun hmot</t>
  </si>
  <si>
    <t>92</t>
  </si>
  <si>
    <t>998273102</t>
  </si>
  <si>
    <t>Přesun hmot pro trubní vedení hloubené z trub litinových pro vodovody nebo kanalizace v otevřeném výkopu dopravní vzdálenost do 15 m</t>
  </si>
  <si>
    <t>894591832</t>
  </si>
  <si>
    <t>OST</t>
  </si>
  <si>
    <t>Ostatní</t>
  </si>
  <si>
    <t>93</t>
  </si>
  <si>
    <t>8999905.R1</t>
  </si>
  <si>
    <t>Zkouška průchodnosti potrubí do DN 80</t>
  </si>
  <si>
    <t>262144</t>
  </si>
  <si>
    <t>732540671</t>
  </si>
  <si>
    <t>94</t>
  </si>
  <si>
    <t>9000010.R</t>
  </si>
  <si>
    <t>Rozbor pitné vody dle vyhl.č.376/200 Sb.</t>
  </si>
  <si>
    <t>kpl</t>
  </si>
  <si>
    <t>-1319079660</t>
  </si>
  <si>
    <t>SO 02 - Ulice Bradlecká</t>
  </si>
  <si>
    <t>SO 2.1. - Vodovodní řad 12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</si>
  <si>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</si>
  <si>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</si>
  <si>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623712249</t>
  </si>
  <si>
    <t>D.1.2.2., D.3.1</t>
  </si>
  <si>
    <t>6,5*1,5</t>
  </si>
  <si>
    <t>2*1,0*1,5</t>
  </si>
  <si>
    <t>2,5*1,5</t>
  </si>
  <si>
    <t>1,0*1,0</t>
  </si>
  <si>
    <t>15,0*1,1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</si>
  <si>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</si>
  <si>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</si>
  <si>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-1683222064</t>
  </si>
  <si>
    <t>Poznámka k položce:
hmotnost sutě 0,22 t/m2</t>
  </si>
  <si>
    <t>113154113</t>
  </si>
  <si>
    <t>Frézování živičného podkladu nebo krytu  s naložením na dopravní prostředek plochy do 500 m2 bez překážek v trase pruhu šířky do 0,5 m, tloušťky vrstvy 50 mm</t>
  </si>
  <si>
    <t>1268901085</t>
  </si>
  <si>
    <t>Poznámka k položce:
hmotnost sutě 0,128 t/m2</t>
  </si>
  <si>
    <t>C.3., D.3.1</t>
  </si>
  <si>
    <t>odečteno digitálně</t>
  </si>
  <si>
    <t>3,8</t>
  </si>
  <si>
    <t>4,5</t>
  </si>
  <si>
    <t>70,8</t>
  </si>
  <si>
    <t>59810275</t>
  </si>
  <si>
    <t>30,0</t>
  </si>
  <si>
    <t>5079789</t>
  </si>
  <si>
    <t>výkres D.2.2</t>
  </si>
  <si>
    <t>3*1,1</t>
  </si>
  <si>
    <t>1709331366</t>
  </si>
  <si>
    <t>(3)*2*0,5*1,10*1,85</t>
  </si>
  <si>
    <t>1943739637</t>
  </si>
  <si>
    <t>20,55</t>
  </si>
  <si>
    <t>904817704</t>
  </si>
  <si>
    <t>141721116</t>
  </si>
  <si>
    <t>Řízený zemní protlak v hornině tř. 1 až 4, včetně protlačení trub v hloubce do 6 m vnějšího průměru vrtu přes 160 do 225 mm</t>
  </si>
  <si>
    <t>1552080467</t>
  </si>
  <si>
    <t>55251413</t>
  </si>
  <si>
    <t>trouba vodovodní litinová hrdlová s návarkem povrchová ochrana cementová malta+PP vlákna DN 150</t>
  </si>
  <si>
    <t>435641996</t>
  </si>
  <si>
    <t>55251462</t>
  </si>
  <si>
    <t>kroužek zámkový kovový pro extrémní tlaky a speciální konstrukce DN 150</t>
  </si>
  <si>
    <t>492680208</t>
  </si>
  <si>
    <t>151101101</t>
  </si>
  <si>
    <t>Zřízení pažení a rozepření stěn rýh pro podzemní vedení pro všechny šířky rýhy  příložné pro jakoukoliv mezerovitost, hloubky do 2 m</t>
  </si>
  <si>
    <t>1258211829</t>
  </si>
  <si>
    <t>2*(6,5+1,5)*1,7</t>
  </si>
  <si>
    <t>2*2*(1,0+1,5)*1,7</t>
  </si>
  <si>
    <t>2*(2,5+1,5)*1,7</t>
  </si>
  <si>
    <t>4*1,0*1,7</t>
  </si>
  <si>
    <t>151101111</t>
  </si>
  <si>
    <t>Odstranění pažení a rozepření stěn rýh pro podzemní vedení s uložením materiálu na vzdálenost do 3 m od kraje výkopu příložné, hloubky do 2 m</t>
  </si>
  <si>
    <t>-565562562</t>
  </si>
  <si>
    <t>dle položky zřízení</t>
  </si>
  <si>
    <t>64,0</t>
  </si>
  <si>
    <t>-1319837934</t>
  </si>
  <si>
    <t>55,36</t>
  </si>
  <si>
    <t>2050948806</t>
  </si>
  <si>
    <t>55,36 "dle pol. osazení</t>
  </si>
  <si>
    <t>1975320675</t>
  </si>
  <si>
    <t>655818938</t>
  </si>
  <si>
    <t>-1220165223</t>
  </si>
  <si>
    <t>-984795717</t>
  </si>
  <si>
    <t>jámy protlaku</t>
  </si>
  <si>
    <t>226247520</t>
  </si>
  <si>
    <t>-1877556026</t>
  </si>
  <si>
    <t>4,81</t>
  </si>
  <si>
    <t>6,5*1,5*(0,17+0,15)</t>
  </si>
  <si>
    <t>2*1,0*1,5*(0,17+0,15)</t>
  </si>
  <si>
    <t>2,5*1,5*(0,17+0,15)</t>
  </si>
  <si>
    <t>1,0*1,0*(0,17+0,15)</t>
  </si>
  <si>
    <t>-1506206025</t>
  </si>
  <si>
    <t>10,41*2 'Přepočtené koeficientem množství</t>
  </si>
  <si>
    <t>-1239703839</t>
  </si>
  <si>
    <t>D.3.1</t>
  </si>
  <si>
    <t>2,48</t>
  </si>
  <si>
    <t>-727469354</t>
  </si>
  <si>
    <t>10194920</t>
  </si>
  <si>
    <t>1074754267</t>
  </si>
  <si>
    <t>výkres D.4.2</t>
  </si>
  <si>
    <t>564251111</t>
  </si>
  <si>
    <t>Podklad nebo podsyp ze štěrkopísku ŠP  s rozprostřením, vlhčením a zhutněním, po zhutnění tl. 150 mm</t>
  </si>
  <si>
    <t>-1161429082</t>
  </si>
  <si>
    <t>564871116</t>
  </si>
  <si>
    <t>Podklad ze štěrkodrti ŠD  s rozprostřením a zhutněním, po zhutnění tl. 300 mm</t>
  </si>
  <si>
    <t>-1101453000</t>
  </si>
  <si>
    <t>565135111</t>
  </si>
  <si>
    <t>Asfaltový beton vrstva podkladní ACP 16 (obalované kamenivo střednězrnné - OKS)  s rozprostřením a zhutněním v pruhu šířky do 3 m, po zhutnění tl. 50 mm</t>
  </si>
  <si>
    <t>231187555</t>
  </si>
  <si>
    <t>2*6,5*1,5</t>
  </si>
  <si>
    <t>2*2*1,0*1,5</t>
  </si>
  <si>
    <t>2*2,5*1,5</t>
  </si>
  <si>
    <t>2*1,0*1,0</t>
  </si>
  <si>
    <t>2*15,0*1,1</t>
  </si>
  <si>
    <t>1285411899</t>
  </si>
  <si>
    <t>-1655150242</t>
  </si>
  <si>
    <t>(6,5+0,25+0,25)*(1,5+0,25)</t>
  </si>
  <si>
    <t>2*(1,0+0,25+0,25)*(1,5+0,25+0,25)</t>
  </si>
  <si>
    <t>(2,5+0,25+0,25)*(1,5+0,25+0,25)</t>
  </si>
  <si>
    <t>(1,0+0,25+0,25)*(1,0+0,25+0,25)</t>
  </si>
  <si>
    <t>15,0*(1,1+0,25+0,25)</t>
  </si>
  <si>
    <t>1760858264</t>
  </si>
  <si>
    <t>851311131</t>
  </si>
  <si>
    <t>Montáž potrubí z trub litinových tlakových hrdlových  v otevřeném výkopu s integrovaným těsněním DN 150</t>
  </si>
  <si>
    <t>-894357256</t>
  </si>
  <si>
    <t>2098755323</t>
  </si>
  <si>
    <t>-1236521020</t>
  </si>
  <si>
    <t>857311131</t>
  </si>
  <si>
    <t>Montáž litinových tvarovek na potrubí litinovém tlakovém jednoosých na potrubí z trub hrdlových v otevřeném výkopu, kanálu nebo v šachtě s integrovaným těsněním DN 150</t>
  </si>
  <si>
    <t>-2004662132</t>
  </si>
  <si>
    <t>55253943</t>
  </si>
  <si>
    <t>koleno hrdlové z tvárné litiny,práškový epoxid tl 250µm MMK-kus DN 150-45°</t>
  </si>
  <si>
    <t>-86069877</t>
  </si>
  <si>
    <t>AVK.50515045</t>
  </si>
  <si>
    <t>AVK tvarovka litinová, MK, koleno hrdlové s hladkým koncem 45°, DN 150</t>
  </si>
  <si>
    <t>-1112698534</t>
  </si>
  <si>
    <t>-2132815322</t>
  </si>
  <si>
    <t>857311141</t>
  </si>
  <si>
    <t>Montáž litinových tvarovek na potrubí litinovém tlakovém jednoosých na potrubí z trub hrdlových v otevřeném výkopu, kanálu nebo v šachtě s těsnícím nebo zámkovým spojem vnějšího průměru DE 160</t>
  </si>
  <si>
    <t>-353035584</t>
  </si>
  <si>
    <t>55.797415000016</t>
  </si>
  <si>
    <t xml:space="preserve">U-EXPRES SPOJKA 150 </t>
  </si>
  <si>
    <t>1205318594</t>
  </si>
  <si>
    <t>857311151</t>
  </si>
  <si>
    <t>Montáž litinových tvarovek na potrubí litinovém tlakovém jednoosých na potrubí z trub hrdlových v otevřeném výkopu, kanálu nebo v šachtě s přírubovým koncem vnějšího průměru DE 160</t>
  </si>
  <si>
    <t>1297040416</t>
  </si>
  <si>
    <t>55251189</t>
  </si>
  <si>
    <t>tvarovka přírubová s hrdlem E, PN 10-16 DN 160/příruba DN 150</t>
  </si>
  <si>
    <t>-965851431</t>
  </si>
  <si>
    <t>1689795690</t>
  </si>
  <si>
    <t>-1708545519</t>
  </si>
  <si>
    <t>2,0</t>
  </si>
  <si>
    <t>-240556041</t>
  </si>
  <si>
    <t>871211211</t>
  </si>
  <si>
    <t>Montáž vodovodního potrubí z plastů v otevřeném výkopu z polyetylenu PE 100 svařovaných elektrotvarovkou SDR 11/PN16 D 63 x 5,8 mm</t>
  </si>
  <si>
    <t>-2073491292</t>
  </si>
  <si>
    <t>28613527</t>
  </si>
  <si>
    <t>potrubí třívrstvé PE100 RC SDR11 63x5,80 dl 12m</t>
  </si>
  <si>
    <t>1400944228</t>
  </si>
  <si>
    <t>329268475</t>
  </si>
  <si>
    <t>3*1,0</t>
  </si>
  <si>
    <t>82924578</t>
  </si>
  <si>
    <t>1960202248</t>
  </si>
  <si>
    <t>877241101</t>
  </si>
  <si>
    <t>Montáž tvarovek na vodovodním plastovém potrubí z polyetylenu PE 100 elektrotvarovek SDR 11/PN16 spojek, oblouků nebo redukcí d 90</t>
  </si>
  <si>
    <t>265622133</t>
  </si>
  <si>
    <t>28653135</t>
  </si>
  <si>
    <t>nákružek lemový PE 100 SDR 11 90mm</t>
  </si>
  <si>
    <t>245457412</t>
  </si>
  <si>
    <t>WVN.FF700213W</t>
  </si>
  <si>
    <t>Příruba PP/ocel PN10/16 90 DN80</t>
  </si>
  <si>
    <t>1459800573</t>
  </si>
  <si>
    <t>Poznámka k položce:
Příruba PP s ocelovou výztuhou, barva černá - Příruba PP/ocel PN10/16 90 DN80</t>
  </si>
  <si>
    <t>28614977</t>
  </si>
  <si>
    <t>elektroredukce PE 100 PN 16 D 90-63mm</t>
  </si>
  <si>
    <t>-1162937752</t>
  </si>
  <si>
    <t>877211110</t>
  </si>
  <si>
    <t>Montáž tvarovek na vodovodním plastovém potrubí z polyetylenu PE 100 elektrotvarovek SDR 11/PN16 kolen 45° d 63</t>
  </si>
  <si>
    <t>695164274</t>
  </si>
  <si>
    <t>28614946</t>
  </si>
  <si>
    <t>elektrokoleno 45° PE 100 PN 16 D 63mm</t>
  </si>
  <si>
    <t>-69830742</t>
  </si>
  <si>
    <t>1377653828</t>
  </si>
  <si>
    <t>-1065662374</t>
  </si>
  <si>
    <t>-941649326</t>
  </si>
  <si>
    <t>-848267021</t>
  </si>
  <si>
    <t>-753606651</t>
  </si>
  <si>
    <t>548102737</t>
  </si>
  <si>
    <t>891213111</t>
  </si>
  <si>
    <t>Montáž vodovodních armatur na potrubí ventilů hlavních pro přípojky DN 50</t>
  </si>
  <si>
    <t>1706531376</t>
  </si>
  <si>
    <t>HWL.252000200216</t>
  </si>
  <si>
    <t>ŠOUPÁTKO DOMOVNÍ PŘÍPOJKY VNI-VNĚ 2"-2"</t>
  </si>
  <si>
    <t>1012072321</t>
  </si>
  <si>
    <t>HWL.950105000002</t>
  </si>
  <si>
    <t>SOUPRAVA ZEMNÍ TELESKOPICKÁ E1-1,3 -1,8 50 (1,3-1,8m)</t>
  </si>
  <si>
    <t>-1277312084</t>
  </si>
  <si>
    <t>891213111-R</t>
  </si>
  <si>
    <t>Montáž vodovodních armatur na potrubí propojení potrubí přípojky DN 50</t>
  </si>
  <si>
    <t>-1145400458</t>
  </si>
  <si>
    <t>AVK.2110050</t>
  </si>
  <si>
    <t>Isiflo spojka přímá, typ 100, rozměr 50x50</t>
  </si>
  <si>
    <t>1391833617</t>
  </si>
  <si>
    <t>891311112</t>
  </si>
  <si>
    <t>Montáž vodovodních armatur na potrubí šoupátek nebo klapek uzavíracích v otevřeném výkopu nebo v šachtách s osazením zemní soupravy (bez poklopů) DN 150</t>
  </si>
  <si>
    <t>-1101963678</t>
  </si>
  <si>
    <t>42221306</t>
  </si>
  <si>
    <t>šoupátko pitná voda litina GGG 50 krátká stavební dl PN 10/16 DN 150x210mm</t>
  </si>
  <si>
    <t>-1136345451</t>
  </si>
  <si>
    <t>HWL.950112515003</t>
  </si>
  <si>
    <t>SOUPRAVA ZEMNÍ TELESKOPICKÁ E1/A-1,3 -1,8 125-150 (1,3-1,8m)</t>
  </si>
  <si>
    <t>144254358</t>
  </si>
  <si>
    <t>891319111</t>
  </si>
  <si>
    <t>Montáž vodovodních armatur na potrubí navrtávacích pasů s ventilem Jt 1 MPa, na potrubí z trub litinových, ocelových nebo plastických hmot DN 150</t>
  </si>
  <si>
    <t>1350596092</t>
  </si>
  <si>
    <t>42271415</t>
  </si>
  <si>
    <t>pás navrtávací z tvárné litiny DN 150mm, rozsah (168-271), odbočky 1",5/4",6/4",2"</t>
  </si>
  <si>
    <t>-1880340641</t>
  </si>
  <si>
    <t>892351111</t>
  </si>
  <si>
    <t>Tlakové zkoušky vodou na potrubí DN 150 nebo 200</t>
  </si>
  <si>
    <t>-747423801</t>
  </si>
  <si>
    <t>892353122</t>
  </si>
  <si>
    <t>Proplach a dezinfekce vodovodního potrubí DN 150 nebo 200</t>
  </si>
  <si>
    <t>2089267226</t>
  </si>
  <si>
    <t>-697629261</t>
  </si>
  <si>
    <t>899102211</t>
  </si>
  <si>
    <t>Demontáž poklopů litinových a ocelových včetně rámů, hmotnosti jednotlivě přes 50 do 100 Kg</t>
  </si>
  <si>
    <t>-617848805</t>
  </si>
  <si>
    <t>1 "z AŠ 69</t>
  </si>
  <si>
    <t>880577384</t>
  </si>
  <si>
    <t>999143025</t>
  </si>
  <si>
    <t>-2126656858</t>
  </si>
  <si>
    <t>15,0+1,0+2,5+1,5+1,5+6,5</t>
  </si>
  <si>
    <t>899913122-R5</t>
  </si>
  <si>
    <t>Příplatek za nerezové šrouby a bandáže přírubových spojů DN 150</t>
  </si>
  <si>
    <t>2049916919</t>
  </si>
  <si>
    <t>919112233</t>
  </si>
  <si>
    <t>Řezání dilatačních spár v živičném krytu  vytvoření komůrky pro těsnící zálivku šířky 20 mm, hloubky 40 mm</t>
  </si>
  <si>
    <t>1390709408</t>
  </si>
  <si>
    <t>(6,5+0,25+0,25)+2*(1,5+0,25)</t>
  </si>
  <si>
    <t>2*2*(1,0+0,25+0,25)+2*(1,5+0,25+0,25)</t>
  </si>
  <si>
    <t>2*(2,5+0,25+0,25)+2*(1,5+0,25+0,25)</t>
  </si>
  <si>
    <t>2*(1,0+0,25+0,25)+2*(1,0+0,25+0,25)</t>
  </si>
  <si>
    <t>2*15,0+2*(1,1+0,25+0,25)</t>
  </si>
  <si>
    <t>919122132</t>
  </si>
  <si>
    <t>Utěsnění dilatačních spár zálivkou za tepla  v cementobetonovém nebo živičném krytu včetně adhezního nátěru s těsnicím profilem pod zálivkou, pro komůrky šířky 20 mm, hloubky 40 mm</t>
  </si>
  <si>
    <t>768737382</t>
  </si>
  <si>
    <t>919735112</t>
  </si>
  <si>
    <t>Řezání stávajícího živičného krytu nebo podkladu  hloubky přes 50 do 100 mm</t>
  </si>
  <si>
    <t>-934500215</t>
  </si>
  <si>
    <t>961055111</t>
  </si>
  <si>
    <t>Bourání základů z betonu  železového</t>
  </si>
  <si>
    <t>1156705719</t>
  </si>
  <si>
    <t>Poznámka k položce:
hmotnost sutě 2,4 t/m3</t>
  </si>
  <si>
    <t>vybourání stávající AŠ 69</t>
  </si>
  <si>
    <t>-1969216323</t>
  </si>
  <si>
    <t>34,0*0,22 "dle položky odstranění podkladu živičného tl. 100 mm</t>
  </si>
  <si>
    <t>107,1*0,128 "dle položky frézování tl. 50 mm</t>
  </si>
  <si>
    <t>787691747</t>
  </si>
  <si>
    <t>8999905.R15</t>
  </si>
  <si>
    <t>Zkouška průchodnosti potrubí do DN 150</t>
  </si>
  <si>
    <t>-1012059984</t>
  </si>
  <si>
    <t>95</t>
  </si>
  <si>
    <t>962105521</t>
  </si>
  <si>
    <t xml:space="preserve">    6 - Úpravy povrchů, podlahy a osazování výplní</t>
  </si>
  <si>
    <t>452112111</t>
  </si>
  <si>
    <t>Osazení betonových dílců prstenců nebo rámů pod poklopy a mříže, výšky do 100 mm</t>
  </si>
  <si>
    <t>452311131</t>
  </si>
  <si>
    <t>Podkladní a zajišťovací konstrukce z betonu prostého v otevřeném výkopu desky pod potrubí, stoky a drobné objekty z betonu tř. C 12/15</t>
  </si>
  <si>
    <t>pod šachty</t>
  </si>
  <si>
    <t>Úpravy povrchů, podlahy a osazování výplní</t>
  </si>
  <si>
    <t>831372121</t>
  </si>
  <si>
    <t>Montáž potrubí z trub kameninových  hrdlových s integrovaným těsněním v otevřeném výkopu ve sklonu do 20 % DN 300</t>
  </si>
  <si>
    <t>59710711</t>
  </si>
  <si>
    <t>837371221</t>
  </si>
  <si>
    <t>Montáž kameninových tvarovek na potrubí z trub kameninových  v otevřeném výkopu s integrovaným těsněním odbočných DN 300</t>
  </si>
  <si>
    <t>890211851</t>
  </si>
  <si>
    <t>894411311</t>
  </si>
  <si>
    <t>894414111</t>
  </si>
  <si>
    <t>894414211</t>
  </si>
  <si>
    <t>59224315</t>
  </si>
  <si>
    <t>899101211</t>
  </si>
  <si>
    <t>Demontáž poklopů litinových a ocelových včetně rámů, hmotnosti jednotlivě do 50 kg</t>
  </si>
  <si>
    <t>936311111-R</t>
  </si>
  <si>
    <t>Zabetonování potrubí uloženého ve vynechaných otvorech  ve dně nebo ve stěnách nádrží, z betonu se zvýšenými nároky na prostředí o ploše otvoru do 0,25 m2</t>
  </si>
  <si>
    <t>vyplnění mezikruží v napojení na stávající kanalizaci polymercementovou maltou odolnou agresivnímu prostředí</t>
  </si>
  <si>
    <t>977151125</t>
  </si>
  <si>
    <t>Jádrové vrty diamantovými korunkami do stavebních materiálů (železobetonu, betonu, cihel, obkladů, dlažeb, kamene) průměru přes 180 do 200 mm</t>
  </si>
  <si>
    <t>R001</t>
  </si>
  <si>
    <t>dle TZ</t>
  </si>
  <si>
    <t>151811132</t>
  </si>
  <si>
    <t>Zřízení pažicích boxů pro pažení a rozepření stěn rýh podzemního vedení hloubka výkopu do 4 m, šířka přes 1,2 do 2,5 m</t>
  </si>
  <si>
    <t>151811232</t>
  </si>
  <si>
    <t>Odstranění pažicích boxů pro pažení a rozepření stěn rýh podzemního vedení hloubka výkopu do 4 m, šířka přes 1,2 do 2,5 m</t>
  </si>
  <si>
    <t>857262122</t>
  </si>
  <si>
    <t>Montáž litinových tvarovek na potrubí litinovém tlakovém jednoosých na potrubí z trub přírubových v otevřeném výkopu, kanálu nebo v šachtě DN 100</t>
  </si>
  <si>
    <t>5,0</t>
  </si>
  <si>
    <t>06 - Vedlejší a ostaní náklady</t>
  </si>
  <si>
    <t>bude vybrán na podkladě výběrového řízení</t>
  </si>
  <si>
    <t>Šindlar s.r.o., Na Brně 372/2a, Hradec Králové 6</t>
  </si>
  <si>
    <t>Ing.Roman Bárta a Ing. Tomáš Konečný</t>
  </si>
  <si>
    <t xml:space="preserve">   OST 1 - Vedlejší náklady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</si>
  <si>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</si>
  <si>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</si>
  <si>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</si>
  <si>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OST 1</t>
  </si>
  <si>
    <t>Vedlejší náklady</t>
  </si>
  <si>
    <t>O01</t>
  </si>
  <si>
    <t>R042</t>
  </si>
  <si>
    <t>Statická hutnící zkouška - provedení akreditovaným subjektem se stanovením modulu přetvárnosti Edef2 a poměru Edef2/Edef1, včetně vypracování protokolu</t>
  </si>
  <si>
    <t>Soub</t>
  </si>
  <si>
    <t>1024</t>
  </si>
  <si>
    <t>-1729883525</t>
  </si>
  <si>
    <t>odebrání vzorku zeminy  - 2 z každého SO</t>
  </si>
  <si>
    <t>provedení zkoušky zhutnitelnosti dle ČSN 72 1015 (Laboratorní zkouška zhutnitelnosti)</t>
  </si>
  <si>
    <t>R044</t>
  </si>
  <si>
    <t>Zdokumentování stávajícího stavu okolních staveb</t>
  </si>
  <si>
    <t>345571294</t>
  </si>
  <si>
    <t xml:space="preserve">Pasport dotčených budov, plotů a přístupových tras </t>
  </si>
  <si>
    <t>VRN</t>
  </si>
  <si>
    <t>Vedlejší rozpočtové náklady</t>
  </si>
  <si>
    <t>VRN1</t>
  </si>
  <si>
    <t>Průzkumné, geodetické a projektové práce</t>
  </si>
  <si>
    <t>011314000</t>
  </si>
  <si>
    <t>Spolupráce při záchranném archeologickém dohledu</t>
  </si>
  <si>
    <t>-100339355</t>
  </si>
  <si>
    <t>011503000</t>
  </si>
  <si>
    <t>-2100449364</t>
  </si>
  <si>
    <t>011503000R</t>
  </si>
  <si>
    <t>Sondy pro identifikaci podzemního zařízení</t>
  </si>
  <si>
    <t>-2097749010</t>
  </si>
  <si>
    <t>012103000</t>
  </si>
  <si>
    <t>Vytyčení stavby ( všech stavebních objektů ) oprávněným geodetem včetně vypracování zprávy, ochrana geodetických bodů před poškozením</t>
  </si>
  <si>
    <t>1354610333</t>
  </si>
  <si>
    <t>vytyčení stavby včetně ochrany geodetických bodů před poškozením</t>
  </si>
  <si>
    <t>012103000-R</t>
  </si>
  <si>
    <t>Vytyčení podzemních zařízení, rizika a zvláštní opatření</t>
  </si>
  <si>
    <t>217437002</t>
  </si>
  <si>
    <t>vytyčení stávajících inženýrských sítí</t>
  </si>
  <si>
    <t>012203000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</si>
  <si>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</si>
  <si>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651841182</t>
  </si>
  <si>
    <t>Zaměření stavby</t>
  </si>
  <si>
    <t>Zaměření potrubí  bude provedeno vždy před zásypem rýhy</t>
  </si>
  <si>
    <t>013254000</t>
  </si>
  <si>
    <t>Dokumentace skutečného provedení stavby</t>
  </si>
  <si>
    <t>161061850</t>
  </si>
  <si>
    <t>Zpracování a předání dokumentace  skutečného provedení stavby</t>
  </si>
  <si>
    <t>(3 paré + 1 v elektronické formě) objednateli</t>
  </si>
  <si>
    <t>Kompletní DSPS zpracovaná dle Vyhl. č. 499/2006 Sb. v platném zněmí</t>
  </si>
  <si>
    <t>o dokumentaci staveb</t>
  </si>
  <si>
    <t>Zařízení staveniště</t>
  </si>
  <si>
    <t>030001000</t>
  </si>
  <si>
    <t>Základní rozdělení průvodních činností a nákladů zařízení staveniště</t>
  </si>
  <si>
    <t>881023746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</si>
  <si>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</si>
  <si>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</si>
  <si>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</si>
  <si>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plotem min. výšky 1,8 m</t>
  </si>
  <si>
    <t>oplocení staveniště na zastavěném území 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</si>
  <si>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</si>
  <si>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</si>
  <si>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034403000R</t>
  </si>
  <si>
    <t>Dopravně inženýrské opatření ( DIO ) – zpracování návrhů, projednání s dotčenými orgány státní správy, realizace</t>
  </si>
  <si>
    <t>-1545384822</t>
  </si>
  <si>
    <t>Dopravně inženýrské opatření</t>
  </si>
  <si>
    <t>zřízení, údržba, přemístění a odstranění</t>
  </si>
  <si>
    <t>dopravního značení k dopravním omezením</t>
  </si>
  <si>
    <t>podle předpisů o pozemních komunikacích,</t>
  </si>
  <si>
    <t>034503000</t>
  </si>
  <si>
    <t>Osazení informačních panelů ( dodávka panelů objednatel )</t>
  </si>
  <si>
    <t>-637068203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</si>
  <si>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</si>
  <si>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</si>
  <si>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</si>
  <si>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034703000</t>
  </si>
  <si>
    <t>1354224879</t>
  </si>
  <si>
    <t>073002000</t>
  </si>
  <si>
    <t>Fotofokumentace v průběhu provádění díla</t>
  </si>
  <si>
    <t>-822676198</t>
  </si>
  <si>
    <t>Během stavby bude pořizováná podrobná fotodokumentace postupujících prací</t>
  </si>
  <si>
    <t>po dokončení stavby předá dodavatel fotodokumentaci vypálenou na DVD</t>
  </si>
  <si>
    <t>{e64479bb-64da-4e46-be48-d1c91ad685cc}</t>
  </si>
  <si>
    <t>Úroveň 3:</t>
  </si>
  <si>
    <t xml:space="preserve">    3 - Svislé a kompletní konstrukce</t>
  </si>
  <si>
    <t>CS ÚRS 2020 01</t>
  </si>
  <si>
    <t>-623000647</t>
  </si>
  <si>
    <t>81,68*1,25 "místní asf.</t>
  </si>
  <si>
    <t>2,0*1,2 "u šachty 2438</t>
  </si>
  <si>
    <t>11,24*1,1 "přípojky</t>
  </si>
  <si>
    <t>113154253</t>
  </si>
  <si>
    <t>Frézování živičného podkladu nebo krytu  s naložením na dopravní prostředek plochy přes 500 do 1 000 m2 s překážkami v trase pruhu šířky do 1 m, tloušťky vrstvy 50 mm</t>
  </si>
  <si>
    <t>975063445</t>
  </si>
  <si>
    <t>výkres C4</t>
  </si>
  <si>
    <t>50% výměry započteno ve vodovodu</t>
  </si>
  <si>
    <t>1040,25/2 "odečteno digitálně</t>
  </si>
  <si>
    <t>-116,864 "odečet frézování nad rýhou</t>
  </si>
  <si>
    <t>113154254</t>
  </si>
  <si>
    <t>Frézování živičného podkladu nebo krytu  s naložením na dopravní prostředek plochy přes 500 do 1 000 m2 s překážkami v trase pruhu šířky do 1 m, tloušťky vrstvy 100 mm</t>
  </si>
  <si>
    <t>-756601612</t>
  </si>
  <si>
    <t>Poznámka k položce:
hmotnost sutě 0,256 t/m2</t>
  </si>
  <si>
    <t>81,68*1,25</t>
  </si>
  <si>
    <t>2,0*1,2 "u šachty 24,38</t>
  </si>
  <si>
    <t>-998152561</t>
  </si>
  <si>
    <t>Poznámka k položce:
Předpoklad rychlosti výstavby 5,0 m/den</t>
  </si>
  <si>
    <t>40,0</t>
  </si>
  <si>
    <t>115101203-R</t>
  </si>
  <si>
    <t>Čerpání odpadní vody na dopravní výšku do 10 m s uvažovaným průměrným přítokem přes 1 000 do 2 000 l/min</t>
  </si>
  <si>
    <t>-203673014</t>
  </si>
  <si>
    <t>Poznámka k položce:
Předpoklad rychlosti výstavby 5,0 m/den. Skutečnost ověřit na stavbě během provádění.</t>
  </si>
  <si>
    <t>přečerpávání splašků po dobu výstavby</t>
  </si>
  <si>
    <t>včetně vyplnění otvorů těsnícími vaky</t>
  </si>
  <si>
    <t>81,68/5,0*24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</si>
  <si>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</t>
  </si>
  <si>
    <t>510910626</t>
  </si>
  <si>
    <t>výkres D.1.1</t>
  </si>
  <si>
    <t>(1+1)*1,25</t>
  </si>
  <si>
    <t>8*1,1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</si>
  <si>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</si>
  <si>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</si>
  <si>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-185067328</t>
  </si>
  <si>
    <t>2*1,25</t>
  </si>
  <si>
    <t>-1226499055</t>
  </si>
  <si>
    <t>1*1,25</t>
  </si>
  <si>
    <t>7*1,1</t>
  </si>
  <si>
    <t>Příplatek k cenám hloubených vykopávek za ztížení vykopávky v blízkosti podzemního vedení nebo výbušnin pro jakoukoliv třídu horniny</t>
  </si>
  <si>
    <t>1678912871</t>
  </si>
  <si>
    <t>(2+2+1)*2*0,5*1,25*2,61</t>
  </si>
  <si>
    <t>(8+7)*2*0,5*1,25*2,5</t>
  </si>
  <si>
    <t>132254205</t>
  </si>
  <si>
    <t>Hloubení zapažených rýh šířky přes 800 do 2 000 mm strojně s urovnáním dna do předepsaného profilu a spádu v hornině třídy těžitelnosti I skupiny 3 přes 500 do 1 000 m3</t>
  </si>
  <si>
    <t>1789668076</t>
  </si>
  <si>
    <t>výkres D.2.1., D.4,1</t>
  </si>
  <si>
    <t>243,56 "celkový výkop</t>
  </si>
  <si>
    <t>-40,0*PI*0,18*0,18*+2*(2,6)*PI*0,62*0,62 "odečet stávajícího potrubí a šachet</t>
  </si>
  <si>
    <t>23,15 "celkový výkop přípojky</t>
  </si>
  <si>
    <t>2,0*1,2*(2,59) "u šachty 2438</t>
  </si>
  <si>
    <t>-2082630323</t>
  </si>
  <si>
    <t>425,57</t>
  </si>
  <si>
    <t>2*2,0*2,59"u šachty 24,38</t>
  </si>
  <si>
    <t>56,2 "přípojky</t>
  </si>
  <si>
    <t>-197719442</t>
  </si>
  <si>
    <t>492,13 "dle pol. osazení</t>
  </si>
  <si>
    <t>-2128992057</t>
  </si>
  <si>
    <t>2,0*1,2*0,3 "u šachty 2438</t>
  </si>
  <si>
    <t>1484560235</t>
  </si>
  <si>
    <t>247,358</t>
  </si>
  <si>
    <t>Zásyp sypaninou z jakékoliv horniny strojně s uložením výkopku ve vrstvách bez zhutnění jam, šachet, rýh nebo kolem objektů v těchto vykopávkách</t>
  </si>
  <si>
    <t>1431231716</t>
  </si>
  <si>
    <t>-464920747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</si>
  <si>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</si>
  <si>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860876779</t>
  </si>
  <si>
    <t>55,16</t>
  </si>
  <si>
    <t>-4,88 "sedlové lože</t>
  </si>
  <si>
    <t>5,11 "přípojky</t>
  </si>
  <si>
    <t>-1541187528</t>
  </si>
  <si>
    <t>55,39*2 'Přepočtené koeficientem množství</t>
  </si>
  <si>
    <t>Svislé a kompletní konstrukce</t>
  </si>
  <si>
    <t>351311123</t>
  </si>
  <si>
    <t>Zdivo části stok z prostého betonu se zvýšenými nároky na prostředí spodní v otevřeném výkopu tl. přes 150 do 300 mm tř. C 30/37</t>
  </si>
  <si>
    <t>-1937757628</t>
  </si>
  <si>
    <t>zaslepení vtoku šachty 24,38</t>
  </si>
  <si>
    <t>PI*0,3*0,15*0,15</t>
  </si>
  <si>
    <t>359901111</t>
  </si>
  <si>
    <t>Vyčištění stok  jakékoliv výšky</t>
  </si>
  <si>
    <t>-430296984</t>
  </si>
  <si>
    <t>359901211</t>
  </si>
  <si>
    <t>1825408943</t>
  </si>
  <si>
    <t>-1106034676</t>
  </si>
  <si>
    <t>pod  GA a GZ kusy</t>
  </si>
  <si>
    <t>6*0,6*1,25*0,1</t>
  </si>
  <si>
    <t>1,12 "přípojky</t>
  </si>
  <si>
    <t>230703558</t>
  </si>
  <si>
    <t>dle tabulky šachet</t>
  </si>
  <si>
    <t>6+3</t>
  </si>
  <si>
    <t>59224147</t>
  </si>
  <si>
    <t>prstenec šachtový vyrovnávací betonový rovný 625x100x80mm</t>
  </si>
  <si>
    <t>479753106</t>
  </si>
  <si>
    <t>59224148</t>
  </si>
  <si>
    <t>prstenec šachtový vyrovnávací betonový rovný 625x100x100mm</t>
  </si>
  <si>
    <t>-633464040</t>
  </si>
  <si>
    <t>254495301</t>
  </si>
  <si>
    <t>9,82 "pod potrubí</t>
  </si>
  <si>
    <t>výkres D.4.2.</t>
  </si>
  <si>
    <t>3*PI*0,8*0,8*0,1</t>
  </si>
  <si>
    <t>podbetonování odbočky</t>
  </si>
  <si>
    <t>3*0,4*0,4*0,4</t>
  </si>
  <si>
    <t>452312131</t>
  </si>
  <si>
    <t>Podkladní a zajišťovací konstrukce z betonu prostého v otevřeném výkopu sedlové lože pod potrubí z betonu tř. C 12/15</t>
  </si>
  <si>
    <t>797150836</t>
  </si>
  <si>
    <t>(81,68-3*1,0-6*0,6)*(0,25+0,25)*0,13</t>
  </si>
  <si>
    <t>564841113</t>
  </si>
  <si>
    <t>Podklad ze štěrkodrti ŠD  s rozprostřením a zhutněním, po zhutnění tl. 140 mm</t>
  </si>
  <si>
    <t>-75609206</t>
  </si>
  <si>
    <t>11,64*1,1 "přípojky</t>
  </si>
  <si>
    <t>564861111</t>
  </si>
  <si>
    <t>Podklad ze štěrkodrti ŠD  s rozprostřením a zhutněním, po zhutnění tl. 200 mm</t>
  </si>
  <si>
    <t>-961525348</t>
  </si>
  <si>
    <t>1616175211</t>
  </si>
  <si>
    <t>Asfaltový beton vrstva podkladní ACP 22 (obalované kamenivo hrubozrnné - OKH)  s rozprostřením a zhutněním v pruhu šířky přes 1,5 do 3 m, po zhutnění tl. 50 mm</t>
  </si>
  <si>
    <t>591767084</t>
  </si>
  <si>
    <t>-1249637233</t>
  </si>
  <si>
    <t>1708361524</t>
  </si>
  <si>
    <t>-909488120</t>
  </si>
  <si>
    <t>617633112</t>
  </si>
  <si>
    <t>Vnitřní úprava povrchu betonových šachet stěrkou z těsnící cementové malty dvouvrstvou, šachet válcových a kuželových</t>
  </si>
  <si>
    <t>-1810934636</t>
  </si>
  <si>
    <t>zaslepený vtok šachty 2438</t>
  </si>
  <si>
    <t>0,4*0,4</t>
  </si>
  <si>
    <t>830391811</t>
  </si>
  <si>
    <t>Bourání stávajícího potrubí z kameninových trub v otevřeném výkopu DN přes 250 do 400</t>
  </si>
  <si>
    <t>-1178920917</t>
  </si>
  <si>
    <t>Poznámka k položce:
hmotnost sutě 0,155 t/m</t>
  </si>
  <si>
    <t>831312121</t>
  </si>
  <si>
    <t>Montáž potrubí z trub kameninových  hrdlových s integrovaným těsněním v otevřeném výkopu ve sklonu do 20 % DN 150</t>
  </si>
  <si>
    <t>777347730</t>
  </si>
  <si>
    <t>11,64</t>
  </si>
  <si>
    <t>2*1,5 "přípojky</t>
  </si>
  <si>
    <t>59710675</t>
  </si>
  <si>
    <t>trouba kameninová glazovaná DN 150 dl 1,50m spojovací systém F</t>
  </si>
  <si>
    <t>502812697</t>
  </si>
  <si>
    <t>831312193-R</t>
  </si>
  <si>
    <t>Montáž potrubí z trub kameninových  hrdlových s integrovaným těsněním Příplatek k cenám za napojení dvou dříků trub o stejném průměru (max. rozdíl 12 mm) pomocí převlečné manžety (manžeta zahrnuta v ceně) DN 150</t>
  </si>
  <si>
    <t>-1038851142</t>
  </si>
  <si>
    <t>151681976</t>
  </si>
  <si>
    <t>81,68</t>
  </si>
  <si>
    <t>-3*1,0 "odečet šachet</t>
  </si>
  <si>
    <t>-6*0,6 "odečet zkrácených kusů</t>
  </si>
  <si>
    <t>trouba kameninová glazovaná DN 300 dl 2,50m spojovací systém C Třída 160</t>
  </si>
  <si>
    <t>-1487312366</t>
  </si>
  <si>
    <t>837312221</t>
  </si>
  <si>
    <t>Montáž kameninových tvarovek na potrubí z trub kameninových  v otevřeném výkopu s integrovaným těsněním jednoosých DN 150</t>
  </si>
  <si>
    <t>1033479000</t>
  </si>
  <si>
    <t>59710944</t>
  </si>
  <si>
    <t>koleno kameninové glazované DN 150 15° spojovací systém F</t>
  </si>
  <si>
    <t>1162289417</t>
  </si>
  <si>
    <t>59710964</t>
  </si>
  <si>
    <t>koleno kameninové glazované DN 150 30° spojovací systém F</t>
  </si>
  <si>
    <t>1052740735</t>
  </si>
  <si>
    <t>-2000126217</t>
  </si>
  <si>
    <t>výkres výkres D.1.1</t>
  </si>
  <si>
    <t>59711770</t>
  </si>
  <si>
    <t>odbočka kameninová glazovaná jednoduchá kolmá DN 300/150 dl 500mm spojovací systém C/F tř.160/-</t>
  </si>
  <si>
    <t>1693581241</t>
  </si>
  <si>
    <t>837372221</t>
  </si>
  <si>
    <t>Montáž kameninových tvarovek na potrubí z trub kameninových  v otevřeném výkopu s integrovaným těsněním jednoosých DN 300</t>
  </si>
  <si>
    <t>931303086</t>
  </si>
  <si>
    <t>3+3</t>
  </si>
  <si>
    <t>59710879</t>
  </si>
  <si>
    <t>trouba kameninová glazovaná zkrácená bez hrdla DN 300 dl 60(75)cm třída 160 spojovací systém C</t>
  </si>
  <si>
    <t>-1181893101</t>
  </si>
  <si>
    <t>59710849</t>
  </si>
  <si>
    <t>trouba kameninová glazovaná zkrácená DN 300 dl 60(75)cm třída 160 spojovací systém C</t>
  </si>
  <si>
    <t>448620838</t>
  </si>
  <si>
    <t>Bourání šachet a jímek strojně velikosti obestavěného prostoru do 1,5 m3 z prostého betonu</t>
  </si>
  <si>
    <t>1903363819</t>
  </si>
  <si>
    <t>Poznámka k položce:
hmotnost sutě 1,76 t/m3</t>
  </si>
  <si>
    <t>vybourání stávajících šachet</t>
  </si>
  <si>
    <t>PI*0,5*0,5*1,2</t>
  </si>
  <si>
    <t>PI*0,5*0,5*0,7</t>
  </si>
  <si>
    <t>Osazení betonových nebo železobetonových dílců pro šachty skruží rovných</t>
  </si>
  <si>
    <t>1522472199</t>
  </si>
  <si>
    <t>1+1+2</t>
  </si>
  <si>
    <t>59224050</t>
  </si>
  <si>
    <t>skruž pro kanalizační šachty se zabudovanými stupadly 100x25x12cm</t>
  </si>
  <si>
    <t>758149892</t>
  </si>
  <si>
    <t>59224051</t>
  </si>
  <si>
    <t>skruž pro kanalizační šachty se zabudovanými stupadly 100x50x12cm</t>
  </si>
  <si>
    <t>1381253057</t>
  </si>
  <si>
    <t>59224052</t>
  </si>
  <si>
    <t>skruž pro kanalizační šachty se zabudovanými stupadly 100x100x12cm</t>
  </si>
  <si>
    <t>1552517964</t>
  </si>
  <si>
    <t>894412411</t>
  </si>
  <si>
    <t>Osazení betonových nebo železobetonových dílců pro šachty skruží přechodových</t>
  </si>
  <si>
    <t>431598616</t>
  </si>
  <si>
    <t>59224312</t>
  </si>
  <si>
    <t>kónus šachetní betonový kapsové plastové stupadlo 100x62,5x58cm</t>
  </si>
  <si>
    <t>-258373136</t>
  </si>
  <si>
    <t>Osazení betonových nebo železobetonových dílců pro šachty skruží základových (dno)</t>
  </si>
  <si>
    <t>-828845738</t>
  </si>
  <si>
    <t>59224339-R</t>
  </si>
  <si>
    <t>dno betonové šachty kanalizační přímé jednolité 100/KOM tl. 15 cm</t>
  </si>
  <si>
    <t>1153525012</t>
  </si>
  <si>
    <t>59224348</t>
  </si>
  <si>
    <t>těsnění elastomerové pro spojení šachetních dílů DN 1000</t>
  </si>
  <si>
    <t>1809747182</t>
  </si>
  <si>
    <t>Osazení betonových nebo železobetonových dílců pro šachty desek zákrytových</t>
  </si>
  <si>
    <t>1308504010</t>
  </si>
  <si>
    <t>deska betonová zákrytová pro kruhové šachty 100/62,5x16,5cm</t>
  </si>
  <si>
    <t>612842581</t>
  </si>
  <si>
    <t>-570861929</t>
  </si>
  <si>
    <t>899104112-R</t>
  </si>
  <si>
    <t>Osazení samonivelačních poklopů litinových a ocelových včetně rámů pro třídu zatížení D400, E600</t>
  </si>
  <si>
    <t>-2108391396</t>
  </si>
  <si>
    <t>5524103103</t>
  </si>
  <si>
    <t>Kanalizační poklop litinový, rám samonivelační, s logem provozovatele,  D 400  bez odvětrání</t>
  </si>
  <si>
    <t>1794304871</t>
  </si>
  <si>
    <t>Krytí potrubí z plastů výstražnou fólií z PVC šířky 34 cm</t>
  </si>
  <si>
    <t>1537967296</t>
  </si>
  <si>
    <t>s nápisem kanalizace</t>
  </si>
  <si>
    <t>1301541501</t>
  </si>
  <si>
    <t>50% započteno v projektu vodovodu</t>
  </si>
  <si>
    <t>43,0*0,5 "odečteno digitálně</t>
  </si>
  <si>
    <t>1569730642</t>
  </si>
  <si>
    <t>2*81,68+1,25</t>
  </si>
  <si>
    <t>489795031</t>
  </si>
  <si>
    <t>-261192890</t>
  </si>
  <si>
    <t>(PI*0,25*(0,225*0,225-0,18*0,18))</t>
  </si>
  <si>
    <t>(PI*0,12*(0,1*0,1-0,08*0,08))</t>
  </si>
  <si>
    <t>1825825139</t>
  </si>
  <si>
    <t>977151132</t>
  </si>
  <si>
    <t>Jádrové vrty diamantovými korunkami do stavebních materiálů (železobetonu, betonu, cihel, obkladů, dlažeb, kamene) průměru přes 400 do 450 mm</t>
  </si>
  <si>
    <t>1209154376</t>
  </si>
  <si>
    <t>0,5 "do stávající spojné šachty</t>
  </si>
  <si>
    <t>1754135620</t>
  </si>
  <si>
    <t>1,492*1,76 "dle položky bourání šachet</t>
  </si>
  <si>
    <t>40,0*0,155 "dle položky bourání kameninového potrubí</t>
  </si>
  <si>
    <t>998275101</t>
  </si>
  <si>
    <t>Přesun hmot pro trubní vedení hloubené z trub kameninových pro kanalizace v otevřeném výkopu dopravní vzdálenost do 15 m</t>
  </si>
  <si>
    <t>1385125796</t>
  </si>
  <si>
    <t>Vyplnění prostorů inertním materiálem na bázi cementopopílkové směsi</t>
  </si>
  <si>
    <t>-807938090</t>
  </si>
  <si>
    <t>vyplnění stávající kanalizace cementopopílkem</t>
  </si>
  <si>
    <t>26,5*PI*0,15*0,15</t>
  </si>
  <si>
    <t>6,6*PI*0,07*0,07</t>
  </si>
  <si>
    <t>{8020d9e8-5466-4511-9503-ae4939811e36}</t>
  </si>
  <si>
    <t>02 - Stoka H1</t>
  </si>
  <si>
    <t>2081033170</t>
  </si>
  <si>
    <t>chodník</t>
  </si>
  <si>
    <t>1,65*1,6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</si>
  <si>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</si>
  <si>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</si>
  <si>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-1994210925</t>
  </si>
  <si>
    <t>Poznámka k položce:
hmotnost sutě 0,17 t/m2</t>
  </si>
  <si>
    <t>1,65*1,1 "dlažba</t>
  </si>
  <si>
    <t>provizorní povrch</t>
  </si>
  <si>
    <t>3,15*1,1 "asf</t>
  </si>
  <si>
    <t>-507960380</t>
  </si>
  <si>
    <t>3,15*1,1 "místní asf.</t>
  </si>
  <si>
    <t>-2029402522</t>
  </si>
  <si>
    <t>3,15*1,1</t>
  </si>
  <si>
    <t>-1054489273</t>
  </si>
  <si>
    <t>116320023</t>
  </si>
  <si>
    <t>6,07/5,0*24</t>
  </si>
  <si>
    <t>-364967683</t>
  </si>
  <si>
    <t>-1268391578</t>
  </si>
  <si>
    <t>(3)*2*0,5*1,1*1,25</t>
  </si>
  <si>
    <t>-1412069106</t>
  </si>
  <si>
    <t>6,26 "celkový výkop</t>
  </si>
  <si>
    <t>1280724456</t>
  </si>
  <si>
    <t>15,15</t>
  </si>
  <si>
    <t>-1445628457</t>
  </si>
  <si>
    <t>15,15 "dle pol. osazení</t>
  </si>
  <si>
    <t>-2024736214</t>
  </si>
  <si>
    <t>1465304445</t>
  </si>
  <si>
    <t>6,26</t>
  </si>
  <si>
    <t>-551711413</t>
  </si>
  <si>
    <t>1608688748</t>
  </si>
  <si>
    <t>388576613</t>
  </si>
  <si>
    <t>3,5</t>
  </si>
  <si>
    <t>-0,191 "sedlové lože</t>
  </si>
  <si>
    <t>1468284026</t>
  </si>
  <si>
    <t>3,309*2 'Přepočtené koeficientem množství</t>
  </si>
  <si>
    <t>589781501</t>
  </si>
  <si>
    <t>804983820</t>
  </si>
  <si>
    <t>1480848229</t>
  </si>
  <si>
    <t>1*0,6*1,1*0,1</t>
  </si>
  <si>
    <t>-1510473663</t>
  </si>
  <si>
    <t>0,67 "pod potrubí</t>
  </si>
  <si>
    <t>2021611900</t>
  </si>
  <si>
    <t>(6,07-1*0,6)*(0,25+0,25)*0,07</t>
  </si>
  <si>
    <t>1507591033</t>
  </si>
  <si>
    <t>pod dlažbu</t>
  </si>
  <si>
    <t>1,65*1,1</t>
  </si>
  <si>
    <t>-1862401671</t>
  </si>
  <si>
    <t>1017210043</t>
  </si>
  <si>
    <t>-1835582471</t>
  </si>
  <si>
    <t>-1380041263</t>
  </si>
  <si>
    <t>759401364</t>
  </si>
  <si>
    <t>272478647</t>
  </si>
  <si>
    <t>831362121</t>
  </si>
  <si>
    <t>Montáž potrubí z trub kameninových  hrdlových s integrovaným těsněním v otevřeném výkopu ve sklonu do 20 % DN 250</t>
  </si>
  <si>
    <t>480320179</t>
  </si>
  <si>
    <t>6,07-0,6</t>
  </si>
  <si>
    <t>59710705</t>
  </si>
  <si>
    <t>trouba kameninová glazovaná pouze uvnitř DN 250 dl 2,50m spojovací systém C Třída 240</t>
  </si>
  <si>
    <t>-1359243153</t>
  </si>
  <si>
    <t>831362193</t>
  </si>
  <si>
    <t>Montáž potrubí z trub kameninových  hrdlových s integrovaným těsněním Příplatek k cenám za napojení dvou dříků trub o stejném průměru (max. rozdíl 12 mm) pomocí převlečné manžety (manžeta zahrnuta v ceně) DN 250</t>
  </si>
  <si>
    <t>248874810</t>
  </si>
  <si>
    <t>837362221</t>
  </si>
  <si>
    <t>Montáž kameninových tvarovek na potrubí z trub kameninových  v otevřeném výkopu s integrovaným těsněním jednoosých DN 250</t>
  </si>
  <si>
    <t>-571691583</t>
  </si>
  <si>
    <t>59710876r</t>
  </si>
  <si>
    <t>trouba kameninová glazovaná zkrácená bez hrdla DN 250 dl 60(75)cm třída 240 spojovací systém C</t>
  </si>
  <si>
    <t>1899197325</t>
  </si>
  <si>
    <t>1002793061</t>
  </si>
  <si>
    <t>vybourání stávající šachty</t>
  </si>
  <si>
    <t>PI*0,5*0,5*1,15</t>
  </si>
  <si>
    <t>1516575732</t>
  </si>
  <si>
    <t>-898912683</t>
  </si>
  <si>
    <t>6,07</t>
  </si>
  <si>
    <t>2*3,15</t>
  </si>
  <si>
    <t>1548688867</t>
  </si>
  <si>
    <t>-2120272220</t>
  </si>
  <si>
    <t>(PI*0,12*(0,225*0,225-0,18*0,18))</t>
  </si>
  <si>
    <t>316192052</t>
  </si>
  <si>
    <t>0,12 "do spojné šachty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</si>
  <si>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</si>
  <si>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</si>
  <si>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-2126776459</t>
  </si>
  <si>
    <t>-1231145867</t>
  </si>
  <si>
    <t>3,465*0,256 "dle položky frézování živičného krytu tl. 100 mm</t>
  </si>
  <si>
    <t>0,903*1,76 "dle položky bourání šachet</t>
  </si>
  <si>
    <t>1462687072</t>
  </si>
  <si>
    <t>642097448</t>
  </si>
  <si>
    <t>8,3*PI*0,125*0,125</t>
  </si>
  <si>
    <t>{8db120e7-610b-4737-85e5-ec1adbe471ab}</t>
  </si>
  <si>
    <t>44981590</t>
  </si>
  <si>
    <t>(147,43+6,1)*1,1 "místní asf.</t>
  </si>
  <si>
    <t>27,9*1,0 "přípojky</t>
  </si>
  <si>
    <t>1182243608</t>
  </si>
  <si>
    <t>50% výměry započteno v kanalizaci</t>
  </si>
  <si>
    <t>-196,783 "odečet frézování nad rýhou</t>
  </si>
  <si>
    <t>269739693</t>
  </si>
  <si>
    <t>výkres D.5.1</t>
  </si>
  <si>
    <t>(147,43+6,1)*1,1</t>
  </si>
  <si>
    <t>-587781893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</si>
  <si>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</si>
  <si>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-474405425</t>
  </si>
  <si>
    <t>výkres D.1.2</t>
  </si>
  <si>
    <t>5*1,1</t>
  </si>
  <si>
    <t>8*1,0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</si>
  <si>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</si>
  <si>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1503439429</t>
  </si>
  <si>
    <t>-1459623862</t>
  </si>
  <si>
    <t>(5+7)*2*0,5*1,1*1,85</t>
  </si>
  <si>
    <t>(8)*2*0,5*1,0*1,85</t>
  </si>
  <si>
    <t>-132542736</t>
  </si>
  <si>
    <t>výkres D.2.2., D.5,1</t>
  </si>
  <si>
    <t>263,04 "celkový výkop</t>
  </si>
  <si>
    <t>38,92 "celkový výkop přípojky</t>
  </si>
  <si>
    <t>532867728</t>
  </si>
  <si>
    <t>583,91</t>
  </si>
  <si>
    <t>102,39 "přípojky</t>
  </si>
  <si>
    <t>-299616964</t>
  </si>
  <si>
    <t>dle pol. osazení</t>
  </si>
  <si>
    <t>-675520584</t>
  </si>
  <si>
    <t>(147,43+6,1)*1,1*0,3 "podkladní vrstvy komunikace pro provizorní povrch</t>
  </si>
  <si>
    <t>27,9*1,0*0,3 "podkladní vrstvy komunikace pro provizorní povrch - přípojky</t>
  </si>
  <si>
    <t>-442985480</t>
  </si>
  <si>
    <t>301,96</t>
  </si>
  <si>
    <t>1906728890</t>
  </si>
  <si>
    <t>1,5*1,5*1,9 "náhrada zeminou vhodnou ke zhut.,případně kam. drc. frakce 0-63 vybouraná AŠ A66</t>
  </si>
  <si>
    <t>459082143</t>
  </si>
  <si>
    <t>2056601727</t>
  </si>
  <si>
    <t>41,52</t>
  </si>
  <si>
    <t>9,24 "přípojky</t>
  </si>
  <si>
    <t>-522349662</t>
  </si>
  <si>
    <t>50,76*2 'Přepočtené koeficientem množství</t>
  </si>
  <si>
    <t>-1931211052</t>
  </si>
  <si>
    <t>24,85</t>
  </si>
  <si>
    <t>2,79 "přípojky</t>
  </si>
  <si>
    <t>-717165489</t>
  </si>
  <si>
    <t>-148847837</t>
  </si>
  <si>
    <t>-1413228636</t>
  </si>
  <si>
    <t>-2088451634</t>
  </si>
  <si>
    <t>682862014</t>
  </si>
  <si>
    <t>-1210424683</t>
  </si>
  <si>
    <t>883079187</t>
  </si>
  <si>
    <t>6,1 "propoj se stávajícím PE potrubím</t>
  </si>
  <si>
    <t>55253015</t>
  </si>
  <si>
    <t>trouba vodovodní litinová hrdlová dl 6m DN 80</t>
  </si>
  <si>
    <t>-140635572</t>
  </si>
  <si>
    <t>851261131</t>
  </si>
  <si>
    <t>Montáž potrubí z trub litinových tlakových hrdlových  v otevřeném výkopu s integrovaným těsněním DN 100</t>
  </si>
  <si>
    <t>1643069141</t>
  </si>
  <si>
    <t>55253016</t>
  </si>
  <si>
    <t>trouba vodovodní litinová hrdlová dl 6m DN 100</t>
  </si>
  <si>
    <t>497157537</t>
  </si>
  <si>
    <t>-614049306</t>
  </si>
  <si>
    <t>-88168679</t>
  </si>
  <si>
    <t>-1073186699</t>
  </si>
  <si>
    <t>-1140471582</t>
  </si>
  <si>
    <t>857244122</t>
  </si>
  <si>
    <t>Montáž litinových tvarovek na potrubí litinovém tlakovém odbočných na potrubí z trub přírubových v otevřeném výkopu, kanálu nebo v šachtě DN 80</t>
  </si>
  <si>
    <t>-387797499</t>
  </si>
  <si>
    <t>55253590</t>
  </si>
  <si>
    <t>kříž přírubový litinový PN10/16 TT-kus DN 80/80</t>
  </si>
  <si>
    <t>-2028136068</t>
  </si>
  <si>
    <t>55250713</t>
  </si>
  <si>
    <t>tvarovka přírubová s přírubovou odbočkou T-DN 80x80 PN10-16-25-40 natural</t>
  </si>
  <si>
    <t>-1138834934</t>
  </si>
  <si>
    <t>857251141</t>
  </si>
  <si>
    <t>Montáž litinových tvarovek na potrubí litinovém tlakovém jednoosých na potrubí z trub hrdlových v otevřeném výkopu, kanálu nebo v šachtě s těsnícím nebo zámkovým spojem vnějšího průměru DE 90</t>
  </si>
  <si>
    <t>1618756968</t>
  </si>
  <si>
    <t>797408000016</t>
  </si>
  <si>
    <t xml:space="preserve">WAGA SPOJKA S PODPŮRNOU VSUVKOU DN 80 </t>
  </si>
  <si>
    <t>-100345065</t>
  </si>
  <si>
    <t>1+2</t>
  </si>
  <si>
    <t>-676357047</t>
  </si>
  <si>
    <t>756296359</t>
  </si>
  <si>
    <t>857261131</t>
  </si>
  <si>
    <t>Montáž litinových tvarovek na potrubí litinovém tlakovém jednoosých na potrubí z trub hrdlových v otevřeném výkopu, kanálu nebo v šachtě s integrovaným těsněním DN 100</t>
  </si>
  <si>
    <t>-353030783</t>
  </si>
  <si>
    <t>55253917</t>
  </si>
  <si>
    <t>koleno hrdlové z tvárné litiny,práškový epoxid tl 250µm MMK-kus DN 100-22,5°</t>
  </si>
  <si>
    <t>404834922</t>
  </si>
  <si>
    <t>857261151</t>
  </si>
  <si>
    <t>Montáž litinových tvarovek na potrubí litinovém tlakovém jednoosých na potrubí z trub hrdlových v otevřeném výkopu, kanálu nebo v šachtě s přírubovým koncem vnějšího průměru DE 110</t>
  </si>
  <si>
    <t>249320993</t>
  </si>
  <si>
    <t>55251187</t>
  </si>
  <si>
    <t>tvarovka přírubová s hrdlem E, PN 10-16 DN 110/příruba DN 100</t>
  </si>
  <si>
    <t>-278877760</t>
  </si>
  <si>
    <t>-692245110</t>
  </si>
  <si>
    <t>855010008016</t>
  </si>
  <si>
    <t>TVAROVKA REDUKČNÍ FFR 100-80</t>
  </si>
  <si>
    <t>-551918510</t>
  </si>
  <si>
    <t>857263151</t>
  </si>
  <si>
    <t>Montáž litinových tvarovek na potrubí litinovém tlakovém odbočných na potrubí z trub hrdlových v otevřeném výkopu, kanálu nebo v šachtě s přírubovým koncem vnějšího průměru DE 110</t>
  </si>
  <si>
    <t>-3965309</t>
  </si>
  <si>
    <t>55251240</t>
  </si>
  <si>
    <t>tvarovka hrdlová s přírubovou odbočkou A, PN 25 DN 110/odbočka DN 80</t>
  </si>
  <si>
    <t>1455675230</t>
  </si>
  <si>
    <t>-2063778038</t>
  </si>
  <si>
    <t>28613170</t>
  </si>
  <si>
    <t>potrubí vodovodní PE100 SDR11 se signalizační vrstvou 100m 32x3,0mm</t>
  </si>
  <si>
    <t>1261969928</t>
  </si>
  <si>
    <t>162891745</t>
  </si>
  <si>
    <t>výkres D.5.2</t>
  </si>
  <si>
    <t>12*1,0</t>
  </si>
  <si>
    <t>370526979</t>
  </si>
  <si>
    <t>Bourání šachet a jímek strojně velikosti obestavěného prostoru do 1,5 m3 ze železobetonu</t>
  </si>
  <si>
    <t>-589611361</t>
  </si>
  <si>
    <t>ubourání stávající AŠ A66</t>
  </si>
  <si>
    <t>4*1,5*0,3*1,0</t>
  </si>
  <si>
    <t>1040073475</t>
  </si>
  <si>
    <t>-228166774</t>
  </si>
  <si>
    <t>-466032969</t>
  </si>
  <si>
    <t>444221942</t>
  </si>
  <si>
    <t>-1703265711</t>
  </si>
  <si>
    <t>576046271</t>
  </si>
  <si>
    <t>1003394219</t>
  </si>
  <si>
    <t>42221212</t>
  </si>
  <si>
    <t>šoupě přírubové vodovodní krátká stavební dl DN 80 PN10-16</t>
  </si>
  <si>
    <t>34974406</t>
  </si>
  <si>
    <t>-709888340</t>
  </si>
  <si>
    <t>-651880754</t>
  </si>
  <si>
    <t>-943330398</t>
  </si>
  <si>
    <t>hydrant podzemní DN80 PN16 jednoduchý uzávěr, krycí hloubka 1000 mm</t>
  </si>
  <si>
    <t>-697631671</t>
  </si>
  <si>
    <t>891261112</t>
  </si>
  <si>
    <t>Montáž vodovodních armatur na potrubí šoupátek nebo klapek uzavíracích v otevřeném výkopu nebo v šachtách s osazením zemní soupravy (bez poklopů) DN 100</t>
  </si>
  <si>
    <t>-562067504</t>
  </si>
  <si>
    <t>42221213</t>
  </si>
  <si>
    <t>šoupě přírubové vodovodní krátká stavební dl DN 100 PN10-16</t>
  </si>
  <si>
    <t>-1137925950</t>
  </si>
  <si>
    <t>950110000003</t>
  </si>
  <si>
    <t>SOUPRAVA ZEMNÍ TELESKOPICKÁ E1/A-1,3 -1,8 100 (1,3-1,8m)</t>
  </si>
  <si>
    <t>967707990</t>
  </si>
  <si>
    <t>891261811</t>
  </si>
  <si>
    <t>Demontáž vodovodních armatur na potrubí šoupátek nebo klapek uzavíracích v otevřeném výkopu nebo v šachtách DN 100</t>
  </si>
  <si>
    <t>658031657</t>
  </si>
  <si>
    <t>891269111</t>
  </si>
  <si>
    <t>Montáž vodovodních armatur na potrubí navrtávacích pasů s ventilem Jt 1 MPa, na potrubí z trub litinových, ocelových nebo plastických hmot DN 100</t>
  </si>
  <si>
    <t>711685936</t>
  </si>
  <si>
    <t>42271414</t>
  </si>
  <si>
    <t>pás navrtávací z tvárné litiny DN 100mm, rozsah (114-119), odbočky 1",5/4",6/4",2"</t>
  </si>
  <si>
    <t>1501322517</t>
  </si>
  <si>
    <t>892241111</t>
  </si>
  <si>
    <t>Tlakové zkoušky vodou na potrubí DN do 80</t>
  </si>
  <si>
    <t>-1636888676</t>
  </si>
  <si>
    <t>144,61+6,1</t>
  </si>
  <si>
    <t>-501700942</t>
  </si>
  <si>
    <t>28703882</t>
  </si>
  <si>
    <t>-154085583</t>
  </si>
  <si>
    <t>1 " z armaturní šachty</t>
  </si>
  <si>
    <t>899401111</t>
  </si>
  <si>
    <t>Osazení poklopů litinových ventilových</t>
  </si>
  <si>
    <t>836987730</t>
  </si>
  <si>
    <t>42291402</t>
  </si>
  <si>
    <t>poklop litinový ventilový</t>
  </si>
  <si>
    <t>466390282</t>
  </si>
  <si>
    <t>335277639</t>
  </si>
  <si>
    <t>42291352</t>
  </si>
  <si>
    <t>poklop litinový šoupátkový pro zemní soupravy osazení do terénu a do vozovky</t>
  </si>
  <si>
    <t>756893535</t>
  </si>
  <si>
    <t>834280738</t>
  </si>
  <si>
    <t>42291452</t>
  </si>
  <si>
    <t>poklop litinový hydrantový DN 80</t>
  </si>
  <si>
    <t>877652599</t>
  </si>
  <si>
    <t>348200000000</t>
  </si>
  <si>
    <t>-1772587594</t>
  </si>
  <si>
    <t>122415033</t>
  </si>
  <si>
    <t>887937635</t>
  </si>
  <si>
    <t>2*144,61</t>
  </si>
  <si>
    <t>2*6,1</t>
  </si>
  <si>
    <t>2*27,9</t>
  </si>
  <si>
    <t>2*4*1,5</t>
  </si>
  <si>
    <t>-35477306</t>
  </si>
  <si>
    <t>1258180072</t>
  </si>
  <si>
    <t>323,342*0,128 "dle položky frézování živičného krytu tl. 50 mm</t>
  </si>
  <si>
    <t>198,181*0,256 "dle položky frézování živičného krytu tl. 100 mm</t>
  </si>
  <si>
    <t>1,8*1,92 "dle položky bourání šachet</t>
  </si>
  <si>
    <t>1681755586</t>
  </si>
  <si>
    <t>89991110.R</t>
  </si>
  <si>
    <t>Zkouška průchodnosti potrubí do DN 100</t>
  </si>
  <si>
    <t>1052682256</t>
  </si>
  <si>
    <t>-127009095</t>
  </si>
  <si>
    <t>Ulice Budovatelská</t>
  </si>
  <si>
    <t>Stoka H</t>
  </si>
  <si>
    <t>Vodovodní řad 14</t>
  </si>
  <si>
    <t>Kanalizace, stoka H</t>
  </si>
  <si>
    <t>Kanalizace, stoka H 1</t>
  </si>
  <si>
    <t>SO 04</t>
  </si>
  <si>
    <t>SO 4.1.</t>
  </si>
  <si>
    <t>SO 4.2.</t>
  </si>
  <si>
    <t>SO 4.3.</t>
  </si>
  <si>
    <t>SO 04 Ulice Budovatelská</t>
  </si>
  <si>
    <t>SO 4.3 - Vodovodní řad 14</t>
  </si>
  <si>
    <t>SO 4.2 - Kanalizace, stoka H1</t>
  </si>
  <si>
    <t>SO 4.1 - Kanalizace, stoka H</t>
  </si>
  <si>
    <t xml:space="preserve">Poklop hydrantový </t>
  </si>
  <si>
    <t xml:space="preserve">201,12*0,384 "dle položky odstranění pokladu živičného krytu </t>
  </si>
  <si>
    <t>dle položek č.5 a č.60</t>
  </si>
  <si>
    <t>zemina vhodná ke zhutnění pro dosažení projektem požadovaných parametrů Edef2, kterou zakoupí dodavatel</t>
  </si>
  <si>
    <t>6,5*1,5*(1,7-0,4-0,15)</t>
  </si>
  <si>
    <t>2*1,0*1,5*(1,7-0,4-0,15)</t>
  </si>
  <si>
    <t>2,5*1,5*(1,7-0,4-0,15)</t>
  </si>
  <si>
    <t>1,0*1,0*(1,7-0,4-0,15)</t>
  </si>
  <si>
    <t>40,675*0,3 'Přepočtené koeficientem množství</t>
  </si>
  <si>
    <t>lože pod potrubí</t>
  </si>
  <si>
    <t>výkop</t>
  </si>
  <si>
    <t>obsyp porubí štěrkopískem</t>
  </si>
  <si>
    <t>zásyp celkem</t>
  </si>
  <si>
    <t>-34*0,4 "zpětné užití podkladních vrstev konstrukce komunikace</t>
  </si>
  <si>
    <t>14,185*2,0</t>
  </si>
  <si>
    <t>trouba vodovodní litinová hrdlová s návarkem se spjem jištěným proti podélnému posunu a tahu litinovýmmi segmenty /( BLS )povrchová ochrana cementová malta+PP vlákna DN 150</t>
  </si>
  <si>
    <t>kroužek jistící svěrací pro extrémní tlaky a speciální konstrukce DN 150</t>
  </si>
  <si>
    <t>2*(0,6+1,0)*0,83*0,2 "komín</t>
  </si>
  <si>
    <t>(2,37*1,37-0,6*0,6)*0,25 "strop</t>
  </si>
  <si>
    <t>2*1,0*1,15*0,3 "stěny</t>
  </si>
  <si>
    <t>1,943*2,4 "dle položky bourání základů</t>
  </si>
  <si>
    <t>-211,519*0,3 "zpětné užití podkladních vrstev konstrukce komunikace</t>
  </si>
  <si>
    <t>236,86*2,0</t>
  </si>
  <si>
    <t>-1222110162</t>
  </si>
  <si>
    <t>Podklad nebo podsyp z asfaltového recyklátu  s rozprostřením a zhutněním, po zhutnění tl. 150 mm</t>
  </si>
  <si>
    <t>190,19*1,1*0,3 "podkladní vrstvy komunikace pro zpětný zásyp</t>
  </si>
  <si>
    <t>6,5*1,5*0,4"podkladní vrstvy komunikace pro zpětný zásyp</t>
  </si>
  <si>
    <t>2*1,0*1,5*0,4"podkladní vrstvy komunikace pro zpětný zásyp</t>
  </si>
  <si>
    <t>2,5*1,5*0,4"podkladní vrstvy komunikace pro zpětný zásyp</t>
  </si>
  <si>
    <t>1,0*1,0*0,4"podkladní vrstvy komunikace pro zpětný zásyp</t>
  </si>
  <si>
    <t>15,0*1,1*0,4"podkladní vrstvy komunikace pro zpětný zásyp</t>
  </si>
  <si>
    <t>81,68*1,25*0,3 "podkladní vrstvy komunikace pro zpětný zásyp</t>
  </si>
  <si>
    <t>11,24*1,1*0,3 "podkladní vrstvy komunikace pro zpětný zásyp - přípojky</t>
  </si>
  <si>
    <t>lože pod potrubí z písku</t>
  </si>
  <si>
    <t>podkladní konstrukce z betonu</t>
  </si>
  <si>
    <t>sedlové lože potrubí</t>
  </si>
  <si>
    <t>revizní šachty</t>
  </si>
  <si>
    <t>obsyp potrubí štěrkopískem</t>
  </si>
  <si>
    <t>potrubí</t>
  </si>
  <si>
    <t>-116,864*0,3 "zpětné užití podkladních vrstev konstrukce komunikace</t>
  </si>
  <si>
    <t>126,235*2,0</t>
  </si>
  <si>
    <t>564951413-R</t>
  </si>
  <si>
    <t>Odstranění podkladů z asfaltového recyklátu tl. 150 mm</t>
  </si>
  <si>
    <t>113107111-R</t>
  </si>
  <si>
    <t>403,261*0,128 "dle položky frézování živičného krytu tl. 50 mm</t>
  </si>
  <si>
    <t>116,864*0,256 "dle položky frézování živičného krytu tl. 100 mm</t>
  </si>
  <si>
    <t>-3,465*0,3 "zpětné užití podkladních vrstev konstrukce komunikace</t>
  </si>
  <si>
    <t>0,381*2,0</t>
  </si>
  <si>
    <t>3,15*1,1*0,3 "podkladní vrstvy komunikace pro zpětný zásyp</t>
  </si>
  <si>
    <t>Provedení kamerové prohlídky kanalizace de TP objednatele</t>
  </si>
  <si>
    <t>-196,783*0,3 "zpětné užití podkladních vrstev konstrukce komunikace</t>
  </si>
  <si>
    <t>167,086*2,0</t>
  </si>
  <si>
    <t>(147,43+6,1)*1,1+27,9*1,0</t>
  </si>
  <si>
    <t>60 a</t>
  </si>
  <si>
    <t>Vnitřní podpůrná mosazná vložka pro HDPE potrubí D 32</t>
  </si>
  <si>
    <t>67 a</t>
  </si>
  <si>
    <t>Vnitřní podpůrná mosazná vložka pro HDPE potrubí D 63</t>
  </si>
  <si>
    <t>WAGA SPOJKA HRDLO - PŘÍRUBA DN 150 ( NAPŘ. MULTIJOINT 3057 PLUS DN 150 )</t>
  </si>
  <si>
    <t>Geometriký plán pro zřízení služebnosti inženýrské sítě  - Bradlecká, Sadová, Budovatelská</t>
  </si>
  <si>
    <t>65 a</t>
  </si>
  <si>
    <t>včetně pořízení fotodokumentace, zhodnocení stavu okolních staveb, vyspecifikování poruch a předání výsledků investorovi</t>
  </si>
  <si>
    <t>Zajištění  výkopů a překopů oplocením, lávky přes výkopy</t>
  </si>
  <si>
    <t>VRN2</t>
  </si>
  <si>
    <t xml:space="preserve">    VRN2 - Zařízení staveniště</t>
  </si>
  <si>
    <t>Celkem 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</si>
</sst>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0" fillId="0" borderId="0" xfId="0" applyProtection="1">
      <protection/>
    </xf>
    <xf numFmtId="4" fontId="21" fillId="0" borderId="18" xfId="0" applyNumberFormat="1" applyFont="1" applyBorder="1" applyAlignment="1" applyProtection="1">
      <alignment vertical="center"/>
      <protection locked="0"/>
    </xf>
    <xf numFmtId="4" fontId="36" fillId="0" borderId="18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18" xfId="0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167" fontId="21" fillId="0" borderId="18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167" fontId="21" fillId="0" borderId="18" xfId="0" applyNumberFormat="1" applyFont="1" applyFill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49" fontId="36" fillId="0" borderId="18" xfId="0" applyNumberFormat="1" applyFont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center" vertical="center" wrapText="1"/>
      <protection/>
    </xf>
    <xf numFmtId="167" fontId="36" fillId="0" borderId="18" xfId="0" applyNumberFormat="1" applyFont="1" applyBorder="1" applyAlignment="1" applyProtection="1">
      <alignment vertical="center"/>
      <protection/>
    </xf>
    <xf numFmtId="4" fontId="36" fillId="0" borderId="18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0" borderId="14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center" wrapText="1"/>
      <protection/>
    </xf>
    <xf numFmtId="49" fontId="12" fillId="0" borderId="0" xfId="0" applyNumberFormat="1" applyFont="1" applyAlignment="1" applyProtection="1">
      <alignment horizontal="left" vertical="center" wrapText="1"/>
      <protection/>
    </xf>
    <xf numFmtId="0" fontId="36" fillId="4" borderId="18" xfId="0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6" fontId="22" fillId="0" borderId="16" xfId="0" applyNumberFormat="1" applyFont="1" applyBorder="1" applyAlignment="1" applyProtection="1">
      <alignment vertical="center"/>
      <protection/>
    </xf>
    <xf numFmtId="166" fontId="22" fillId="0" borderId="17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2\INV\Kosmonosy%20-%20obnova%20vod%20a%20KNL%20-%20I.%20a%20II.%20etapa\PD\Budovatelsk&#225;\Rozpo&#269;ty\20180121%20-%20Kosmonosy%20obnova%20-%20ulice%20Budovatelsk&#225;%20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Stoka H"/>
      <sheetName val="02 - Stoka H1"/>
      <sheetName val="SO 02 - Vodovod"/>
      <sheetName val="03 - Vedlejší a ostaní ná..."/>
    </sheetNames>
    <sheetDataSet>
      <sheetData sheetId="0">
        <row r="8">
          <cell r="AN8" t="str">
            <v>25. 5. 2020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78">
      <selection activeCell="A78" sqref="A1:XFD1048576"/>
    </sheetView>
  </sheetViews>
  <sheetFormatPr defaultColWidth="9.140625" defaultRowHeight="12"/>
  <cols>
    <col min="1" max="1" width="8.28125" style="76" customWidth="1"/>
    <col min="2" max="2" width="1.7109375" style="76" customWidth="1"/>
    <col min="3" max="3" width="4.140625" style="76" customWidth="1"/>
    <col min="4" max="33" width="2.7109375" style="76" customWidth="1"/>
    <col min="34" max="34" width="3.28125" style="76" customWidth="1"/>
    <col min="35" max="35" width="31.7109375" style="76" customWidth="1"/>
    <col min="36" max="37" width="2.421875" style="76" customWidth="1"/>
    <col min="38" max="38" width="8.28125" style="76" customWidth="1"/>
    <col min="39" max="39" width="3.28125" style="76" customWidth="1"/>
    <col min="40" max="40" width="13.28125" style="76" customWidth="1"/>
    <col min="41" max="41" width="7.421875" style="76" customWidth="1"/>
    <col min="42" max="42" width="4.140625" style="76" customWidth="1"/>
    <col min="43" max="43" width="15.7109375" style="76" hidden="1" customWidth="1"/>
    <col min="44" max="44" width="13.7109375" style="76" customWidth="1"/>
    <col min="45" max="47" width="25.8515625" style="76" hidden="1" customWidth="1"/>
    <col min="48" max="49" width="21.7109375" style="76" hidden="1" customWidth="1"/>
    <col min="50" max="51" width="25.00390625" style="76" hidden="1" customWidth="1"/>
    <col min="52" max="52" width="21.7109375" style="76" hidden="1" customWidth="1"/>
    <col min="53" max="53" width="19.140625" style="76" hidden="1" customWidth="1"/>
    <col min="54" max="54" width="25.00390625" style="76" hidden="1" customWidth="1"/>
    <col min="55" max="55" width="21.7109375" style="76" hidden="1" customWidth="1"/>
    <col min="56" max="56" width="19.140625" style="76" hidden="1" customWidth="1"/>
    <col min="57" max="57" width="66.421875" style="76" customWidth="1"/>
    <col min="58" max="70" width="9.28125" style="76" customWidth="1"/>
    <col min="71" max="91" width="9.28125" style="76" hidden="1" customWidth="1"/>
    <col min="92" max="16384" width="9.28125" style="76" customWidth="1"/>
  </cols>
  <sheetData>
    <row r="1" spans="1:74" ht="12" hidden="1">
      <c r="A1" s="4" t="s">
        <v>0</v>
      </c>
      <c r="AZ1" s="4" t="s">
        <v>1</v>
      </c>
      <c r="BA1" s="4" t="s">
        <v>2</v>
      </c>
      <c r="BB1" s="4" t="s">
        <v>1</v>
      </c>
      <c r="BT1" s="4" t="s">
        <v>3</v>
      </c>
      <c r="BU1" s="4" t="s">
        <v>3</v>
      </c>
      <c r="BV1" s="4" t="s">
        <v>4</v>
      </c>
    </row>
    <row r="2" spans="44:72" ht="36.95" customHeight="1" hidden="1">
      <c r="AR2" s="256" t="s">
        <v>5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5" t="s">
        <v>6</v>
      </c>
      <c r="BT2" s="5" t="s">
        <v>7</v>
      </c>
    </row>
    <row r="3" spans="2:72" ht="6.95" customHeight="1" hidden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BS3" s="5" t="s">
        <v>6</v>
      </c>
      <c r="BT3" s="5" t="s">
        <v>8</v>
      </c>
    </row>
    <row r="4" spans="2:71" ht="24.95" customHeight="1" hidden="1">
      <c r="B4" s="8"/>
      <c r="D4" s="9" t="s">
        <v>9</v>
      </c>
      <c r="AR4" s="8"/>
      <c r="AS4" s="10" t="s">
        <v>10</v>
      </c>
      <c r="BS4" s="5" t="s">
        <v>11</v>
      </c>
    </row>
    <row r="5" spans="2:71" ht="12" customHeight="1" hidden="1">
      <c r="B5" s="8"/>
      <c r="D5" s="11" t="s">
        <v>12</v>
      </c>
      <c r="K5" s="265" t="s">
        <v>13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8"/>
      <c r="BS5" s="5" t="s">
        <v>6</v>
      </c>
    </row>
    <row r="6" spans="2:71" ht="36.95" customHeight="1" hidden="1">
      <c r="B6" s="8"/>
      <c r="D6" s="12" t="s">
        <v>14</v>
      </c>
      <c r="K6" s="266" t="s">
        <v>15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8"/>
      <c r="BS6" s="5" t="s">
        <v>6</v>
      </c>
    </row>
    <row r="7" spans="2:71" ht="12" customHeight="1" hidden="1">
      <c r="B7" s="8"/>
      <c r="D7" s="81" t="s">
        <v>16</v>
      </c>
      <c r="K7" s="75" t="s">
        <v>1</v>
      </c>
      <c r="AK7" s="81" t="s">
        <v>17</v>
      </c>
      <c r="AN7" s="75" t="s">
        <v>1</v>
      </c>
      <c r="AR7" s="8"/>
      <c r="BS7" s="5" t="s">
        <v>6</v>
      </c>
    </row>
    <row r="8" spans="2:71" ht="12" customHeight="1" hidden="1">
      <c r="B8" s="8"/>
      <c r="D8" s="81" t="s">
        <v>18</v>
      </c>
      <c r="K8" s="75" t="s">
        <v>19</v>
      </c>
      <c r="AK8" s="81" t="s">
        <v>20</v>
      </c>
      <c r="AN8" s="75" t="s">
        <v>21</v>
      </c>
      <c r="AR8" s="8"/>
      <c r="BS8" s="5" t="s">
        <v>6</v>
      </c>
    </row>
    <row r="9" spans="2:71" ht="14.45" customHeight="1" hidden="1">
      <c r="B9" s="8"/>
      <c r="AR9" s="8"/>
      <c r="BS9" s="5" t="s">
        <v>6</v>
      </c>
    </row>
    <row r="10" spans="2:71" ht="12" customHeight="1" hidden="1">
      <c r="B10" s="8"/>
      <c r="D10" s="81" t="s">
        <v>22</v>
      </c>
      <c r="AK10" s="81" t="s">
        <v>23</v>
      </c>
      <c r="AN10" s="75" t="s">
        <v>24</v>
      </c>
      <c r="AR10" s="8"/>
      <c r="BS10" s="5" t="s">
        <v>6</v>
      </c>
    </row>
    <row r="11" spans="2:71" ht="18.4" customHeight="1" hidden="1">
      <c r="B11" s="8"/>
      <c r="E11" s="75" t="s">
        <v>25</v>
      </c>
      <c r="AK11" s="81" t="s">
        <v>26</v>
      </c>
      <c r="AN11" s="75" t="s">
        <v>27</v>
      </c>
      <c r="AR11" s="8"/>
      <c r="BS11" s="5" t="s">
        <v>6</v>
      </c>
    </row>
    <row r="12" spans="2:71" ht="6.95" customHeight="1" hidden="1">
      <c r="B12" s="8"/>
      <c r="AR12" s="8"/>
      <c r="BS12" s="5" t="s">
        <v>6</v>
      </c>
    </row>
    <row r="13" spans="2:71" ht="12" customHeight="1" hidden="1">
      <c r="B13" s="8"/>
      <c r="D13" s="81" t="s">
        <v>28</v>
      </c>
      <c r="AK13" s="81" t="s">
        <v>23</v>
      </c>
      <c r="AN13" s="75" t="s">
        <v>1</v>
      </c>
      <c r="AR13" s="8"/>
      <c r="BS13" s="5" t="s">
        <v>6</v>
      </c>
    </row>
    <row r="14" spans="2:71" ht="12.75" hidden="1">
      <c r="B14" s="8"/>
      <c r="E14" s="75" t="s">
        <v>29</v>
      </c>
      <c r="AK14" s="81" t="s">
        <v>26</v>
      </c>
      <c r="AN14" s="75" t="s">
        <v>1</v>
      </c>
      <c r="AR14" s="8"/>
      <c r="BS14" s="5" t="s">
        <v>6</v>
      </c>
    </row>
    <row r="15" spans="2:71" ht="6.95" customHeight="1" hidden="1">
      <c r="B15" s="8"/>
      <c r="AR15" s="8"/>
      <c r="BS15" s="5" t="s">
        <v>3</v>
      </c>
    </row>
    <row r="16" spans="2:71" ht="12" customHeight="1" hidden="1">
      <c r="B16" s="8"/>
      <c r="D16" s="81" t="s">
        <v>30</v>
      </c>
      <c r="AK16" s="81" t="s">
        <v>23</v>
      </c>
      <c r="AN16" s="75" t="s">
        <v>31</v>
      </c>
      <c r="AR16" s="8"/>
      <c r="BS16" s="5" t="s">
        <v>3</v>
      </c>
    </row>
    <row r="17" spans="2:71" ht="18.4" customHeight="1" hidden="1">
      <c r="B17" s="8"/>
      <c r="E17" s="75" t="s">
        <v>32</v>
      </c>
      <c r="AK17" s="81" t="s">
        <v>26</v>
      </c>
      <c r="AN17" s="75" t="s">
        <v>33</v>
      </c>
      <c r="AR17" s="8"/>
      <c r="BS17" s="5" t="s">
        <v>34</v>
      </c>
    </row>
    <row r="18" spans="2:71" ht="6.95" customHeight="1" hidden="1">
      <c r="B18" s="8"/>
      <c r="AR18" s="8"/>
      <c r="BS18" s="5" t="s">
        <v>6</v>
      </c>
    </row>
    <row r="19" spans="2:71" ht="12" customHeight="1" hidden="1">
      <c r="B19" s="8"/>
      <c r="D19" s="81" t="s">
        <v>35</v>
      </c>
      <c r="AK19" s="81" t="s">
        <v>23</v>
      </c>
      <c r="AN19" s="75" t="s">
        <v>1</v>
      </c>
      <c r="AR19" s="8"/>
      <c r="BS19" s="5" t="s">
        <v>6</v>
      </c>
    </row>
    <row r="20" spans="2:71" ht="18.4" customHeight="1" hidden="1">
      <c r="B20" s="8"/>
      <c r="E20" s="75" t="s">
        <v>36</v>
      </c>
      <c r="AK20" s="81" t="s">
        <v>26</v>
      </c>
      <c r="AN20" s="75" t="s">
        <v>1</v>
      </c>
      <c r="AR20" s="8"/>
      <c r="BS20" s="5" t="s">
        <v>3</v>
      </c>
    </row>
    <row r="21" spans="2:44" ht="6.95" customHeight="1" hidden="1">
      <c r="B21" s="8"/>
      <c r="AR21" s="8"/>
    </row>
    <row r="22" spans="2:44" ht="12" customHeight="1" hidden="1">
      <c r="B22" s="8"/>
      <c r="D22" s="81" t="s">
        <v>37</v>
      </c>
      <c r="AR22" s="8"/>
    </row>
    <row r="23" spans="2:44" ht="47.25" customHeight="1" hidden="1">
      <c r="B23" s="8"/>
      <c r="E23" s="267" t="s">
        <v>38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8"/>
    </row>
    <row r="24" spans="2:44" ht="6.95" customHeight="1" hidden="1">
      <c r="B24" s="8"/>
      <c r="AR24" s="8"/>
    </row>
    <row r="25" spans="2:44" ht="6.95" customHeight="1" hidden="1">
      <c r="B25" s="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8"/>
    </row>
    <row r="26" spans="1:57" s="1" customFormat="1" ht="25.9" customHeight="1" hidden="1">
      <c r="A26" s="80"/>
      <c r="B26" s="14"/>
      <c r="C26" s="80"/>
      <c r="D26" s="15" t="s">
        <v>39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268">
        <f>ROUND(AG94,2)</f>
        <v>0</v>
      </c>
      <c r="AL26" s="269"/>
      <c r="AM26" s="269"/>
      <c r="AN26" s="269"/>
      <c r="AO26" s="269"/>
      <c r="AP26" s="80"/>
      <c r="AQ26" s="80"/>
      <c r="AR26" s="14"/>
      <c r="BE26" s="80"/>
    </row>
    <row r="27" spans="1:57" s="1" customFormat="1" ht="6.95" customHeight="1" hidden="1">
      <c r="A27" s="80"/>
      <c r="B27" s="14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4"/>
      <c r="BE27" s="80"/>
    </row>
    <row r="28" spans="1:57" s="1" customFormat="1" ht="12.75" hidden="1">
      <c r="A28" s="80"/>
      <c r="B28" s="14"/>
      <c r="C28" s="80"/>
      <c r="D28" s="80"/>
      <c r="E28" s="80"/>
      <c r="F28" s="80"/>
      <c r="G28" s="80"/>
      <c r="H28" s="80"/>
      <c r="I28" s="80"/>
      <c r="J28" s="80"/>
      <c r="K28" s="80"/>
      <c r="L28" s="270" t="s">
        <v>40</v>
      </c>
      <c r="M28" s="270"/>
      <c r="N28" s="270"/>
      <c r="O28" s="270"/>
      <c r="P28" s="270"/>
      <c r="Q28" s="80"/>
      <c r="R28" s="80"/>
      <c r="S28" s="80"/>
      <c r="T28" s="80"/>
      <c r="U28" s="80"/>
      <c r="V28" s="80"/>
      <c r="W28" s="270" t="s">
        <v>41</v>
      </c>
      <c r="X28" s="270"/>
      <c r="Y28" s="270"/>
      <c r="Z28" s="270"/>
      <c r="AA28" s="270"/>
      <c r="AB28" s="270"/>
      <c r="AC28" s="270"/>
      <c r="AD28" s="270"/>
      <c r="AE28" s="270"/>
      <c r="AF28" s="80"/>
      <c r="AG28" s="80"/>
      <c r="AH28" s="80"/>
      <c r="AI28" s="80"/>
      <c r="AJ28" s="80"/>
      <c r="AK28" s="270" t="s">
        <v>42</v>
      </c>
      <c r="AL28" s="270"/>
      <c r="AM28" s="270"/>
      <c r="AN28" s="270"/>
      <c r="AO28" s="270"/>
      <c r="AP28" s="80"/>
      <c r="AQ28" s="80"/>
      <c r="AR28" s="14"/>
      <c r="BE28" s="80"/>
    </row>
    <row r="29" spans="2:44" s="78" customFormat="1" ht="14.45" customHeight="1" hidden="1">
      <c r="B29" s="16"/>
      <c r="D29" s="81" t="s">
        <v>43</v>
      </c>
      <c r="F29" s="81" t="s">
        <v>44</v>
      </c>
      <c r="L29" s="258">
        <v>0.21</v>
      </c>
      <c r="M29" s="259"/>
      <c r="N29" s="259"/>
      <c r="O29" s="259"/>
      <c r="P29" s="259"/>
      <c r="W29" s="260" t="e">
        <f>ROUND(AZ94,2)</f>
        <v>#REF!</v>
      </c>
      <c r="X29" s="259"/>
      <c r="Y29" s="259"/>
      <c r="Z29" s="259"/>
      <c r="AA29" s="259"/>
      <c r="AB29" s="259"/>
      <c r="AC29" s="259"/>
      <c r="AD29" s="259"/>
      <c r="AE29" s="259"/>
      <c r="AK29" s="260" t="e">
        <f>ROUND(AV94,2)</f>
        <v>#REF!</v>
      </c>
      <c r="AL29" s="259"/>
      <c r="AM29" s="259"/>
      <c r="AN29" s="259"/>
      <c r="AO29" s="259"/>
      <c r="AR29" s="16"/>
    </row>
    <row r="30" spans="2:44" s="78" customFormat="1" ht="14.45" customHeight="1" hidden="1">
      <c r="B30" s="16"/>
      <c r="F30" s="81" t="s">
        <v>45</v>
      </c>
      <c r="L30" s="258">
        <v>0.15</v>
      </c>
      <c r="M30" s="259"/>
      <c r="N30" s="259"/>
      <c r="O30" s="259"/>
      <c r="P30" s="259"/>
      <c r="W30" s="260" t="e">
        <f>ROUND(BA94,2)</f>
        <v>#REF!</v>
      </c>
      <c r="X30" s="259"/>
      <c r="Y30" s="259"/>
      <c r="Z30" s="259"/>
      <c r="AA30" s="259"/>
      <c r="AB30" s="259"/>
      <c r="AC30" s="259"/>
      <c r="AD30" s="259"/>
      <c r="AE30" s="259"/>
      <c r="AK30" s="260" t="e">
        <f>ROUND(AW94,2)</f>
        <v>#REF!</v>
      </c>
      <c r="AL30" s="259"/>
      <c r="AM30" s="259"/>
      <c r="AN30" s="259"/>
      <c r="AO30" s="259"/>
      <c r="AR30" s="16"/>
    </row>
    <row r="31" spans="2:44" s="78" customFormat="1" ht="14.45" customHeight="1" hidden="1">
      <c r="B31" s="16"/>
      <c r="F31" s="81" t="s">
        <v>46</v>
      </c>
      <c r="L31" s="258">
        <v>0.21</v>
      </c>
      <c r="M31" s="259"/>
      <c r="N31" s="259"/>
      <c r="O31" s="259"/>
      <c r="P31" s="259"/>
      <c r="W31" s="260" t="e">
        <f>ROUND(BB94,2)</f>
        <v>#REF!</v>
      </c>
      <c r="X31" s="259"/>
      <c r="Y31" s="259"/>
      <c r="Z31" s="259"/>
      <c r="AA31" s="259"/>
      <c r="AB31" s="259"/>
      <c r="AC31" s="259"/>
      <c r="AD31" s="259"/>
      <c r="AE31" s="259"/>
      <c r="AK31" s="260">
        <v>0</v>
      </c>
      <c r="AL31" s="259"/>
      <c r="AM31" s="259"/>
      <c r="AN31" s="259"/>
      <c r="AO31" s="259"/>
      <c r="AR31" s="16"/>
    </row>
    <row r="32" spans="2:44" s="78" customFormat="1" ht="14.45" customHeight="1" hidden="1">
      <c r="B32" s="16"/>
      <c r="F32" s="81" t="s">
        <v>47</v>
      </c>
      <c r="L32" s="258">
        <v>0.15</v>
      </c>
      <c r="M32" s="259"/>
      <c r="N32" s="259"/>
      <c r="O32" s="259"/>
      <c r="P32" s="259"/>
      <c r="W32" s="260" t="e">
        <f>ROUND(BC94,2)</f>
        <v>#REF!</v>
      </c>
      <c r="X32" s="259"/>
      <c r="Y32" s="259"/>
      <c r="Z32" s="259"/>
      <c r="AA32" s="259"/>
      <c r="AB32" s="259"/>
      <c r="AC32" s="259"/>
      <c r="AD32" s="259"/>
      <c r="AE32" s="259"/>
      <c r="AK32" s="260">
        <v>0</v>
      </c>
      <c r="AL32" s="259"/>
      <c r="AM32" s="259"/>
      <c r="AN32" s="259"/>
      <c r="AO32" s="259"/>
      <c r="AR32" s="16"/>
    </row>
    <row r="33" spans="2:44" s="78" customFormat="1" ht="14.45" customHeight="1" hidden="1">
      <c r="B33" s="16"/>
      <c r="F33" s="81" t="s">
        <v>48</v>
      </c>
      <c r="L33" s="258">
        <v>0</v>
      </c>
      <c r="M33" s="259"/>
      <c r="N33" s="259"/>
      <c r="O33" s="259"/>
      <c r="P33" s="259"/>
      <c r="W33" s="260" t="e">
        <f>ROUND(BD94,2)</f>
        <v>#REF!</v>
      </c>
      <c r="X33" s="259"/>
      <c r="Y33" s="259"/>
      <c r="Z33" s="259"/>
      <c r="AA33" s="259"/>
      <c r="AB33" s="259"/>
      <c r="AC33" s="259"/>
      <c r="AD33" s="259"/>
      <c r="AE33" s="259"/>
      <c r="AK33" s="260">
        <v>0</v>
      </c>
      <c r="AL33" s="259"/>
      <c r="AM33" s="259"/>
      <c r="AN33" s="259"/>
      <c r="AO33" s="259"/>
      <c r="AR33" s="16"/>
    </row>
    <row r="34" spans="1:57" s="1" customFormat="1" ht="6.95" customHeight="1" hidden="1">
      <c r="A34" s="80"/>
      <c r="B34" s="1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4"/>
      <c r="BE34" s="80"/>
    </row>
    <row r="35" spans="1:57" s="1" customFormat="1" ht="25.9" customHeight="1" hidden="1">
      <c r="A35" s="80"/>
      <c r="B35" s="14"/>
      <c r="C35" s="17"/>
      <c r="D35" s="18" t="s">
        <v>49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19" t="s">
        <v>50</v>
      </c>
      <c r="U35" s="79"/>
      <c r="V35" s="79"/>
      <c r="W35" s="79"/>
      <c r="X35" s="264" t="s">
        <v>51</v>
      </c>
      <c r="Y35" s="262"/>
      <c r="Z35" s="262"/>
      <c r="AA35" s="262"/>
      <c r="AB35" s="262"/>
      <c r="AC35" s="79"/>
      <c r="AD35" s="79"/>
      <c r="AE35" s="79"/>
      <c r="AF35" s="79"/>
      <c r="AG35" s="79"/>
      <c r="AH35" s="79"/>
      <c r="AI35" s="79"/>
      <c r="AJ35" s="79"/>
      <c r="AK35" s="261" t="e">
        <f>SUM(AK26:AK33)</f>
        <v>#REF!</v>
      </c>
      <c r="AL35" s="262"/>
      <c r="AM35" s="262"/>
      <c r="AN35" s="262"/>
      <c r="AO35" s="263"/>
      <c r="AP35" s="17"/>
      <c r="AQ35" s="17"/>
      <c r="AR35" s="14"/>
      <c r="BE35" s="80"/>
    </row>
    <row r="36" spans="1:57" s="1" customFormat="1" ht="6.95" customHeight="1" hidden="1">
      <c r="A36" s="80"/>
      <c r="B36" s="1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4"/>
      <c r="BE36" s="80"/>
    </row>
    <row r="37" spans="1:57" s="1" customFormat="1" ht="14.45" customHeight="1" hidden="1">
      <c r="A37" s="80"/>
      <c r="B37" s="1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4"/>
      <c r="BE37" s="80"/>
    </row>
    <row r="38" spans="2:44" ht="14.45" customHeight="1" hidden="1">
      <c r="B38" s="8"/>
      <c r="AR38" s="8"/>
    </row>
    <row r="39" spans="2:44" ht="14.45" customHeight="1" hidden="1">
      <c r="B39" s="8"/>
      <c r="AR39" s="8"/>
    </row>
    <row r="40" spans="2:44" ht="14.45" customHeight="1" hidden="1">
      <c r="B40" s="8"/>
      <c r="AR40" s="8"/>
    </row>
    <row r="41" spans="2:44" ht="14.45" customHeight="1" hidden="1">
      <c r="B41" s="8"/>
      <c r="AR41" s="8"/>
    </row>
    <row r="42" spans="2:44" ht="14.45" customHeight="1" hidden="1">
      <c r="B42" s="8"/>
      <c r="AR42" s="8"/>
    </row>
    <row r="43" spans="2:44" ht="14.45" customHeight="1" hidden="1">
      <c r="B43" s="8"/>
      <c r="AR43" s="8"/>
    </row>
    <row r="44" spans="2:44" ht="14.45" customHeight="1" hidden="1">
      <c r="B44" s="8"/>
      <c r="AR44" s="8"/>
    </row>
    <row r="45" spans="2:44" ht="14.45" customHeight="1" hidden="1">
      <c r="B45" s="8"/>
      <c r="AR45" s="8"/>
    </row>
    <row r="46" spans="2:44" ht="14.45" customHeight="1" hidden="1">
      <c r="B46" s="8"/>
      <c r="AR46" s="8"/>
    </row>
    <row r="47" spans="2:44" ht="14.45" customHeight="1" hidden="1">
      <c r="B47" s="8"/>
      <c r="AR47" s="8"/>
    </row>
    <row r="48" spans="2:44" ht="14.45" customHeight="1" hidden="1">
      <c r="B48" s="8"/>
      <c r="AR48" s="8"/>
    </row>
    <row r="49" spans="2:44" s="1" customFormat="1" ht="14.45" customHeight="1" hidden="1">
      <c r="B49" s="20"/>
      <c r="D49" s="21" t="s">
        <v>52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1" t="s">
        <v>53</v>
      </c>
      <c r="AI49" s="22"/>
      <c r="AJ49" s="22"/>
      <c r="AK49" s="22"/>
      <c r="AL49" s="22"/>
      <c r="AM49" s="22"/>
      <c r="AN49" s="22"/>
      <c r="AO49" s="22"/>
      <c r="AR49" s="20"/>
    </row>
    <row r="50" spans="2:44" ht="12" hidden="1">
      <c r="B50" s="8"/>
      <c r="AR50" s="8"/>
    </row>
    <row r="51" spans="2:44" ht="12" hidden="1">
      <c r="B51" s="8"/>
      <c r="AR51" s="8"/>
    </row>
    <row r="52" spans="2:44" ht="12" hidden="1">
      <c r="B52" s="8"/>
      <c r="AR52" s="8"/>
    </row>
    <row r="53" spans="2:44" ht="12" hidden="1">
      <c r="B53" s="8"/>
      <c r="AR53" s="8"/>
    </row>
    <row r="54" spans="2:44" ht="12" hidden="1">
      <c r="B54" s="8"/>
      <c r="AR54" s="8"/>
    </row>
    <row r="55" spans="2:44" ht="12" hidden="1">
      <c r="B55" s="8"/>
      <c r="AR55" s="8"/>
    </row>
    <row r="56" spans="2:44" ht="12" hidden="1">
      <c r="B56" s="8"/>
      <c r="AR56" s="8"/>
    </row>
    <row r="57" spans="2:44" ht="12" hidden="1">
      <c r="B57" s="8"/>
      <c r="AR57" s="8"/>
    </row>
    <row r="58" spans="2:44" ht="12" hidden="1">
      <c r="B58" s="8"/>
      <c r="AR58" s="8"/>
    </row>
    <row r="59" spans="2:44" ht="12" hidden="1">
      <c r="B59" s="8"/>
      <c r="AR59" s="8"/>
    </row>
    <row r="60" spans="1:57" s="1" customFormat="1" ht="12.75" hidden="1">
      <c r="A60" s="80"/>
      <c r="B60" s="14"/>
      <c r="C60" s="80"/>
      <c r="D60" s="23" t="s">
        <v>54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23" t="s">
        <v>55</v>
      </c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23" t="s">
        <v>54</v>
      </c>
      <c r="AI60" s="77"/>
      <c r="AJ60" s="77"/>
      <c r="AK60" s="77"/>
      <c r="AL60" s="77"/>
      <c r="AM60" s="23" t="s">
        <v>55</v>
      </c>
      <c r="AN60" s="77"/>
      <c r="AO60" s="77"/>
      <c r="AP60" s="80"/>
      <c r="AQ60" s="80"/>
      <c r="AR60" s="14"/>
      <c r="BE60" s="80"/>
    </row>
    <row r="61" spans="2:44" ht="12" hidden="1">
      <c r="B61" s="8"/>
      <c r="AR61" s="8"/>
    </row>
    <row r="62" spans="2:44" ht="12" hidden="1">
      <c r="B62" s="8"/>
      <c r="AR62" s="8"/>
    </row>
    <row r="63" spans="2:44" ht="12" hidden="1">
      <c r="B63" s="8"/>
      <c r="AR63" s="8"/>
    </row>
    <row r="64" spans="1:57" s="1" customFormat="1" ht="12.75" hidden="1">
      <c r="A64" s="80"/>
      <c r="B64" s="14"/>
      <c r="C64" s="80"/>
      <c r="D64" s="21" t="s">
        <v>56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1" t="s">
        <v>57</v>
      </c>
      <c r="AI64" s="24"/>
      <c r="AJ64" s="24"/>
      <c r="AK64" s="24"/>
      <c r="AL64" s="24"/>
      <c r="AM64" s="24"/>
      <c r="AN64" s="24"/>
      <c r="AO64" s="24"/>
      <c r="AP64" s="80"/>
      <c r="AQ64" s="80"/>
      <c r="AR64" s="14"/>
      <c r="BE64" s="80"/>
    </row>
    <row r="65" spans="2:44" ht="12" hidden="1">
      <c r="B65" s="8"/>
      <c r="AR65" s="8"/>
    </row>
    <row r="66" spans="2:44" ht="12" hidden="1">
      <c r="B66" s="8"/>
      <c r="AR66" s="8"/>
    </row>
    <row r="67" spans="2:44" ht="12" hidden="1">
      <c r="B67" s="8"/>
      <c r="AR67" s="8"/>
    </row>
    <row r="68" spans="2:44" ht="12" hidden="1">
      <c r="B68" s="8"/>
      <c r="AR68" s="8"/>
    </row>
    <row r="69" spans="2:44" ht="12" hidden="1">
      <c r="B69" s="8"/>
      <c r="AR69" s="8"/>
    </row>
    <row r="70" spans="2:44" ht="12" hidden="1">
      <c r="B70" s="8"/>
      <c r="AR70" s="8"/>
    </row>
    <row r="71" spans="2:44" ht="12" hidden="1">
      <c r="B71" s="8"/>
      <c r="AR71" s="8"/>
    </row>
    <row r="72" spans="2:44" ht="12" hidden="1">
      <c r="B72" s="8"/>
      <c r="AR72" s="8"/>
    </row>
    <row r="73" spans="2:44" ht="12" hidden="1">
      <c r="B73" s="8"/>
      <c r="AR73" s="8"/>
    </row>
    <row r="74" spans="2:44" ht="12" hidden="1">
      <c r="B74" s="8"/>
      <c r="AR74" s="8"/>
    </row>
    <row r="75" spans="1:57" s="1" customFormat="1" ht="12.75" hidden="1">
      <c r="A75" s="80"/>
      <c r="B75" s="14"/>
      <c r="C75" s="80"/>
      <c r="D75" s="23" t="s">
        <v>54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23" t="s">
        <v>55</v>
      </c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23" t="s">
        <v>54</v>
      </c>
      <c r="AI75" s="77"/>
      <c r="AJ75" s="77"/>
      <c r="AK75" s="77"/>
      <c r="AL75" s="77"/>
      <c r="AM75" s="23" t="s">
        <v>55</v>
      </c>
      <c r="AN75" s="77"/>
      <c r="AO75" s="77"/>
      <c r="AP75" s="80"/>
      <c r="AQ75" s="80"/>
      <c r="AR75" s="14"/>
      <c r="BE75" s="80"/>
    </row>
    <row r="76" spans="1:57" s="1" customFormat="1" ht="12" hidden="1">
      <c r="A76" s="80"/>
      <c r="B76" s="14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14"/>
      <c r="BE76" s="80"/>
    </row>
    <row r="77" spans="1:57" s="1" customFormat="1" ht="12" customHeight="1" hidden="1">
      <c r="A77" s="80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14"/>
      <c r="BE77" s="80"/>
    </row>
    <row r="81" spans="1:57" s="1" customFormat="1" ht="6.95" customHeight="1">
      <c r="A81" s="80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14"/>
      <c r="BE81" s="80"/>
    </row>
    <row r="82" spans="1:57" s="1" customFormat="1" ht="24.95" customHeight="1">
      <c r="A82" s="80"/>
      <c r="B82" s="14"/>
      <c r="C82" s="9" t="s">
        <v>58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14"/>
      <c r="BE82" s="80"/>
    </row>
    <row r="83" spans="1:57" s="1" customFormat="1" ht="6.95" customHeight="1">
      <c r="A83" s="80"/>
      <c r="B83" s="1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14"/>
      <c r="BE83" s="80"/>
    </row>
    <row r="84" spans="2:44" s="72" customFormat="1" ht="12" customHeight="1">
      <c r="B84" s="29"/>
      <c r="C84" s="81" t="s">
        <v>12</v>
      </c>
      <c r="L84" s="72" t="str">
        <f>K5</f>
        <v>20180121</v>
      </c>
      <c r="AR84" s="29"/>
    </row>
    <row r="85" spans="2:44" s="71" customFormat="1" ht="36.95" customHeight="1">
      <c r="B85" s="30"/>
      <c r="C85" s="31" t="s">
        <v>14</v>
      </c>
      <c r="L85" s="275" t="str">
        <f>K6</f>
        <v>Kosmonosy, obnova vodovodu a kanalizace - 3. etapa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R85" s="30"/>
    </row>
    <row r="86" spans="1:57" s="1" customFormat="1" ht="6.95" customHeight="1">
      <c r="A86" s="80"/>
      <c r="B86" s="1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14"/>
      <c r="BE86" s="80"/>
    </row>
    <row r="87" spans="1:57" s="1" customFormat="1" ht="12" customHeight="1">
      <c r="A87" s="80"/>
      <c r="B87" s="14"/>
      <c r="C87" s="81" t="s">
        <v>18</v>
      </c>
      <c r="D87" s="80"/>
      <c r="E87" s="80"/>
      <c r="F87" s="80"/>
      <c r="G87" s="80"/>
      <c r="H87" s="80"/>
      <c r="I87" s="80"/>
      <c r="J87" s="80"/>
      <c r="K87" s="80"/>
      <c r="L87" s="32" t="str">
        <f>IF(K8="","",K8)</f>
        <v>Kosmonosy</v>
      </c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1" t="s">
        <v>20</v>
      </c>
      <c r="AJ87" s="80"/>
      <c r="AK87" s="80"/>
      <c r="AL87" s="80"/>
      <c r="AM87" s="277" t="str">
        <f>IF(AN8="","",AN8)</f>
        <v>2. 3. 2020</v>
      </c>
      <c r="AN87" s="277"/>
      <c r="AO87" s="80"/>
      <c r="AP87" s="80"/>
      <c r="AQ87" s="80"/>
      <c r="AR87" s="14"/>
      <c r="BE87" s="80"/>
    </row>
    <row r="88" spans="1:57" s="1" customFormat="1" ht="6.95" customHeight="1">
      <c r="A88" s="80"/>
      <c r="B88" s="1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14"/>
      <c r="BE88" s="80"/>
    </row>
    <row r="89" spans="1:57" s="1" customFormat="1" ht="15.2" customHeight="1">
      <c r="A89" s="80"/>
      <c r="B89" s="14"/>
      <c r="C89" s="81" t="s">
        <v>22</v>
      </c>
      <c r="D89" s="80"/>
      <c r="E89" s="80"/>
      <c r="F89" s="80"/>
      <c r="G89" s="80"/>
      <c r="H89" s="80"/>
      <c r="I89" s="80"/>
      <c r="J89" s="80"/>
      <c r="K89" s="80"/>
      <c r="L89" s="72" t="str">
        <f>IF(E11="","",E11)</f>
        <v>Vodovody a kanalizace Mladá Boleslav, a.s.</v>
      </c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1" t="s">
        <v>30</v>
      </c>
      <c r="AJ89" s="80"/>
      <c r="AK89" s="80"/>
      <c r="AL89" s="80"/>
      <c r="AM89" s="278" t="str">
        <f>IF(E17="","",E17)</f>
        <v>ŠINDLAR s.r.o.</v>
      </c>
      <c r="AN89" s="279"/>
      <c r="AO89" s="279"/>
      <c r="AP89" s="279"/>
      <c r="AQ89" s="80"/>
      <c r="AR89" s="14"/>
      <c r="AS89" s="280" t="s">
        <v>59</v>
      </c>
      <c r="AT89" s="281"/>
      <c r="AU89" s="33"/>
      <c r="AV89" s="33"/>
      <c r="AW89" s="33"/>
      <c r="AX89" s="33"/>
      <c r="AY89" s="33"/>
      <c r="AZ89" s="33"/>
      <c r="BA89" s="33"/>
      <c r="BB89" s="33"/>
      <c r="BC89" s="33"/>
      <c r="BD89" s="34"/>
      <c r="BE89" s="80"/>
    </row>
    <row r="90" spans="1:57" s="1" customFormat="1" ht="15.2" customHeight="1">
      <c r="A90" s="80"/>
      <c r="B90" s="14"/>
      <c r="C90" s="81" t="s">
        <v>28</v>
      </c>
      <c r="D90" s="80"/>
      <c r="E90" s="80"/>
      <c r="F90" s="80"/>
      <c r="G90" s="80"/>
      <c r="H90" s="80"/>
      <c r="I90" s="80"/>
      <c r="J90" s="80"/>
      <c r="K90" s="80"/>
      <c r="L90" s="72" t="str">
        <f>IF(E14="","",E14)</f>
        <v>Dle výběrového řízení</v>
      </c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1" t="s">
        <v>35</v>
      </c>
      <c r="AJ90" s="80"/>
      <c r="AK90" s="80"/>
      <c r="AL90" s="80"/>
      <c r="AM90" s="278" t="str">
        <f>IF(E20="","",E20)</f>
        <v>Roman Bárta</v>
      </c>
      <c r="AN90" s="279"/>
      <c r="AO90" s="279"/>
      <c r="AP90" s="279"/>
      <c r="AQ90" s="80"/>
      <c r="AR90" s="14"/>
      <c r="AS90" s="282"/>
      <c r="AT90" s="283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80"/>
    </row>
    <row r="91" spans="1:57" s="1" customFormat="1" ht="10.9" customHeight="1">
      <c r="A91" s="80"/>
      <c r="B91" s="1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14"/>
      <c r="AS91" s="282"/>
      <c r="AT91" s="283"/>
      <c r="AU91" s="35"/>
      <c r="AV91" s="35"/>
      <c r="AW91" s="35"/>
      <c r="AX91" s="35"/>
      <c r="AY91" s="35"/>
      <c r="AZ91" s="35"/>
      <c r="BA91" s="35"/>
      <c r="BB91" s="35"/>
      <c r="BC91" s="35"/>
      <c r="BD91" s="36"/>
      <c r="BE91" s="80"/>
    </row>
    <row r="92" spans="1:57" s="294" customFormat="1" ht="29.25" customHeight="1">
      <c r="A92" s="292"/>
      <c r="B92" s="293"/>
      <c r="C92" s="301" t="s">
        <v>60</v>
      </c>
      <c r="D92" s="302"/>
      <c r="E92" s="302"/>
      <c r="F92" s="302"/>
      <c r="G92" s="302"/>
      <c r="H92" s="303"/>
      <c r="I92" s="304" t="s">
        <v>61</v>
      </c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5" t="s">
        <v>62</v>
      </c>
      <c r="AH92" s="302"/>
      <c r="AI92" s="302"/>
      <c r="AJ92" s="302"/>
      <c r="AK92" s="302"/>
      <c r="AL92" s="302"/>
      <c r="AM92" s="302"/>
      <c r="AN92" s="304" t="s">
        <v>63</v>
      </c>
      <c r="AO92" s="302"/>
      <c r="AP92" s="306"/>
      <c r="AQ92" s="307" t="s">
        <v>64</v>
      </c>
      <c r="AR92" s="293"/>
      <c r="AS92" s="295" t="s">
        <v>65</v>
      </c>
      <c r="AT92" s="296" t="s">
        <v>66</v>
      </c>
      <c r="AU92" s="296" t="s">
        <v>67</v>
      </c>
      <c r="AV92" s="296" t="s">
        <v>68</v>
      </c>
      <c r="AW92" s="296" t="s">
        <v>69</v>
      </c>
      <c r="AX92" s="296" t="s">
        <v>70</v>
      </c>
      <c r="AY92" s="296" t="s">
        <v>71</v>
      </c>
      <c r="AZ92" s="296" t="s">
        <v>72</v>
      </c>
      <c r="BA92" s="296" t="s">
        <v>73</v>
      </c>
      <c r="BB92" s="296" t="s">
        <v>74</v>
      </c>
      <c r="BC92" s="296" t="s">
        <v>75</v>
      </c>
      <c r="BD92" s="297" t="s">
        <v>76</v>
      </c>
      <c r="BE92" s="292"/>
    </row>
    <row r="93" spans="1:57" s="1" customFormat="1" ht="10.9" customHeight="1">
      <c r="A93" s="80"/>
      <c r="B93" s="1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14"/>
      <c r="AS93" s="37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  <c r="BE93" s="80"/>
    </row>
    <row r="94" spans="2:90" s="2" customFormat="1" ht="32.45" customHeight="1">
      <c r="B94" s="40"/>
      <c r="C94" s="41" t="s">
        <v>1568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308">
        <f>ROUND(AG95+AG97+AG99+AG103,2)</f>
        <v>0</v>
      </c>
      <c r="AH94" s="308"/>
      <c r="AI94" s="308"/>
      <c r="AJ94" s="308"/>
      <c r="AK94" s="308"/>
      <c r="AL94" s="308"/>
      <c r="AM94" s="308"/>
      <c r="AN94" s="273"/>
      <c r="AO94" s="273"/>
      <c r="AP94" s="273"/>
      <c r="AQ94" s="43" t="s">
        <v>1</v>
      </c>
      <c r="AR94" s="40"/>
      <c r="AS94" s="44">
        <f>ROUND(AS95+AS97+AS99+AS103,2)</f>
        <v>0</v>
      </c>
      <c r="AT94" s="45" t="e">
        <f aca="true" t="shared" si="0" ref="AT94:AT103">ROUND(SUM(AV94:AW94),2)</f>
        <v>#REF!</v>
      </c>
      <c r="AU94" s="46" t="e">
        <f>ROUND(AU95+AU97+AU99+AU103,5)</f>
        <v>#REF!</v>
      </c>
      <c r="AV94" s="45" t="e">
        <f>ROUND(AZ94*L29,2)</f>
        <v>#REF!</v>
      </c>
      <c r="AW94" s="45" t="e">
        <f>ROUND(BA94*L30,2)</f>
        <v>#REF!</v>
      </c>
      <c r="AX94" s="45" t="e">
        <f>ROUND(BB94*L29,2)</f>
        <v>#REF!</v>
      </c>
      <c r="AY94" s="45" t="e">
        <f>ROUND(BC94*L30,2)</f>
        <v>#REF!</v>
      </c>
      <c r="AZ94" s="45" t="e">
        <f>ROUND(AZ95+AZ97+AZ99+AZ103,2)</f>
        <v>#REF!</v>
      </c>
      <c r="BA94" s="45" t="e">
        <f>ROUND(BA95+BA97+BA99+BA103,2)</f>
        <v>#REF!</v>
      </c>
      <c r="BB94" s="45" t="e">
        <f>ROUND(BB95+BB97+BB99+BB103,2)</f>
        <v>#REF!</v>
      </c>
      <c r="BC94" s="45" t="e">
        <f>ROUND(BC95+BC97+BC99+BC103,2)</f>
        <v>#REF!</v>
      </c>
      <c r="BD94" s="47" t="e">
        <f>ROUND(BD95+BD97+BD99+BD103,2)</f>
        <v>#REF!</v>
      </c>
      <c r="BS94" s="48" t="s">
        <v>77</v>
      </c>
      <c r="BT94" s="48" t="s">
        <v>78</v>
      </c>
      <c r="BU94" s="49" t="s">
        <v>79</v>
      </c>
      <c r="BV94" s="48" t="s">
        <v>80</v>
      </c>
      <c r="BW94" s="48" t="s">
        <v>4</v>
      </c>
      <c r="BX94" s="48" t="s">
        <v>81</v>
      </c>
      <c r="CL94" s="48" t="s">
        <v>1</v>
      </c>
    </row>
    <row r="95" spans="2:91" s="3" customFormat="1" ht="16.5" customHeight="1">
      <c r="B95" s="50"/>
      <c r="C95" s="51"/>
      <c r="D95" s="272" t="s">
        <v>82</v>
      </c>
      <c r="E95" s="272"/>
      <c r="F95" s="272"/>
      <c r="G95" s="272"/>
      <c r="H95" s="272"/>
      <c r="I95" s="73"/>
      <c r="J95" s="272" t="s">
        <v>83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309">
        <f>ROUND(AG96,2)</f>
        <v>0</v>
      </c>
      <c r="AH95" s="310"/>
      <c r="AI95" s="310"/>
      <c r="AJ95" s="310"/>
      <c r="AK95" s="310"/>
      <c r="AL95" s="310"/>
      <c r="AM95" s="310"/>
      <c r="AN95" s="271"/>
      <c r="AO95" s="274"/>
      <c r="AP95" s="274"/>
      <c r="AQ95" s="52" t="s">
        <v>84</v>
      </c>
      <c r="AR95" s="50"/>
      <c r="AS95" s="53">
        <f>ROUND(AS96,2)</f>
        <v>0</v>
      </c>
      <c r="AT95" s="54">
        <f t="shared" si="0"/>
        <v>0</v>
      </c>
      <c r="AU95" s="55">
        <f>ROUND(AU96,5)</f>
        <v>971.03708</v>
      </c>
      <c r="AV95" s="54">
        <f>ROUND(AZ95*L29,2)</f>
        <v>0</v>
      </c>
      <c r="AW95" s="54">
        <f>ROUND(BA95*L30,2)</f>
        <v>0</v>
      </c>
      <c r="AX95" s="54">
        <f>ROUND(BB95*L29,2)</f>
        <v>0</v>
      </c>
      <c r="AY95" s="54">
        <f>ROUND(BC95*L30,2)</f>
        <v>0</v>
      </c>
      <c r="AZ95" s="54">
        <f>ROUND(AZ96,2)</f>
        <v>0</v>
      </c>
      <c r="BA95" s="54">
        <f>ROUND(BA96,2)</f>
        <v>0</v>
      </c>
      <c r="BB95" s="54">
        <f>ROUND(BB96,2)</f>
        <v>0</v>
      </c>
      <c r="BC95" s="54">
        <f>ROUND(BC96,2)</f>
        <v>0</v>
      </c>
      <c r="BD95" s="56">
        <f>ROUND(BD96,2)</f>
        <v>0</v>
      </c>
      <c r="BS95" s="57" t="s">
        <v>77</v>
      </c>
      <c r="BT95" s="57" t="s">
        <v>85</v>
      </c>
      <c r="BU95" s="57" t="s">
        <v>79</v>
      </c>
      <c r="BV95" s="57" t="s">
        <v>80</v>
      </c>
      <c r="BW95" s="57" t="s">
        <v>86</v>
      </c>
      <c r="BX95" s="57" t="s">
        <v>4</v>
      </c>
      <c r="CL95" s="57" t="s">
        <v>1</v>
      </c>
      <c r="CM95" s="57" t="s">
        <v>87</v>
      </c>
    </row>
    <row r="96" spans="1:90" s="72" customFormat="1" ht="16.5" customHeight="1">
      <c r="A96" s="58" t="s">
        <v>88</v>
      </c>
      <c r="B96" s="29"/>
      <c r="C96" s="74"/>
      <c r="D96" s="74"/>
      <c r="E96" s="253" t="s">
        <v>89</v>
      </c>
      <c r="F96" s="253"/>
      <c r="G96" s="253"/>
      <c r="H96" s="253"/>
      <c r="I96" s="253"/>
      <c r="J96" s="74"/>
      <c r="K96" s="253" t="s">
        <v>90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311">
        <f>'SO 1.1. - Vodovodní řad 11'!J98</f>
        <v>0</v>
      </c>
      <c r="AH96" s="311"/>
      <c r="AI96" s="311"/>
      <c r="AJ96" s="311"/>
      <c r="AK96" s="311"/>
      <c r="AL96" s="311"/>
      <c r="AM96" s="311"/>
      <c r="AN96" s="254"/>
      <c r="AO96" s="255"/>
      <c r="AP96" s="255"/>
      <c r="AQ96" s="59" t="s">
        <v>91</v>
      </c>
      <c r="AR96" s="29"/>
      <c r="AS96" s="60">
        <v>0</v>
      </c>
      <c r="AT96" s="61">
        <f t="shared" si="0"/>
        <v>0</v>
      </c>
      <c r="AU96" s="62">
        <f>'SO 1.1. - Vodovodní řad 11'!P129</f>
        <v>971.0370800999998</v>
      </c>
      <c r="AV96" s="61">
        <f>'SO 1.1. - Vodovodní řad 11'!J35</f>
        <v>0</v>
      </c>
      <c r="AW96" s="61">
        <f>'SO 1.1. - Vodovodní řad 11'!J36</f>
        <v>0</v>
      </c>
      <c r="AX96" s="61">
        <f>'SO 1.1. - Vodovodní řad 11'!J37</f>
        <v>0</v>
      </c>
      <c r="AY96" s="61">
        <f>'SO 1.1. - Vodovodní řad 11'!J38</f>
        <v>0</v>
      </c>
      <c r="AZ96" s="61">
        <f>'SO 1.1. - Vodovodní řad 11'!F35</f>
        <v>0</v>
      </c>
      <c r="BA96" s="61">
        <f>'SO 1.1. - Vodovodní řad 11'!F36</f>
        <v>0</v>
      </c>
      <c r="BB96" s="61">
        <f>'SO 1.1. - Vodovodní řad 11'!F37</f>
        <v>0</v>
      </c>
      <c r="BC96" s="61">
        <f>'SO 1.1. - Vodovodní řad 11'!F38</f>
        <v>0</v>
      </c>
      <c r="BD96" s="63">
        <f>'SO 1.1. - Vodovodní řad 11'!F39</f>
        <v>0</v>
      </c>
      <c r="BT96" s="75" t="s">
        <v>87</v>
      </c>
      <c r="BV96" s="75" t="s">
        <v>80</v>
      </c>
      <c r="BW96" s="75" t="s">
        <v>92</v>
      </c>
      <c r="BX96" s="75" t="s">
        <v>86</v>
      </c>
      <c r="CL96" s="75" t="s">
        <v>1</v>
      </c>
    </row>
    <row r="97" spans="2:91" s="3" customFormat="1" ht="16.5" customHeight="1">
      <c r="B97" s="50"/>
      <c r="C97" s="51"/>
      <c r="D97" s="272" t="s">
        <v>93</v>
      </c>
      <c r="E97" s="272"/>
      <c r="F97" s="272"/>
      <c r="G97" s="272"/>
      <c r="H97" s="272"/>
      <c r="I97" s="73"/>
      <c r="J97" s="272" t="s">
        <v>94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309">
        <f>ROUND(AG98,2)</f>
        <v>0</v>
      </c>
      <c r="AH97" s="310"/>
      <c r="AI97" s="310"/>
      <c r="AJ97" s="310"/>
      <c r="AK97" s="310"/>
      <c r="AL97" s="310"/>
      <c r="AM97" s="310"/>
      <c r="AN97" s="271"/>
      <c r="AO97" s="274"/>
      <c r="AP97" s="274"/>
      <c r="AQ97" s="52" t="s">
        <v>84</v>
      </c>
      <c r="AR97" s="50"/>
      <c r="AS97" s="53">
        <f>ROUND(AS98,2)</f>
        <v>0</v>
      </c>
      <c r="AT97" s="54">
        <f t="shared" si="0"/>
        <v>0</v>
      </c>
      <c r="AU97" s="55">
        <f>ROUND(AU98,5)</f>
        <v>523.17895</v>
      </c>
      <c r="AV97" s="54">
        <f>ROUND(AZ97*L29,2)</f>
        <v>0</v>
      </c>
      <c r="AW97" s="54">
        <f>ROUND(BA97*L30,2)</f>
        <v>0</v>
      </c>
      <c r="AX97" s="54">
        <f>ROUND(BB97*L29,2)</f>
        <v>0</v>
      </c>
      <c r="AY97" s="54">
        <f>ROUND(BC97*L30,2)</f>
        <v>0</v>
      </c>
      <c r="AZ97" s="54">
        <f>ROUND(AZ98,2)</f>
        <v>0</v>
      </c>
      <c r="BA97" s="54">
        <f>ROUND(BA98,2)</f>
        <v>0</v>
      </c>
      <c r="BB97" s="54">
        <f>ROUND(BB98,2)</f>
        <v>0</v>
      </c>
      <c r="BC97" s="54">
        <f>ROUND(BC98,2)</f>
        <v>0</v>
      </c>
      <c r="BD97" s="56">
        <f>ROUND(BD98,2)</f>
        <v>0</v>
      </c>
      <c r="BS97" s="57" t="s">
        <v>77</v>
      </c>
      <c r="BT97" s="57" t="s">
        <v>85</v>
      </c>
      <c r="BU97" s="57" t="s">
        <v>79</v>
      </c>
      <c r="BV97" s="57" t="s">
        <v>80</v>
      </c>
      <c r="BW97" s="57" t="s">
        <v>95</v>
      </c>
      <c r="BX97" s="57" t="s">
        <v>4</v>
      </c>
      <c r="CL97" s="57" t="s">
        <v>1</v>
      </c>
      <c r="CM97" s="57" t="s">
        <v>87</v>
      </c>
    </row>
    <row r="98" spans="1:90" s="72" customFormat="1" ht="16.5" customHeight="1">
      <c r="A98" s="58" t="s">
        <v>88</v>
      </c>
      <c r="B98" s="29"/>
      <c r="C98" s="74"/>
      <c r="D98" s="74"/>
      <c r="E98" s="253" t="s">
        <v>96</v>
      </c>
      <c r="F98" s="253"/>
      <c r="G98" s="253"/>
      <c r="H98" s="253"/>
      <c r="I98" s="253"/>
      <c r="J98" s="74"/>
      <c r="K98" s="253" t="s">
        <v>97</v>
      </c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311">
        <f>'SO 2.1. - Vodovodní řad 12'!J98</f>
        <v>0</v>
      </c>
      <c r="AH98" s="311"/>
      <c r="AI98" s="311"/>
      <c r="AJ98" s="311"/>
      <c r="AK98" s="311"/>
      <c r="AL98" s="311"/>
      <c r="AM98" s="311"/>
      <c r="AN98" s="254"/>
      <c r="AO98" s="255"/>
      <c r="AP98" s="255"/>
      <c r="AQ98" s="59" t="s">
        <v>91</v>
      </c>
      <c r="AR98" s="29"/>
      <c r="AS98" s="60">
        <v>0</v>
      </c>
      <c r="AT98" s="61">
        <f t="shared" si="0"/>
        <v>0</v>
      </c>
      <c r="AU98" s="62">
        <f>'SO 2.1. - Vodovodní řad 12'!P129</f>
        <v>523.1789510500001</v>
      </c>
      <c r="AV98" s="61">
        <f>'SO 2.1. - Vodovodní řad 12'!J35</f>
        <v>0</v>
      </c>
      <c r="AW98" s="61">
        <f>'SO 2.1. - Vodovodní řad 12'!J36</f>
        <v>0</v>
      </c>
      <c r="AX98" s="61">
        <f>'SO 2.1. - Vodovodní řad 12'!J37</f>
        <v>0</v>
      </c>
      <c r="AY98" s="61">
        <f>'SO 2.1. - Vodovodní řad 12'!J38</f>
        <v>0</v>
      </c>
      <c r="AZ98" s="61">
        <f>'SO 2.1. - Vodovodní řad 12'!F35</f>
        <v>0</v>
      </c>
      <c r="BA98" s="61">
        <f>'SO 2.1. - Vodovodní řad 12'!F36</f>
        <v>0</v>
      </c>
      <c r="BB98" s="61">
        <f>'SO 2.1. - Vodovodní řad 12'!F37</f>
        <v>0</v>
      </c>
      <c r="BC98" s="61">
        <f>'SO 2.1. - Vodovodní řad 12'!F38</f>
        <v>0</v>
      </c>
      <c r="BD98" s="63">
        <f>'SO 2.1. - Vodovodní řad 12'!F39</f>
        <v>0</v>
      </c>
      <c r="BT98" s="75" t="s">
        <v>87</v>
      </c>
      <c r="BV98" s="75" t="s">
        <v>80</v>
      </c>
      <c r="BW98" s="75" t="s">
        <v>98</v>
      </c>
      <c r="BX98" s="75" t="s">
        <v>95</v>
      </c>
      <c r="CL98" s="75" t="s">
        <v>1</v>
      </c>
    </row>
    <row r="99" spans="2:91" s="3" customFormat="1" ht="16.5" customHeight="1">
      <c r="B99" s="50"/>
      <c r="C99" s="51"/>
      <c r="D99" s="272" t="s">
        <v>1496</v>
      </c>
      <c r="E99" s="272"/>
      <c r="F99" s="272"/>
      <c r="G99" s="272"/>
      <c r="H99" s="272"/>
      <c r="I99" s="73"/>
      <c r="J99" s="272" t="s">
        <v>1491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309">
        <f>ROUND(SUM(AG100:AG102),2)</f>
        <v>0</v>
      </c>
      <c r="AH99" s="310"/>
      <c r="AI99" s="310"/>
      <c r="AJ99" s="310"/>
      <c r="AK99" s="310"/>
      <c r="AL99" s="310"/>
      <c r="AM99" s="310"/>
      <c r="AN99" s="271"/>
      <c r="AO99" s="274"/>
      <c r="AP99" s="274"/>
      <c r="AQ99" s="52" t="s">
        <v>84</v>
      </c>
      <c r="AR99" s="50"/>
      <c r="AS99" s="53">
        <f>ROUND(SUM(AS100:AS101),2)</f>
        <v>0</v>
      </c>
      <c r="AT99" s="54" t="e">
        <f t="shared" si="0"/>
        <v>#REF!</v>
      </c>
      <c r="AU99" s="55" t="e">
        <f>ROUND(SUM(AU100:AU101),5)</f>
        <v>#REF!</v>
      </c>
      <c r="AV99" s="54" t="e">
        <f>ROUND(AZ99*L29,2)</f>
        <v>#REF!</v>
      </c>
      <c r="AW99" s="54" t="e">
        <f>ROUND(BA99*L30,2)</f>
        <v>#REF!</v>
      </c>
      <c r="AX99" s="54" t="e">
        <f>ROUND(BB99*L29,2)</f>
        <v>#REF!</v>
      </c>
      <c r="AY99" s="54" t="e">
        <f>ROUND(BC99*L30,2)</f>
        <v>#REF!</v>
      </c>
      <c r="AZ99" s="54" t="e">
        <f>ROUND(SUM(AZ100:AZ101),2)</f>
        <v>#REF!</v>
      </c>
      <c r="BA99" s="54" t="e">
        <f>ROUND(SUM(BA100:BA101),2)</f>
        <v>#REF!</v>
      </c>
      <c r="BB99" s="54" t="e">
        <f>ROUND(SUM(BB100:BB101),2)</f>
        <v>#REF!</v>
      </c>
      <c r="BC99" s="54" t="e">
        <f>ROUND(SUM(BC100:BC101),2)</f>
        <v>#REF!</v>
      </c>
      <c r="BD99" s="56" t="e">
        <f>ROUND(SUM(BD100:BD101),2)</f>
        <v>#REF!</v>
      </c>
      <c r="BS99" s="57" t="s">
        <v>77</v>
      </c>
      <c r="BT99" s="57" t="s">
        <v>85</v>
      </c>
      <c r="BU99" s="57" t="s">
        <v>79</v>
      </c>
      <c r="BV99" s="57" t="s">
        <v>80</v>
      </c>
      <c r="BW99" s="57" t="s">
        <v>99</v>
      </c>
      <c r="BX99" s="57" t="s">
        <v>4</v>
      </c>
      <c r="CL99" s="57" t="s">
        <v>1</v>
      </c>
      <c r="CM99" s="57" t="s">
        <v>87</v>
      </c>
    </row>
    <row r="100" spans="1:90" s="72" customFormat="1" ht="16.5" customHeight="1">
      <c r="A100" s="58" t="s">
        <v>88</v>
      </c>
      <c r="B100" s="29"/>
      <c r="C100" s="74"/>
      <c r="D100" s="74"/>
      <c r="E100" s="253" t="s">
        <v>1497</v>
      </c>
      <c r="F100" s="253"/>
      <c r="G100" s="253"/>
      <c r="H100" s="253"/>
      <c r="I100" s="253"/>
      <c r="J100" s="74"/>
      <c r="K100" s="253" t="s">
        <v>1494</v>
      </c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311">
        <f>'SO 4.1 Stoka H'!J100</f>
        <v>0</v>
      </c>
      <c r="AH100" s="311"/>
      <c r="AI100" s="311"/>
      <c r="AJ100" s="311"/>
      <c r="AK100" s="311"/>
      <c r="AL100" s="311"/>
      <c r="AM100" s="311"/>
      <c r="AN100" s="254"/>
      <c r="AO100" s="255"/>
      <c r="AP100" s="255"/>
      <c r="AQ100" s="59" t="s">
        <v>91</v>
      </c>
      <c r="AR100" s="29"/>
      <c r="AS100" s="60">
        <v>0</v>
      </c>
      <c r="AT100" s="61" t="e">
        <f t="shared" si="0"/>
        <v>#REF!</v>
      </c>
      <c r="AU100" s="62" t="e">
        <f>#REF!</f>
        <v>#REF!</v>
      </c>
      <c r="AV100" s="61" t="e">
        <f>#REF!</f>
        <v>#REF!</v>
      </c>
      <c r="AW100" s="61" t="e">
        <f>#REF!</f>
        <v>#REF!</v>
      </c>
      <c r="AX100" s="61" t="e">
        <f>#REF!</f>
        <v>#REF!</v>
      </c>
      <c r="AY100" s="61" t="e">
        <f>#REF!</f>
        <v>#REF!</v>
      </c>
      <c r="AZ100" s="61" t="e">
        <f>#REF!</f>
        <v>#REF!</v>
      </c>
      <c r="BA100" s="61" t="e">
        <f>#REF!</f>
        <v>#REF!</v>
      </c>
      <c r="BB100" s="61" t="e">
        <f>#REF!</f>
        <v>#REF!</v>
      </c>
      <c r="BC100" s="61" t="e">
        <f>#REF!</f>
        <v>#REF!</v>
      </c>
      <c r="BD100" s="63" t="e">
        <f>#REF!</f>
        <v>#REF!</v>
      </c>
      <c r="BT100" s="75" t="s">
        <v>87</v>
      </c>
      <c r="BV100" s="75" t="s">
        <v>80</v>
      </c>
      <c r="BW100" s="75" t="s">
        <v>100</v>
      </c>
      <c r="BX100" s="75" t="s">
        <v>99</v>
      </c>
      <c r="CL100" s="75" t="s">
        <v>1</v>
      </c>
    </row>
    <row r="101" spans="1:90" s="72" customFormat="1" ht="16.5" customHeight="1">
      <c r="A101" s="58" t="s">
        <v>88</v>
      </c>
      <c r="B101" s="29"/>
      <c r="C101" s="74"/>
      <c r="D101" s="74"/>
      <c r="E101" s="253" t="s">
        <v>1498</v>
      </c>
      <c r="F101" s="253"/>
      <c r="G101" s="253"/>
      <c r="H101" s="253"/>
      <c r="I101" s="253"/>
      <c r="J101" s="74"/>
      <c r="K101" s="253" t="s">
        <v>1495</v>
      </c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311">
        <f>'SO 4.2 Stoka H1'!J100</f>
        <v>0</v>
      </c>
      <c r="AH101" s="311"/>
      <c r="AI101" s="311"/>
      <c r="AJ101" s="311"/>
      <c r="AK101" s="311"/>
      <c r="AL101" s="311"/>
      <c r="AM101" s="311"/>
      <c r="AN101" s="254"/>
      <c r="AO101" s="255"/>
      <c r="AP101" s="255"/>
      <c r="AQ101" s="59" t="s">
        <v>91</v>
      </c>
      <c r="AR101" s="29"/>
      <c r="AS101" s="60">
        <v>0</v>
      </c>
      <c r="AT101" s="61" t="e">
        <f t="shared" si="0"/>
        <v>#REF!</v>
      </c>
      <c r="AU101" s="62" t="e">
        <f>#REF!</f>
        <v>#REF!</v>
      </c>
      <c r="AV101" s="61" t="e">
        <f>#REF!</f>
        <v>#REF!</v>
      </c>
      <c r="AW101" s="61" t="e">
        <f>#REF!</f>
        <v>#REF!</v>
      </c>
      <c r="AX101" s="61" t="e">
        <f>#REF!</f>
        <v>#REF!</v>
      </c>
      <c r="AY101" s="61" t="e">
        <f>#REF!</f>
        <v>#REF!</v>
      </c>
      <c r="AZ101" s="61" t="e">
        <f>#REF!</f>
        <v>#REF!</v>
      </c>
      <c r="BA101" s="61" t="e">
        <f>#REF!</f>
        <v>#REF!</v>
      </c>
      <c r="BB101" s="61" t="e">
        <f>#REF!</f>
        <v>#REF!</v>
      </c>
      <c r="BC101" s="61" t="e">
        <f>#REF!</f>
        <v>#REF!</v>
      </c>
      <c r="BD101" s="63" t="e">
        <f>#REF!</f>
        <v>#REF!</v>
      </c>
      <c r="BT101" s="75" t="s">
        <v>87</v>
      </c>
      <c r="BV101" s="75" t="s">
        <v>80</v>
      </c>
      <c r="BW101" s="75" t="s">
        <v>101</v>
      </c>
      <c r="BX101" s="75" t="s">
        <v>99</v>
      </c>
      <c r="CL101" s="75" t="s">
        <v>1</v>
      </c>
    </row>
    <row r="102" spans="1:90" s="72" customFormat="1" ht="16.5" customHeight="1">
      <c r="A102" s="58" t="s">
        <v>88</v>
      </c>
      <c r="B102" s="29"/>
      <c r="C102" s="74"/>
      <c r="D102" s="74"/>
      <c r="E102" s="253" t="s">
        <v>1499</v>
      </c>
      <c r="F102" s="253"/>
      <c r="G102" s="253"/>
      <c r="H102" s="253"/>
      <c r="I102" s="253"/>
      <c r="J102" s="74"/>
      <c r="K102" s="253" t="s">
        <v>1493</v>
      </c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311">
        <f>'SO 4.3 Vodovodní řad 14'!J98</f>
        <v>0</v>
      </c>
      <c r="AH102" s="311"/>
      <c r="AI102" s="311"/>
      <c r="AJ102" s="311"/>
      <c r="AK102" s="311"/>
      <c r="AL102" s="311"/>
      <c r="AM102" s="311"/>
      <c r="AN102" s="254"/>
      <c r="AO102" s="255"/>
      <c r="AP102" s="255"/>
      <c r="AQ102" s="59" t="s">
        <v>91</v>
      </c>
      <c r="AR102" s="29"/>
      <c r="AS102" s="60">
        <v>0</v>
      </c>
      <c r="AT102" s="61" t="e">
        <f aca="true" t="shared" si="1" ref="AT102">ROUND(SUM(AV102:AW102),2)</f>
        <v>#REF!</v>
      </c>
      <c r="AU102" s="62" t="e">
        <f>#REF!</f>
        <v>#REF!</v>
      </c>
      <c r="AV102" s="61" t="e">
        <f>#REF!</f>
        <v>#REF!</v>
      </c>
      <c r="AW102" s="61" t="e">
        <f>#REF!</f>
        <v>#REF!</v>
      </c>
      <c r="AX102" s="61" t="e">
        <f>#REF!</f>
        <v>#REF!</v>
      </c>
      <c r="AY102" s="61" t="e">
        <f>#REF!</f>
        <v>#REF!</v>
      </c>
      <c r="AZ102" s="61" t="e">
        <f>#REF!</f>
        <v>#REF!</v>
      </c>
      <c r="BA102" s="61" t="e">
        <f>#REF!</f>
        <v>#REF!</v>
      </c>
      <c r="BB102" s="61" t="e">
        <f>#REF!</f>
        <v>#REF!</v>
      </c>
      <c r="BC102" s="61" t="e">
        <f>#REF!</f>
        <v>#REF!</v>
      </c>
      <c r="BD102" s="63" t="e">
        <f>#REF!</f>
        <v>#REF!</v>
      </c>
      <c r="BT102" s="75" t="s">
        <v>87</v>
      </c>
      <c r="BV102" s="75" t="s">
        <v>80</v>
      </c>
      <c r="BW102" s="75" t="s">
        <v>101</v>
      </c>
      <c r="BX102" s="75" t="s">
        <v>99</v>
      </c>
      <c r="CL102" s="75" t="s">
        <v>1</v>
      </c>
    </row>
    <row r="103" spans="1:91" s="3" customFormat="1" ht="16.5" customHeight="1">
      <c r="A103" s="58" t="s">
        <v>88</v>
      </c>
      <c r="B103" s="50"/>
      <c r="C103" s="51"/>
      <c r="D103" s="272" t="s">
        <v>102</v>
      </c>
      <c r="E103" s="272"/>
      <c r="F103" s="272"/>
      <c r="G103" s="272"/>
      <c r="H103" s="272"/>
      <c r="I103" s="73"/>
      <c r="J103" s="272" t="s">
        <v>103</v>
      </c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310">
        <f>'06 - Vedlejší a ostaní ná...'!J96</f>
        <v>0</v>
      </c>
      <c r="AH103" s="310"/>
      <c r="AI103" s="310"/>
      <c r="AJ103" s="310"/>
      <c r="AK103" s="310"/>
      <c r="AL103" s="310"/>
      <c r="AM103" s="310"/>
      <c r="AN103" s="271"/>
      <c r="AO103" s="271"/>
      <c r="AP103" s="271"/>
      <c r="AQ103" s="52" t="s">
        <v>84</v>
      </c>
      <c r="AR103" s="50"/>
      <c r="AS103" s="64">
        <v>0</v>
      </c>
      <c r="AT103" s="65">
        <f t="shared" si="0"/>
        <v>0</v>
      </c>
      <c r="AU103" s="66" t="e">
        <f>'06 - Vedlejší a ostaní ná...'!P121</f>
        <v>#REF!</v>
      </c>
      <c r="AV103" s="65">
        <f>'06 - Vedlejší a ostaní ná...'!J33</f>
        <v>0</v>
      </c>
      <c r="AW103" s="65">
        <f>'06 - Vedlejší a ostaní ná...'!J34</f>
        <v>0</v>
      </c>
      <c r="AX103" s="65">
        <f>'06 - Vedlejší a ostaní ná...'!J35</f>
        <v>0</v>
      </c>
      <c r="AY103" s="65">
        <f>'06 - Vedlejší a ostaní ná...'!J36</f>
        <v>0</v>
      </c>
      <c r="AZ103" s="65">
        <f>'06 - Vedlejší a ostaní ná...'!F33</f>
        <v>0</v>
      </c>
      <c r="BA103" s="65">
        <f>'06 - Vedlejší a ostaní ná...'!F34</f>
        <v>0</v>
      </c>
      <c r="BB103" s="65">
        <f>'06 - Vedlejší a ostaní ná...'!F35</f>
        <v>0</v>
      </c>
      <c r="BC103" s="65">
        <f>'06 - Vedlejší a ostaní ná...'!F36</f>
        <v>0</v>
      </c>
      <c r="BD103" s="67">
        <f>'06 - Vedlejší a ostaní ná...'!F37</f>
        <v>0</v>
      </c>
      <c r="BT103" s="57" t="s">
        <v>85</v>
      </c>
      <c r="BV103" s="57" t="s">
        <v>80</v>
      </c>
      <c r="BW103" s="57" t="s">
        <v>104</v>
      </c>
      <c r="BX103" s="57" t="s">
        <v>4</v>
      </c>
      <c r="CL103" s="57" t="s">
        <v>1</v>
      </c>
      <c r="CM103" s="57" t="s">
        <v>87</v>
      </c>
    </row>
    <row r="104" spans="1:57" s="1" customFormat="1" ht="30" customHeight="1">
      <c r="A104" s="80"/>
      <c r="B104" s="14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14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1:57" s="1" customFormat="1" ht="6.95" customHeight="1">
      <c r="A105" s="80"/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14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</sheetData>
  <sheetProtection password="CC2C" sheet="1" objects="1" scenarios="1"/>
  <mergeCells count="7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E96:I96"/>
    <mergeCell ref="K96:AF96"/>
    <mergeCell ref="AN96:AP96"/>
    <mergeCell ref="AG96:AM96"/>
    <mergeCell ref="AG97:AM97"/>
    <mergeCell ref="D97:H97"/>
    <mergeCell ref="AN97:AP97"/>
    <mergeCell ref="J97:AF97"/>
    <mergeCell ref="AG98:AM98"/>
    <mergeCell ref="E98:I98"/>
    <mergeCell ref="AN99:AP99"/>
    <mergeCell ref="AG99:AM99"/>
    <mergeCell ref="D99:H99"/>
    <mergeCell ref="J99:AF99"/>
    <mergeCell ref="AN103:AP103"/>
    <mergeCell ref="AG103:AM103"/>
    <mergeCell ref="D103:H103"/>
    <mergeCell ref="J103:AF103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K98:AF98"/>
    <mergeCell ref="AN98:AP98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E102:I102"/>
    <mergeCell ref="K102:AF102"/>
    <mergeCell ref="AG102:AM102"/>
    <mergeCell ref="AN102:AP102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</mergeCells>
  <hyperlinks>
    <hyperlink ref="A96" location="'SO 1.1. - Vodovodní řad 11'!C2" display="/"/>
    <hyperlink ref="A98" location="'SO 2.1. - Vodovodní řad 12'!C2" display="/"/>
    <hyperlink ref="A100" location="'SO 3.1. - Lokální opravy ...'!C2" display="/"/>
    <hyperlink ref="A101" location="'SO 3.2. - Vodovodní řad 13'!C2" display="/"/>
    <hyperlink ref="A103" location="'06 - Vedlejší a ostaní ná...'!C2" display="/"/>
    <hyperlink ref="A102" location="'SO 3.2. - Vodovodní řad 1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7"/>
  <sheetViews>
    <sheetView showGridLines="0" workbookViewId="0" topLeftCell="A78">
      <selection activeCell="I132" sqref="I132:I440"/>
    </sheetView>
  </sheetViews>
  <sheetFormatPr defaultColWidth="9.140625" defaultRowHeight="12"/>
  <cols>
    <col min="1" max="1" width="8.28125" style="68" customWidth="1"/>
    <col min="2" max="2" width="1.1484375" style="68" customWidth="1"/>
    <col min="3" max="3" width="4.140625" style="68" customWidth="1"/>
    <col min="4" max="4" width="4.28125" style="68" customWidth="1"/>
    <col min="5" max="5" width="17.140625" style="68" customWidth="1"/>
    <col min="6" max="6" width="50.8515625" style="68" customWidth="1"/>
    <col min="7" max="7" width="7.421875" style="68" customWidth="1"/>
    <col min="8" max="8" width="14.00390625" style="68" customWidth="1"/>
    <col min="9" max="9" width="15.8515625" style="68" customWidth="1"/>
    <col min="10" max="10" width="22.28125" style="68" customWidth="1"/>
    <col min="11" max="11" width="22.28125" style="68" hidden="1" customWidth="1"/>
    <col min="12" max="12" width="9.28125" style="68" hidden="1" customWidth="1"/>
    <col min="13" max="13" width="10.8515625" style="68" hidden="1" customWidth="1"/>
    <col min="14" max="14" width="9.140625" style="68" hidden="1" customWidth="1"/>
    <col min="15" max="20" width="14.140625" style="68" hidden="1" customWidth="1"/>
    <col min="21" max="21" width="16.28125" style="68" customWidth="1"/>
    <col min="22" max="22" width="12.28125" style="68" customWidth="1"/>
    <col min="23" max="23" width="16.28125" style="68" customWidth="1"/>
    <col min="24" max="24" width="12.28125" style="68" customWidth="1"/>
    <col min="25" max="25" width="15.00390625" style="68" customWidth="1"/>
    <col min="26" max="26" width="11.00390625" style="68" customWidth="1"/>
    <col min="27" max="27" width="15.00390625" style="68" customWidth="1"/>
    <col min="28" max="28" width="16.28125" style="68" customWidth="1"/>
    <col min="29" max="29" width="11.00390625" style="68" customWidth="1"/>
    <col min="30" max="30" width="15.00390625" style="68" customWidth="1"/>
    <col min="31" max="31" width="16.28125" style="68" customWidth="1"/>
    <col min="32" max="43" width="9.28125" style="68" customWidth="1"/>
    <col min="44" max="65" width="9.28125" style="68" hidden="1" customWidth="1"/>
    <col min="66" max="16384" width="9.28125" style="68" customWidth="1"/>
  </cols>
  <sheetData>
    <row r="1" ht="12" hidden="1"/>
    <row r="2" spans="12:46" ht="36.95" customHeight="1" hidden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83" t="s">
        <v>92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89" t="s">
        <v>14</v>
      </c>
      <c r="L6" s="86"/>
    </row>
    <row r="7" spans="2:12" ht="16.5" customHeight="1" hidden="1">
      <c r="B7" s="86"/>
      <c r="E7" s="286" t="str">
        <f>'Rekapitulace stavby'!K6</f>
        <v>Kosmonosy, obnova vodovodu a kanalizace - 3. etapa</v>
      </c>
      <c r="F7" s="289"/>
      <c r="G7" s="289"/>
      <c r="H7" s="289"/>
      <c r="L7" s="86"/>
    </row>
    <row r="8" spans="2:12" ht="12" customHeight="1" hidden="1">
      <c r="B8" s="86"/>
      <c r="D8" s="89" t="s">
        <v>106</v>
      </c>
      <c r="L8" s="86"/>
    </row>
    <row r="9" spans="1:31" s="95" customFormat="1" ht="16.5" customHeight="1" hidden="1">
      <c r="A9" s="91"/>
      <c r="B9" s="92"/>
      <c r="C9" s="91"/>
      <c r="D9" s="91"/>
      <c r="E9" s="286" t="s">
        <v>107</v>
      </c>
      <c r="F9" s="287"/>
      <c r="G9" s="287"/>
      <c r="H9" s="287"/>
      <c r="I9" s="91"/>
      <c r="J9" s="91"/>
      <c r="K9" s="91"/>
      <c r="L9" s="94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5" customFormat="1" ht="12" customHeight="1" hidden="1">
      <c r="A10" s="91"/>
      <c r="B10" s="92"/>
      <c r="C10" s="91"/>
      <c r="D10" s="89" t="s">
        <v>108</v>
      </c>
      <c r="E10" s="91"/>
      <c r="F10" s="91"/>
      <c r="G10" s="91"/>
      <c r="H10" s="91"/>
      <c r="I10" s="91"/>
      <c r="J10" s="91"/>
      <c r="K10" s="91"/>
      <c r="L10" s="94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5" customFormat="1" ht="16.5" customHeight="1" hidden="1">
      <c r="A11" s="91"/>
      <c r="B11" s="92"/>
      <c r="C11" s="91"/>
      <c r="D11" s="91"/>
      <c r="E11" s="288" t="s">
        <v>109</v>
      </c>
      <c r="F11" s="287"/>
      <c r="G11" s="287"/>
      <c r="H11" s="287"/>
      <c r="I11" s="91"/>
      <c r="J11" s="91"/>
      <c r="K11" s="91"/>
      <c r="L11" s="94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5" customFormat="1" ht="12" hidden="1">
      <c r="A12" s="91"/>
      <c r="B12" s="92"/>
      <c r="C12" s="91"/>
      <c r="D12" s="91"/>
      <c r="E12" s="91"/>
      <c r="F12" s="91"/>
      <c r="G12" s="91"/>
      <c r="H12" s="91"/>
      <c r="I12" s="91"/>
      <c r="J12" s="91"/>
      <c r="K12" s="91"/>
      <c r="L12" s="94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5" customFormat="1" ht="12" customHeight="1" hidden="1">
      <c r="A13" s="91"/>
      <c r="B13" s="92"/>
      <c r="C13" s="91"/>
      <c r="D13" s="89" t="s">
        <v>16</v>
      </c>
      <c r="E13" s="91"/>
      <c r="F13" s="96" t="s">
        <v>1</v>
      </c>
      <c r="G13" s="91"/>
      <c r="H13" s="91"/>
      <c r="I13" s="89" t="s">
        <v>17</v>
      </c>
      <c r="J13" s="96" t="s">
        <v>1</v>
      </c>
      <c r="K13" s="91"/>
      <c r="L13" s="94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5" customFormat="1" ht="12" customHeight="1" hidden="1">
      <c r="A14" s="91"/>
      <c r="B14" s="92"/>
      <c r="C14" s="91"/>
      <c r="D14" s="89" t="s">
        <v>18</v>
      </c>
      <c r="E14" s="91"/>
      <c r="F14" s="96" t="s">
        <v>19</v>
      </c>
      <c r="G14" s="91"/>
      <c r="H14" s="91"/>
      <c r="I14" s="89" t="s">
        <v>20</v>
      </c>
      <c r="J14" s="97" t="str">
        <f>'Rekapitulace stavby'!AN8</f>
        <v>2. 3. 2020</v>
      </c>
      <c r="K14" s="91"/>
      <c r="L14" s="94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5" customFormat="1" ht="10.9" customHeight="1" hidden="1">
      <c r="A15" s="91"/>
      <c r="B15" s="92"/>
      <c r="C15" s="91"/>
      <c r="D15" s="91"/>
      <c r="E15" s="91"/>
      <c r="F15" s="91"/>
      <c r="G15" s="91"/>
      <c r="H15" s="91"/>
      <c r="I15" s="91"/>
      <c r="J15" s="91"/>
      <c r="K15" s="91"/>
      <c r="L15" s="94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5" customFormat="1" ht="12" customHeight="1" hidden="1">
      <c r="A16" s="91"/>
      <c r="B16" s="92"/>
      <c r="C16" s="91"/>
      <c r="D16" s="89" t="s">
        <v>22</v>
      </c>
      <c r="E16" s="91"/>
      <c r="F16" s="91"/>
      <c r="G16" s="91"/>
      <c r="H16" s="91"/>
      <c r="I16" s="89" t="s">
        <v>23</v>
      </c>
      <c r="J16" s="96" t="s">
        <v>24</v>
      </c>
      <c r="K16" s="91"/>
      <c r="L16" s="94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5" customFormat="1" ht="18" customHeight="1" hidden="1">
      <c r="A17" s="91"/>
      <c r="B17" s="92"/>
      <c r="C17" s="91"/>
      <c r="D17" s="91"/>
      <c r="E17" s="96" t="s">
        <v>25</v>
      </c>
      <c r="F17" s="91"/>
      <c r="G17" s="91"/>
      <c r="H17" s="91"/>
      <c r="I17" s="89" t="s">
        <v>26</v>
      </c>
      <c r="J17" s="96" t="s">
        <v>27</v>
      </c>
      <c r="K17" s="91"/>
      <c r="L17" s="94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5" customFormat="1" ht="6.95" customHeight="1" hidden="1">
      <c r="A18" s="91"/>
      <c r="B18" s="92"/>
      <c r="C18" s="91"/>
      <c r="D18" s="91"/>
      <c r="E18" s="91"/>
      <c r="F18" s="91"/>
      <c r="G18" s="91"/>
      <c r="H18" s="91"/>
      <c r="I18" s="91"/>
      <c r="J18" s="91"/>
      <c r="K18" s="91"/>
      <c r="L18" s="94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5" customFormat="1" ht="12" customHeight="1" hidden="1">
      <c r="A19" s="91"/>
      <c r="B19" s="92"/>
      <c r="C19" s="91"/>
      <c r="D19" s="89" t="s">
        <v>28</v>
      </c>
      <c r="E19" s="91"/>
      <c r="F19" s="91"/>
      <c r="G19" s="91"/>
      <c r="H19" s="91"/>
      <c r="I19" s="89" t="s">
        <v>23</v>
      </c>
      <c r="J19" s="96" t="s">
        <v>1</v>
      </c>
      <c r="K19" s="91"/>
      <c r="L19" s="94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5" customFormat="1" ht="18" customHeight="1" hidden="1">
      <c r="A20" s="91"/>
      <c r="B20" s="92"/>
      <c r="C20" s="91"/>
      <c r="D20" s="91"/>
      <c r="E20" s="96" t="s">
        <v>29</v>
      </c>
      <c r="F20" s="91"/>
      <c r="G20" s="91"/>
      <c r="H20" s="91"/>
      <c r="I20" s="89" t="s">
        <v>26</v>
      </c>
      <c r="J20" s="96" t="s">
        <v>1</v>
      </c>
      <c r="K20" s="91"/>
      <c r="L20" s="94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5" customFormat="1" ht="6.95" customHeight="1" hidden="1">
      <c r="A21" s="91"/>
      <c r="B21" s="92"/>
      <c r="C21" s="91"/>
      <c r="D21" s="91"/>
      <c r="E21" s="91"/>
      <c r="F21" s="91"/>
      <c r="G21" s="91"/>
      <c r="H21" s="91"/>
      <c r="I21" s="91"/>
      <c r="J21" s="91"/>
      <c r="K21" s="91"/>
      <c r="L21" s="94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5" customFormat="1" ht="12" customHeight="1" hidden="1">
      <c r="A22" s="91"/>
      <c r="B22" s="92"/>
      <c r="C22" s="91"/>
      <c r="D22" s="89" t="s">
        <v>30</v>
      </c>
      <c r="E22" s="91"/>
      <c r="F22" s="91"/>
      <c r="G22" s="91"/>
      <c r="H22" s="91"/>
      <c r="I22" s="89" t="s">
        <v>23</v>
      </c>
      <c r="J22" s="96" t="s">
        <v>31</v>
      </c>
      <c r="K22" s="91"/>
      <c r="L22" s="94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5" customFormat="1" ht="18" customHeight="1" hidden="1">
      <c r="A23" s="91"/>
      <c r="B23" s="92"/>
      <c r="C23" s="91"/>
      <c r="D23" s="91"/>
      <c r="E23" s="96" t="s">
        <v>32</v>
      </c>
      <c r="F23" s="91"/>
      <c r="G23" s="91"/>
      <c r="H23" s="91"/>
      <c r="I23" s="89" t="s">
        <v>26</v>
      </c>
      <c r="J23" s="96" t="s">
        <v>33</v>
      </c>
      <c r="K23" s="91"/>
      <c r="L23" s="94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5" customFormat="1" ht="6.95" customHeight="1" hidden="1">
      <c r="A24" s="91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5" customFormat="1" ht="12" customHeight="1" hidden="1">
      <c r="A25" s="91"/>
      <c r="B25" s="92"/>
      <c r="C25" s="91"/>
      <c r="D25" s="89" t="s">
        <v>35</v>
      </c>
      <c r="E25" s="91"/>
      <c r="F25" s="91"/>
      <c r="G25" s="91"/>
      <c r="H25" s="91"/>
      <c r="I25" s="89" t="s">
        <v>23</v>
      </c>
      <c r="J25" s="96" t="s">
        <v>1</v>
      </c>
      <c r="K25" s="91"/>
      <c r="L25" s="94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5" customFormat="1" ht="18" customHeight="1" hidden="1">
      <c r="A26" s="91"/>
      <c r="B26" s="92"/>
      <c r="C26" s="91"/>
      <c r="D26" s="91"/>
      <c r="E26" s="96" t="s">
        <v>36</v>
      </c>
      <c r="F26" s="91"/>
      <c r="G26" s="91"/>
      <c r="H26" s="91"/>
      <c r="I26" s="89" t="s">
        <v>26</v>
      </c>
      <c r="J26" s="96" t="s">
        <v>1</v>
      </c>
      <c r="K26" s="91"/>
      <c r="L26" s="94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95" customFormat="1" ht="6.95" customHeight="1" hidden="1">
      <c r="A27" s="91"/>
      <c r="B27" s="92"/>
      <c r="C27" s="91"/>
      <c r="D27" s="91"/>
      <c r="E27" s="91"/>
      <c r="F27" s="91"/>
      <c r="G27" s="91"/>
      <c r="H27" s="91"/>
      <c r="I27" s="91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95" customFormat="1" ht="12" customHeight="1" hidden="1">
      <c r="A28" s="91"/>
      <c r="B28" s="92"/>
      <c r="C28" s="91"/>
      <c r="D28" s="89" t="s">
        <v>37</v>
      </c>
      <c r="E28" s="91"/>
      <c r="F28" s="91"/>
      <c r="G28" s="91"/>
      <c r="H28" s="91"/>
      <c r="I28" s="91"/>
      <c r="J28" s="91"/>
      <c r="K28" s="91"/>
      <c r="L28" s="9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101" customFormat="1" ht="16.5" customHeight="1" hidden="1">
      <c r="A29" s="98"/>
      <c r="B29" s="99"/>
      <c r="C29" s="98"/>
      <c r="D29" s="98"/>
      <c r="E29" s="290" t="s">
        <v>1</v>
      </c>
      <c r="F29" s="290"/>
      <c r="G29" s="290"/>
      <c r="H29" s="290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95" customFormat="1" ht="6.95" customHeight="1" hidden="1">
      <c r="A30" s="91"/>
      <c r="B30" s="92"/>
      <c r="C30" s="91"/>
      <c r="D30" s="91"/>
      <c r="E30" s="91"/>
      <c r="F30" s="91"/>
      <c r="G30" s="91"/>
      <c r="H30" s="91"/>
      <c r="I30" s="91"/>
      <c r="J30" s="91"/>
      <c r="K30" s="91"/>
      <c r="L30" s="94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5" customFormat="1" ht="6.95" customHeight="1" hidden="1">
      <c r="A31" s="91"/>
      <c r="B31" s="92"/>
      <c r="C31" s="91"/>
      <c r="D31" s="102"/>
      <c r="E31" s="102"/>
      <c r="F31" s="102"/>
      <c r="G31" s="102"/>
      <c r="H31" s="102"/>
      <c r="I31" s="102"/>
      <c r="J31" s="102"/>
      <c r="K31" s="102"/>
      <c r="L31" s="94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5" customFormat="1" ht="25.35" customHeight="1" hidden="1">
      <c r="A32" s="91"/>
      <c r="B32" s="92"/>
      <c r="C32" s="91"/>
      <c r="D32" s="103" t="s">
        <v>39</v>
      </c>
      <c r="E32" s="91"/>
      <c r="F32" s="91"/>
      <c r="G32" s="91"/>
      <c r="H32" s="91"/>
      <c r="I32" s="91"/>
      <c r="J32" s="104">
        <f>ROUND(J129,2)</f>
        <v>0</v>
      </c>
      <c r="K32" s="91"/>
      <c r="L32" s="94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5" customFormat="1" ht="6.95" customHeight="1" hidden="1">
      <c r="A33" s="91"/>
      <c r="B33" s="92"/>
      <c r="C33" s="91"/>
      <c r="D33" s="102"/>
      <c r="E33" s="102"/>
      <c r="F33" s="102"/>
      <c r="G33" s="102"/>
      <c r="H33" s="102"/>
      <c r="I33" s="102"/>
      <c r="J33" s="102"/>
      <c r="K33" s="102"/>
      <c r="L33" s="94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5" customFormat="1" ht="14.45" customHeight="1" hidden="1">
      <c r="A34" s="91"/>
      <c r="B34" s="92"/>
      <c r="C34" s="91"/>
      <c r="D34" s="91"/>
      <c r="E34" s="91"/>
      <c r="F34" s="105" t="s">
        <v>41</v>
      </c>
      <c r="G34" s="91"/>
      <c r="H34" s="91"/>
      <c r="I34" s="105" t="s">
        <v>40</v>
      </c>
      <c r="J34" s="105" t="s">
        <v>42</v>
      </c>
      <c r="K34" s="91"/>
      <c r="L34" s="94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5" customFormat="1" ht="14.45" customHeight="1" hidden="1">
      <c r="A35" s="91"/>
      <c r="B35" s="92"/>
      <c r="C35" s="91"/>
      <c r="D35" s="106" t="s">
        <v>43</v>
      </c>
      <c r="E35" s="89" t="s">
        <v>44</v>
      </c>
      <c r="F35" s="107">
        <f>ROUND((SUM(BE129:BE376)),2)</f>
        <v>0</v>
      </c>
      <c r="G35" s="91"/>
      <c r="H35" s="91"/>
      <c r="I35" s="108">
        <v>0.21</v>
      </c>
      <c r="J35" s="107">
        <f>ROUND(((SUM(BE129:BE376))*I35),2)</f>
        <v>0</v>
      </c>
      <c r="K35" s="91"/>
      <c r="L35" s="94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5" customFormat="1" ht="14.45" customHeight="1" hidden="1">
      <c r="A36" s="91"/>
      <c r="B36" s="92"/>
      <c r="C36" s="91"/>
      <c r="D36" s="91"/>
      <c r="E36" s="89" t="s">
        <v>45</v>
      </c>
      <c r="F36" s="107">
        <f>ROUND((SUM(BF129:BF376)),2)</f>
        <v>0</v>
      </c>
      <c r="G36" s="91"/>
      <c r="H36" s="91"/>
      <c r="I36" s="108">
        <v>0.15</v>
      </c>
      <c r="J36" s="107">
        <f>ROUND(((SUM(BF129:BF376))*I36),2)</f>
        <v>0</v>
      </c>
      <c r="K36" s="91"/>
      <c r="L36" s="94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5" customFormat="1" ht="14.45" customHeight="1" hidden="1">
      <c r="A37" s="91"/>
      <c r="B37" s="92"/>
      <c r="C37" s="91"/>
      <c r="D37" s="91"/>
      <c r="E37" s="89" t="s">
        <v>46</v>
      </c>
      <c r="F37" s="107">
        <f>ROUND((SUM(BG129:BG376)),2)</f>
        <v>0</v>
      </c>
      <c r="G37" s="91"/>
      <c r="H37" s="91"/>
      <c r="I37" s="108">
        <v>0.21</v>
      </c>
      <c r="J37" s="107">
        <f>0</f>
        <v>0</v>
      </c>
      <c r="K37" s="91"/>
      <c r="L37" s="94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5" customFormat="1" ht="14.45" customHeight="1" hidden="1">
      <c r="A38" s="91"/>
      <c r="B38" s="92"/>
      <c r="C38" s="91"/>
      <c r="D38" s="91"/>
      <c r="E38" s="89" t="s">
        <v>47</v>
      </c>
      <c r="F38" s="107">
        <f>ROUND((SUM(BH129:BH376)),2)</f>
        <v>0</v>
      </c>
      <c r="G38" s="91"/>
      <c r="H38" s="91"/>
      <c r="I38" s="108">
        <v>0.15</v>
      </c>
      <c r="J38" s="107">
        <f>0</f>
        <v>0</v>
      </c>
      <c r="K38" s="91"/>
      <c r="L38" s="94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5" customFormat="1" ht="14.45" customHeight="1" hidden="1">
      <c r="A39" s="91"/>
      <c r="B39" s="92"/>
      <c r="C39" s="91"/>
      <c r="D39" s="91"/>
      <c r="E39" s="89" t="s">
        <v>48</v>
      </c>
      <c r="F39" s="107">
        <f>ROUND((SUM(BI129:BI376)),2)</f>
        <v>0</v>
      </c>
      <c r="G39" s="91"/>
      <c r="H39" s="91"/>
      <c r="I39" s="108">
        <v>0</v>
      </c>
      <c r="J39" s="107">
        <f>0</f>
        <v>0</v>
      </c>
      <c r="K39" s="91"/>
      <c r="L39" s="94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5" customFormat="1" ht="6.95" customHeight="1" hidden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s="95" customFormat="1" ht="25.35" customHeight="1" hidden="1">
      <c r="A41" s="91"/>
      <c r="B41" s="92"/>
      <c r="C41" s="109"/>
      <c r="D41" s="110" t="s">
        <v>49</v>
      </c>
      <c r="E41" s="111"/>
      <c r="F41" s="111"/>
      <c r="G41" s="112" t="s">
        <v>50</v>
      </c>
      <c r="H41" s="113" t="s">
        <v>51</v>
      </c>
      <c r="I41" s="111"/>
      <c r="J41" s="114">
        <f>SUM(J32:J39)</f>
        <v>0</v>
      </c>
      <c r="K41" s="115"/>
      <c r="L41" s="9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s="95" customFormat="1" ht="14.45" customHeight="1" hidden="1">
      <c r="A42" s="91"/>
      <c r="B42" s="92"/>
      <c r="C42" s="91"/>
      <c r="D42" s="91"/>
      <c r="E42" s="91"/>
      <c r="F42" s="91"/>
      <c r="G42" s="91"/>
      <c r="H42" s="91"/>
      <c r="I42" s="91"/>
      <c r="J42" s="91"/>
      <c r="K42" s="91"/>
      <c r="L42" s="9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2:12" ht="14.45" customHeight="1" hidden="1">
      <c r="B43" s="86"/>
      <c r="L43" s="86"/>
    </row>
    <row r="44" spans="2:12" ht="14.45" customHeight="1" hidden="1">
      <c r="B44" s="86"/>
      <c r="L44" s="86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1"/>
      <c r="B61" s="92"/>
      <c r="C61" s="91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1"/>
      <c r="B65" s="92"/>
      <c r="C65" s="91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1"/>
      <c r="B76" s="92"/>
      <c r="C76" s="91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5" customFormat="1" ht="14.45" customHeight="1" hidden="1">
      <c r="A77" s="91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5" customFormat="1" ht="6.95" customHeight="1">
      <c r="A81" s="91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5" customFormat="1" ht="24.95" customHeight="1">
      <c r="A82" s="91"/>
      <c r="B82" s="92"/>
      <c r="C82" s="87" t="s">
        <v>110</v>
      </c>
      <c r="D82" s="91"/>
      <c r="E82" s="91"/>
      <c r="F82" s="91"/>
      <c r="G82" s="91"/>
      <c r="H82" s="91"/>
      <c r="I82" s="91"/>
      <c r="J82" s="91"/>
      <c r="K82" s="91"/>
      <c r="L82" s="94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5" customFormat="1" ht="6.9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4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5" customFormat="1" ht="12" customHeight="1">
      <c r="A84" s="91"/>
      <c r="B84" s="92"/>
      <c r="C84" s="89" t="s">
        <v>14</v>
      </c>
      <c r="D84" s="91"/>
      <c r="E84" s="91"/>
      <c r="F84" s="91"/>
      <c r="G84" s="91"/>
      <c r="H84" s="91"/>
      <c r="I84" s="91"/>
      <c r="J84" s="91"/>
      <c r="K84" s="91"/>
      <c r="L84" s="94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5" customFormat="1" ht="16.5" customHeight="1">
      <c r="A85" s="91"/>
      <c r="B85" s="92"/>
      <c r="C85" s="91"/>
      <c r="D85" s="91"/>
      <c r="E85" s="286" t="str">
        <f>E7</f>
        <v>Kosmonosy, obnova vodovodu a kanalizace - 3. etapa</v>
      </c>
      <c r="F85" s="289"/>
      <c r="G85" s="289"/>
      <c r="H85" s="289"/>
      <c r="I85" s="91"/>
      <c r="J85" s="91"/>
      <c r="K85" s="91"/>
      <c r="L85" s="94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2:12" ht="12" customHeight="1">
      <c r="B86" s="86"/>
      <c r="C86" s="89" t="s">
        <v>106</v>
      </c>
      <c r="L86" s="86"/>
    </row>
    <row r="87" spans="1:31" s="95" customFormat="1" ht="16.5" customHeight="1">
      <c r="A87" s="91"/>
      <c r="B87" s="92"/>
      <c r="C87" s="91"/>
      <c r="D87" s="91"/>
      <c r="E87" s="286" t="s">
        <v>107</v>
      </c>
      <c r="F87" s="287"/>
      <c r="G87" s="287"/>
      <c r="H87" s="287"/>
      <c r="I87" s="91"/>
      <c r="J87" s="91"/>
      <c r="K87" s="91"/>
      <c r="L87" s="94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5" customFormat="1" ht="12" customHeight="1">
      <c r="A88" s="91"/>
      <c r="B88" s="92"/>
      <c r="C88" s="89" t="s">
        <v>108</v>
      </c>
      <c r="D88" s="91"/>
      <c r="E88" s="91"/>
      <c r="F88" s="91"/>
      <c r="G88" s="91"/>
      <c r="H88" s="91"/>
      <c r="I88" s="91"/>
      <c r="J88" s="91"/>
      <c r="K88" s="91"/>
      <c r="L88" s="94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5" customFormat="1" ht="16.5" customHeight="1">
      <c r="A89" s="91"/>
      <c r="B89" s="92"/>
      <c r="C89" s="91"/>
      <c r="D89" s="91"/>
      <c r="E89" s="288" t="str">
        <f>E11</f>
        <v>SO 1.1. - Vodovodní řad 11</v>
      </c>
      <c r="F89" s="287"/>
      <c r="G89" s="287"/>
      <c r="H89" s="287"/>
      <c r="I89" s="91"/>
      <c r="J89" s="91"/>
      <c r="K89" s="91"/>
      <c r="L89" s="94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5" customFormat="1" ht="6.9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4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5" customFormat="1" ht="12" customHeight="1">
      <c r="A91" s="91"/>
      <c r="B91" s="92"/>
      <c r="C91" s="89" t="s">
        <v>18</v>
      </c>
      <c r="D91" s="91"/>
      <c r="E91" s="91"/>
      <c r="F91" s="96" t="str">
        <f>F14</f>
        <v>Kosmonosy</v>
      </c>
      <c r="G91" s="91"/>
      <c r="H91" s="91"/>
      <c r="I91" s="89" t="s">
        <v>20</v>
      </c>
      <c r="J91" s="97" t="str">
        <f>IF(J14="","",J14)</f>
        <v>2. 3. 2020</v>
      </c>
      <c r="K91" s="91"/>
      <c r="L91" s="94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5" customFormat="1" ht="6.95" customHeight="1">
      <c r="A92" s="91"/>
      <c r="B92" s="92"/>
      <c r="C92" s="91"/>
      <c r="D92" s="91"/>
      <c r="E92" s="91"/>
      <c r="F92" s="91"/>
      <c r="G92" s="91"/>
      <c r="H92" s="91"/>
      <c r="I92" s="91"/>
      <c r="J92" s="91"/>
      <c r="K92" s="91"/>
      <c r="L92" s="94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5" customFormat="1" ht="15.2" customHeight="1">
      <c r="A93" s="91"/>
      <c r="B93" s="92"/>
      <c r="C93" s="89" t="s">
        <v>22</v>
      </c>
      <c r="D93" s="91"/>
      <c r="E93" s="91"/>
      <c r="F93" s="96" t="str">
        <f>E17</f>
        <v>Vodovody a kanalizace Mladá Boleslav, a.s.</v>
      </c>
      <c r="G93" s="91"/>
      <c r="H93" s="91"/>
      <c r="I93" s="89" t="s">
        <v>30</v>
      </c>
      <c r="J93" s="127" t="str">
        <f>E23</f>
        <v>ŠINDLAR s.r.o.</v>
      </c>
      <c r="K93" s="91"/>
      <c r="L93" s="94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5" customFormat="1" ht="15.2" customHeight="1">
      <c r="A94" s="91"/>
      <c r="B94" s="92"/>
      <c r="C94" s="89" t="s">
        <v>28</v>
      </c>
      <c r="D94" s="91"/>
      <c r="E94" s="91"/>
      <c r="F94" s="96" t="str">
        <f>IF(E20="","",E20)</f>
        <v>Dle výběrového řízení</v>
      </c>
      <c r="G94" s="91"/>
      <c r="H94" s="91"/>
      <c r="I94" s="89" t="s">
        <v>35</v>
      </c>
      <c r="J94" s="127" t="str">
        <f>E26</f>
        <v>Roman Bárta</v>
      </c>
      <c r="K94" s="91"/>
      <c r="L94" s="94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5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4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31" s="133" customFormat="1" ht="29.25" customHeight="1">
      <c r="A96" s="128"/>
      <c r="B96" s="129"/>
      <c r="C96" s="130" t="s">
        <v>111</v>
      </c>
      <c r="D96" s="128"/>
      <c r="E96" s="128"/>
      <c r="F96" s="128"/>
      <c r="G96" s="128"/>
      <c r="H96" s="128"/>
      <c r="I96" s="128"/>
      <c r="J96" s="131" t="s">
        <v>112</v>
      </c>
      <c r="K96" s="128"/>
      <c r="L96" s="132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</row>
    <row r="97" spans="1:31" s="95" customFormat="1" ht="10.35" customHeight="1">
      <c r="A97" s="91"/>
      <c r="B97" s="92"/>
      <c r="C97" s="91"/>
      <c r="D97" s="91"/>
      <c r="E97" s="91"/>
      <c r="F97" s="91"/>
      <c r="G97" s="91"/>
      <c r="H97" s="91"/>
      <c r="I97" s="91"/>
      <c r="J97" s="91"/>
      <c r="K97" s="91"/>
      <c r="L97" s="94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1:47" s="95" customFormat="1" ht="22.9" customHeight="1">
      <c r="A98" s="91"/>
      <c r="B98" s="92"/>
      <c r="C98" s="134" t="s">
        <v>113</v>
      </c>
      <c r="D98" s="91"/>
      <c r="E98" s="91"/>
      <c r="F98" s="91"/>
      <c r="G98" s="91"/>
      <c r="H98" s="91"/>
      <c r="I98" s="91"/>
      <c r="J98" s="104">
        <f>J99+J107</f>
        <v>0</v>
      </c>
      <c r="K98" s="91"/>
      <c r="L98" s="94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U98" s="83" t="s">
        <v>114</v>
      </c>
    </row>
    <row r="99" spans="2:12" s="135" customFormat="1" ht="24.95" customHeight="1">
      <c r="B99" s="136"/>
      <c r="D99" s="137" t="s">
        <v>115</v>
      </c>
      <c r="E99" s="138"/>
      <c r="F99" s="138"/>
      <c r="G99" s="138"/>
      <c r="H99" s="138"/>
      <c r="I99" s="138"/>
      <c r="J99" s="139">
        <f>SUM(J100:J106)</f>
        <v>0</v>
      </c>
      <c r="L99" s="136"/>
    </row>
    <row r="100" spans="2:12" s="140" customFormat="1" ht="19.9" customHeight="1">
      <c r="B100" s="141"/>
      <c r="D100" s="142" t="s">
        <v>116</v>
      </c>
      <c r="E100" s="143"/>
      <c r="F100" s="143"/>
      <c r="G100" s="143"/>
      <c r="H100" s="143"/>
      <c r="I100" s="143"/>
      <c r="J100" s="144">
        <f>J131</f>
        <v>0</v>
      </c>
      <c r="L100" s="141"/>
    </row>
    <row r="101" spans="2:12" s="140" customFormat="1" ht="19.9" customHeight="1">
      <c r="B101" s="141"/>
      <c r="D101" s="142" t="s">
        <v>117</v>
      </c>
      <c r="E101" s="143"/>
      <c r="F101" s="143"/>
      <c r="G101" s="143"/>
      <c r="H101" s="143"/>
      <c r="I101" s="143"/>
      <c r="J101" s="144">
        <f>J221</f>
        <v>0</v>
      </c>
      <c r="L101" s="141"/>
    </row>
    <row r="102" spans="2:12" s="140" customFormat="1" ht="19.9" customHeight="1">
      <c r="B102" s="141"/>
      <c r="D102" s="142" t="s">
        <v>118</v>
      </c>
      <c r="E102" s="143"/>
      <c r="F102" s="143"/>
      <c r="G102" s="143"/>
      <c r="H102" s="143"/>
      <c r="I102" s="143"/>
      <c r="J102" s="144">
        <f>J235</f>
        <v>0</v>
      </c>
      <c r="L102" s="141"/>
    </row>
    <row r="103" spans="2:12" s="140" customFormat="1" ht="19.9" customHeight="1">
      <c r="B103" s="141"/>
      <c r="D103" s="142" t="s">
        <v>119</v>
      </c>
      <c r="E103" s="143"/>
      <c r="F103" s="143"/>
      <c r="G103" s="143"/>
      <c r="H103" s="143"/>
      <c r="I103" s="143"/>
      <c r="J103" s="144">
        <f>J264</f>
        <v>0</v>
      </c>
      <c r="L103" s="141"/>
    </row>
    <row r="104" spans="2:12" s="140" customFormat="1" ht="19.9" customHeight="1">
      <c r="B104" s="141"/>
      <c r="D104" s="142" t="s">
        <v>120</v>
      </c>
      <c r="E104" s="143"/>
      <c r="F104" s="143"/>
      <c r="G104" s="143"/>
      <c r="H104" s="143"/>
      <c r="I104" s="143"/>
      <c r="J104" s="144">
        <f>J359</f>
        <v>0</v>
      </c>
      <c r="L104" s="141"/>
    </row>
    <row r="105" spans="2:12" s="140" customFormat="1" ht="19.9" customHeight="1">
      <c r="B105" s="141"/>
      <c r="D105" s="142" t="s">
        <v>121</v>
      </c>
      <c r="E105" s="143"/>
      <c r="F105" s="143"/>
      <c r="G105" s="143"/>
      <c r="H105" s="143"/>
      <c r="I105" s="143"/>
      <c r="J105" s="144">
        <f>J364</f>
        <v>0</v>
      </c>
      <c r="L105" s="141"/>
    </row>
    <row r="106" spans="2:12" s="140" customFormat="1" ht="19.9" customHeight="1">
      <c r="B106" s="141"/>
      <c r="D106" s="142" t="s">
        <v>122</v>
      </c>
      <c r="E106" s="143"/>
      <c r="F106" s="143"/>
      <c r="G106" s="143"/>
      <c r="H106" s="143"/>
      <c r="I106" s="143"/>
      <c r="J106" s="144">
        <f>J372</f>
        <v>0</v>
      </c>
      <c r="L106" s="141"/>
    </row>
    <row r="107" spans="2:12" s="135" customFormat="1" ht="24.95" customHeight="1">
      <c r="B107" s="136"/>
      <c r="D107" s="137" t="s">
        <v>123</v>
      </c>
      <c r="E107" s="138"/>
      <c r="F107" s="138"/>
      <c r="G107" s="138"/>
      <c r="H107" s="138"/>
      <c r="I107" s="138"/>
      <c r="J107" s="139">
        <f>J374</f>
        <v>0</v>
      </c>
      <c r="L107" s="136"/>
    </row>
    <row r="108" spans="1:31" s="95" customFormat="1" ht="21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4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5" customFormat="1" ht="6.95" customHeight="1">
      <c r="A109" s="91"/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94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3" spans="1:31" s="95" customFormat="1" ht="6.95" customHeight="1">
      <c r="A113" s="91"/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94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5" customFormat="1" ht="24.95" customHeight="1">
      <c r="A114" s="91"/>
      <c r="B114" s="92"/>
      <c r="C114" s="87" t="s">
        <v>124</v>
      </c>
      <c r="D114" s="91"/>
      <c r="E114" s="91"/>
      <c r="F114" s="91"/>
      <c r="G114" s="91"/>
      <c r="H114" s="91"/>
      <c r="I114" s="91"/>
      <c r="J114" s="91"/>
      <c r="K114" s="91"/>
      <c r="L114" s="94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5" customFormat="1" ht="6.9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4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5" customFormat="1" ht="12" customHeight="1">
      <c r="A116" s="91"/>
      <c r="B116" s="92"/>
      <c r="C116" s="89" t="s">
        <v>14</v>
      </c>
      <c r="D116" s="91"/>
      <c r="E116" s="91"/>
      <c r="F116" s="91"/>
      <c r="G116" s="91"/>
      <c r="H116" s="91"/>
      <c r="I116" s="91"/>
      <c r="J116" s="91"/>
      <c r="K116" s="91"/>
      <c r="L116" s="94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5" customFormat="1" ht="16.5" customHeight="1">
      <c r="A117" s="91"/>
      <c r="B117" s="92"/>
      <c r="C117" s="91"/>
      <c r="D117" s="91"/>
      <c r="E117" s="286" t="str">
        <f>E7</f>
        <v>Kosmonosy, obnova vodovodu a kanalizace - 3. etapa</v>
      </c>
      <c r="F117" s="289"/>
      <c r="G117" s="289"/>
      <c r="H117" s="289"/>
      <c r="I117" s="91"/>
      <c r="J117" s="91"/>
      <c r="K117" s="91"/>
      <c r="L117" s="94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2:12" ht="12" customHeight="1">
      <c r="B118" s="86"/>
      <c r="C118" s="89" t="s">
        <v>106</v>
      </c>
      <c r="L118" s="86"/>
    </row>
    <row r="119" spans="1:31" s="95" customFormat="1" ht="16.5" customHeight="1">
      <c r="A119" s="91"/>
      <c r="B119" s="92"/>
      <c r="C119" s="91"/>
      <c r="D119" s="91"/>
      <c r="E119" s="286" t="s">
        <v>107</v>
      </c>
      <c r="F119" s="287"/>
      <c r="G119" s="287"/>
      <c r="H119" s="287"/>
      <c r="I119" s="91"/>
      <c r="J119" s="91"/>
      <c r="K119" s="91"/>
      <c r="L119" s="94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5" customFormat="1" ht="12" customHeight="1">
      <c r="A120" s="91"/>
      <c r="B120" s="92"/>
      <c r="C120" s="89" t="s">
        <v>108</v>
      </c>
      <c r="D120" s="91"/>
      <c r="E120" s="91"/>
      <c r="F120" s="91"/>
      <c r="G120" s="91"/>
      <c r="H120" s="91"/>
      <c r="I120" s="91"/>
      <c r="J120" s="91"/>
      <c r="K120" s="91"/>
      <c r="L120" s="94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5" customFormat="1" ht="16.5" customHeight="1">
      <c r="A121" s="91"/>
      <c r="B121" s="92"/>
      <c r="C121" s="91"/>
      <c r="D121" s="91"/>
      <c r="E121" s="288" t="str">
        <f>E11</f>
        <v>SO 1.1. - Vodovodní řad 11</v>
      </c>
      <c r="F121" s="287"/>
      <c r="G121" s="287"/>
      <c r="H121" s="287"/>
      <c r="I121" s="91"/>
      <c r="J121" s="91"/>
      <c r="K121" s="91"/>
      <c r="L121" s="94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5" customFormat="1" ht="6.9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4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5" customFormat="1" ht="12" customHeight="1">
      <c r="A123" s="91"/>
      <c r="B123" s="92"/>
      <c r="C123" s="89" t="s">
        <v>18</v>
      </c>
      <c r="D123" s="91"/>
      <c r="E123" s="91"/>
      <c r="F123" s="96" t="str">
        <f>F14</f>
        <v>Kosmonosy</v>
      </c>
      <c r="G123" s="91"/>
      <c r="H123" s="91"/>
      <c r="I123" s="89" t="s">
        <v>20</v>
      </c>
      <c r="J123" s="97" t="str">
        <f>IF(J14="","",J14)</f>
        <v>2. 3. 2020</v>
      </c>
      <c r="K123" s="91"/>
      <c r="L123" s="94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5" customFormat="1" ht="6.9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4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5" customFormat="1" ht="15.2" customHeight="1">
      <c r="A125" s="91"/>
      <c r="B125" s="92"/>
      <c r="C125" s="89" t="s">
        <v>22</v>
      </c>
      <c r="D125" s="91"/>
      <c r="E125" s="91"/>
      <c r="F125" s="96" t="str">
        <f>E17</f>
        <v>Vodovody a kanalizace Mladá Boleslav, a.s.</v>
      </c>
      <c r="G125" s="91"/>
      <c r="H125" s="91"/>
      <c r="I125" s="89" t="s">
        <v>30</v>
      </c>
      <c r="J125" s="127" t="str">
        <f>E23</f>
        <v>ŠINDLAR s.r.o.</v>
      </c>
      <c r="K125" s="91"/>
      <c r="L125" s="94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5" customFormat="1" ht="15.2" customHeight="1">
      <c r="A126" s="91"/>
      <c r="B126" s="92"/>
      <c r="C126" s="89" t="s">
        <v>28</v>
      </c>
      <c r="D126" s="91"/>
      <c r="E126" s="91"/>
      <c r="F126" s="96" t="str">
        <f>IF(E20="","",E20)</f>
        <v>Dle výběrového řízení</v>
      </c>
      <c r="G126" s="91"/>
      <c r="H126" s="91"/>
      <c r="I126" s="89" t="s">
        <v>35</v>
      </c>
      <c r="J126" s="127" t="str">
        <f>E26</f>
        <v>Roman Bárta</v>
      </c>
      <c r="K126" s="91"/>
      <c r="L126" s="94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5" customFormat="1" ht="10.35" customHeight="1">
      <c r="A127" s="91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4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154" customFormat="1" ht="29.25" customHeight="1">
      <c r="A128" s="145"/>
      <c r="B128" s="146"/>
      <c r="C128" s="147" t="s">
        <v>125</v>
      </c>
      <c r="D128" s="148" t="s">
        <v>64</v>
      </c>
      <c r="E128" s="148" t="s">
        <v>60</v>
      </c>
      <c r="F128" s="148" t="s">
        <v>61</v>
      </c>
      <c r="G128" s="148" t="s">
        <v>126</v>
      </c>
      <c r="H128" s="148" t="s">
        <v>127</v>
      </c>
      <c r="I128" s="148" t="s">
        <v>128</v>
      </c>
      <c r="J128" s="148" t="s">
        <v>112</v>
      </c>
      <c r="K128" s="149" t="s">
        <v>129</v>
      </c>
      <c r="L128" s="150"/>
      <c r="M128" s="151" t="s">
        <v>1</v>
      </c>
      <c r="N128" s="152" t="s">
        <v>43</v>
      </c>
      <c r="O128" s="152" t="s">
        <v>130</v>
      </c>
      <c r="P128" s="152" t="s">
        <v>131</v>
      </c>
      <c r="Q128" s="152" t="s">
        <v>132</v>
      </c>
      <c r="R128" s="152" t="s">
        <v>133</v>
      </c>
      <c r="S128" s="152" t="s">
        <v>134</v>
      </c>
      <c r="T128" s="153" t="s">
        <v>135</v>
      </c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63" s="95" customFormat="1" ht="22.9" customHeight="1">
      <c r="A129" s="91"/>
      <c r="B129" s="92"/>
      <c r="C129" s="155" t="s">
        <v>136</v>
      </c>
      <c r="D129" s="91"/>
      <c r="E129" s="91"/>
      <c r="F129" s="91"/>
      <c r="G129" s="91"/>
      <c r="H129" s="91"/>
      <c r="I129" s="91"/>
      <c r="J129" s="156"/>
      <c r="K129" s="91"/>
      <c r="L129" s="92"/>
      <c r="M129" s="157"/>
      <c r="N129" s="158"/>
      <c r="O129" s="102"/>
      <c r="P129" s="159">
        <f>P130+P374</f>
        <v>971.0370800999998</v>
      </c>
      <c r="Q129" s="102"/>
      <c r="R129" s="159">
        <f>R130+R374</f>
        <v>13.156564600000001</v>
      </c>
      <c r="S129" s="102"/>
      <c r="T129" s="160">
        <f>T130+T374</f>
        <v>173.37311000000003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T129" s="83" t="s">
        <v>77</v>
      </c>
      <c r="AU129" s="83" t="s">
        <v>114</v>
      </c>
      <c r="BK129" s="161">
        <f>BK130+BK374</f>
        <v>0</v>
      </c>
    </row>
    <row r="130" spans="2:63" s="162" customFormat="1" ht="25.9" customHeight="1">
      <c r="B130" s="163"/>
      <c r="D130" s="164" t="s">
        <v>77</v>
      </c>
      <c r="E130" s="165" t="s">
        <v>137</v>
      </c>
      <c r="F130" s="165" t="s">
        <v>138</v>
      </c>
      <c r="J130" s="166"/>
      <c r="L130" s="163"/>
      <c r="M130" s="167"/>
      <c r="N130" s="168"/>
      <c r="O130" s="168"/>
      <c r="P130" s="169">
        <f>P131+P221+P235+P264+P359+P364+P372</f>
        <v>971.0370800999998</v>
      </c>
      <c r="Q130" s="168"/>
      <c r="R130" s="169">
        <f>R131+R221+R235+R264+R359+R364+R372</f>
        <v>13.156564600000001</v>
      </c>
      <c r="S130" s="168"/>
      <c r="T130" s="170">
        <f>T131+T221+T235+T264+T359+T364+T372</f>
        <v>173.37311000000003</v>
      </c>
      <c r="AR130" s="164" t="s">
        <v>85</v>
      </c>
      <c r="AT130" s="171" t="s">
        <v>77</v>
      </c>
      <c r="AU130" s="171" t="s">
        <v>78</v>
      </c>
      <c r="AY130" s="164" t="s">
        <v>139</v>
      </c>
      <c r="BK130" s="172">
        <f>BK131+BK221+BK235+BK264+BK359+BK364+BK372</f>
        <v>0</v>
      </c>
    </row>
    <row r="131" spans="2:63" s="162" customFormat="1" ht="22.9" customHeight="1">
      <c r="B131" s="163"/>
      <c r="D131" s="164" t="s">
        <v>77</v>
      </c>
      <c r="E131" s="173" t="s">
        <v>85</v>
      </c>
      <c r="F131" s="173" t="s">
        <v>140</v>
      </c>
      <c r="J131" s="174">
        <f>SUM(J132:J219)</f>
        <v>0</v>
      </c>
      <c r="L131" s="163"/>
      <c r="M131" s="167"/>
      <c r="N131" s="168"/>
      <c r="O131" s="168"/>
      <c r="P131" s="169">
        <f>SUM(P132:P220)</f>
        <v>509.50012369999996</v>
      </c>
      <c r="Q131" s="168"/>
      <c r="R131" s="169">
        <f>SUM(R132:R220)</f>
        <v>0.6801411999999999</v>
      </c>
      <c r="S131" s="168"/>
      <c r="T131" s="170">
        <f>SUM(T132:T220)</f>
        <v>172.06169000000003</v>
      </c>
      <c r="AR131" s="164" t="s">
        <v>85</v>
      </c>
      <c r="AT131" s="171" t="s">
        <v>77</v>
      </c>
      <c r="AU131" s="171" t="s">
        <v>85</v>
      </c>
      <c r="AY131" s="164" t="s">
        <v>139</v>
      </c>
      <c r="BK131" s="172">
        <f>SUM(BK132:BK220)</f>
        <v>0</v>
      </c>
    </row>
    <row r="132" spans="1:65" s="95" customFormat="1" ht="72">
      <c r="A132" s="91"/>
      <c r="B132" s="92"/>
      <c r="C132" s="175" t="s">
        <v>85</v>
      </c>
      <c r="D132" s="175" t="s">
        <v>141</v>
      </c>
      <c r="E132" s="176" t="s">
        <v>142</v>
      </c>
      <c r="F132" s="177" t="s">
        <v>143</v>
      </c>
      <c r="G132" s="178" t="s">
        <v>144</v>
      </c>
      <c r="H132" s="179">
        <v>3.15</v>
      </c>
      <c r="I132" s="69"/>
      <c r="J132" s="180">
        <f>ROUND(I132*H132,2)</f>
        <v>0</v>
      </c>
      <c r="K132" s="177" t="s">
        <v>145</v>
      </c>
      <c r="L132" s="92"/>
      <c r="M132" s="181" t="s">
        <v>1</v>
      </c>
      <c r="N132" s="182" t="s">
        <v>44</v>
      </c>
      <c r="O132" s="183">
        <v>0.208</v>
      </c>
      <c r="P132" s="183">
        <f>O132*H132</f>
        <v>0.6552</v>
      </c>
      <c r="Q132" s="183">
        <v>0</v>
      </c>
      <c r="R132" s="183">
        <f>Q132*H132</f>
        <v>0</v>
      </c>
      <c r="S132" s="183">
        <v>0.255</v>
      </c>
      <c r="T132" s="184">
        <f>S132*H132</f>
        <v>0.80325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146</v>
      </c>
      <c r="AT132" s="185" t="s">
        <v>141</v>
      </c>
      <c r="AU132" s="185" t="s">
        <v>87</v>
      </c>
      <c r="AY132" s="83" t="s">
        <v>139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3" t="s">
        <v>85</v>
      </c>
      <c r="BK132" s="186">
        <f>ROUND(I132*H132,2)</f>
        <v>0</v>
      </c>
      <c r="BL132" s="83" t="s">
        <v>146</v>
      </c>
      <c r="BM132" s="185" t="s">
        <v>147</v>
      </c>
    </row>
    <row r="133" spans="2:51" s="187" customFormat="1" ht="12">
      <c r="B133" s="188"/>
      <c r="D133" s="189" t="s">
        <v>148</v>
      </c>
      <c r="E133" s="190" t="s">
        <v>1</v>
      </c>
      <c r="F133" s="191" t="s">
        <v>149</v>
      </c>
      <c r="H133" s="192">
        <v>3.15</v>
      </c>
      <c r="I133" s="233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0" t="s">
        <v>148</v>
      </c>
      <c r="AU133" s="190" t="s">
        <v>87</v>
      </c>
      <c r="AV133" s="187" t="s">
        <v>87</v>
      </c>
      <c r="AW133" s="187" t="s">
        <v>34</v>
      </c>
      <c r="AX133" s="187" t="s">
        <v>85</v>
      </c>
      <c r="AY133" s="190" t="s">
        <v>139</v>
      </c>
    </row>
    <row r="134" spans="1:65" s="95" customFormat="1" ht="66.75" customHeight="1">
      <c r="A134" s="91"/>
      <c r="B134" s="92"/>
      <c r="C134" s="175" t="s">
        <v>87</v>
      </c>
      <c r="D134" s="175" t="s">
        <v>141</v>
      </c>
      <c r="E134" s="176" t="s">
        <v>150</v>
      </c>
      <c r="F134" s="177" t="s">
        <v>151</v>
      </c>
      <c r="G134" s="178" t="s">
        <v>144</v>
      </c>
      <c r="H134" s="179">
        <v>211.519</v>
      </c>
      <c r="I134" s="69"/>
      <c r="J134" s="180">
        <f>ROUND(I134*H134,2)</f>
        <v>0</v>
      </c>
      <c r="K134" s="177" t="s">
        <v>145</v>
      </c>
      <c r="L134" s="92"/>
      <c r="M134" s="181" t="s">
        <v>1</v>
      </c>
      <c r="N134" s="182" t="s">
        <v>44</v>
      </c>
      <c r="O134" s="183">
        <v>0.119</v>
      </c>
      <c r="P134" s="183">
        <f>O134*H134</f>
        <v>25.170761</v>
      </c>
      <c r="Q134" s="183">
        <v>0</v>
      </c>
      <c r="R134" s="183">
        <f>Q134*H134</f>
        <v>0</v>
      </c>
      <c r="S134" s="183">
        <v>0.44</v>
      </c>
      <c r="T134" s="184">
        <f>S134*H134</f>
        <v>93.06836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146</v>
      </c>
      <c r="AT134" s="185" t="s">
        <v>141</v>
      </c>
      <c r="AU134" s="185" t="s">
        <v>87</v>
      </c>
      <c r="AY134" s="83" t="s">
        <v>139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3" t="s">
        <v>85</v>
      </c>
      <c r="BK134" s="186">
        <f>ROUND(I134*H134,2)</f>
        <v>0</v>
      </c>
      <c r="BL134" s="83" t="s">
        <v>146</v>
      </c>
      <c r="BM134" s="185" t="s">
        <v>152</v>
      </c>
    </row>
    <row r="135" spans="1:47" s="95" customFormat="1" ht="19.5">
      <c r="A135" s="91"/>
      <c r="B135" s="92"/>
      <c r="C135" s="91"/>
      <c r="D135" s="189" t="s">
        <v>153</v>
      </c>
      <c r="E135" s="91"/>
      <c r="F135" s="196" t="s">
        <v>154</v>
      </c>
      <c r="G135" s="91"/>
      <c r="H135" s="91"/>
      <c r="I135" s="234"/>
      <c r="J135" s="91"/>
      <c r="K135" s="91"/>
      <c r="L135" s="92"/>
      <c r="M135" s="197"/>
      <c r="N135" s="198"/>
      <c r="O135" s="199"/>
      <c r="P135" s="199"/>
      <c r="Q135" s="199"/>
      <c r="R135" s="199"/>
      <c r="S135" s="199"/>
      <c r="T135" s="200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T135" s="83" t="s">
        <v>153</v>
      </c>
      <c r="AU135" s="83" t="s">
        <v>87</v>
      </c>
    </row>
    <row r="136" spans="2:51" s="201" customFormat="1" ht="12">
      <c r="B136" s="202"/>
      <c r="D136" s="189" t="s">
        <v>148</v>
      </c>
      <c r="E136" s="203" t="s">
        <v>1</v>
      </c>
      <c r="F136" s="204" t="s">
        <v>155</v>
      </c>
      <c r="H136" s="203" t="s">
        <v>1</v>
      </c>
      <c r="I136" s="235"/>
      <c r="L136" s="202"/>
      <c r="M136" s="205"/>
      <c r="N136" s="206"/>
      <c r="O136" s="206"/>
      <c r="P136" s="206"/>
      <c r="Q136" s="206"/>
      <c r="R136" s="206"/>
      <c r="S136" s="206"/>
      <c r="T136" s="207"/>
      <c r="AT136" s="203" t="s">
        <v>148</v>
      </c>
      <c r="AU136" s="203" t="s">
        <v>87</v>
      </c>
      <c r="AV136" s="201" t="s">
        <v>85</v>
      </c>
      <c r="AW136" s="201" t="s">
        <v>34</v>
      </c>
      <c r="AX136" s="201" t="s">
        <v>78</v>
      </c>
      <c r="AY136" s="203" t="s">
        <v>139</v>
      </c>
    </row>
    <row r="137" spans="2:51" s="201" customFormat="1" ht="12">
      <c r="B137" s="202"/>
      <c r="D137" s="189" t="s">
        <v>148</v>
      </c>
      <c r="E137" s="203" t="s">
        <v>1</v>
      </c>
      <c r="F137" s="204" t="s">
        <v>156</v>
      </c>
      <c r="H137" s="203" t="s">
        <v>1</v>
      </c>
      <c r="I137" s="235"/>
      <c r="L137" s="202"/>
      <c r="M137" s="205"/>
      <c r="N137" s="206"/>
      <c r="O137" s="206"/>
      <c r="P137" s="206"/>
      <c r="Q137" s="206"/>
      <c r="R137" s="206"/>
      <c r="S137" s="206"/>
      <c r="T137" s="207"/>
      <c r="AT137" s="203" t="s">
        <v>148</v>
      </c>
      <c r="AU137" s="203" t="s">
        <v>87</v>
      </c>
      <c r="AV137" s="201" t="s">
        <v>85</v>
      </c>
      <c r="AW137" s="201" t="s">
        <v>34</v>
      </c>
      <c r="AX137" s="201" t="s">
        <v>78</v>
      </c>
      <c r="AY137" s="203" t="s">
        <v>139</v>
      </c>
    </row>
    <row r="138" spans="2:51" s="187" customFormat="1" ht="12">
      <c r="B138" s="188"/>
      <c r="D138" s="189" t="s">
        <v>148</v>
      </c>
      <c r="E138" s="190" t="s">
        <v>1</v>
      </c>
      <c r="F138" s="191" t="s">
        <v>157</v>
      </c>
      <c r="H138" s="192">
        <v>209.209</v>
      </c>
      <c r="I138" s="233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0" t="s">
        <v>148</v>
      </c>
      <c r="AU138" s="190" t="s">
        <v>87</v>
      </c>
      <c r="AV138" s="187" t="s">
        <v>87</v>
      </c>
      <c r="AW138" s="187" t="s">
        <v>34</v>
      </c>
      <c r="AX138" s="187" t="s">
        <v>78</v>
      </c>
      <c r="AY138" s="190" t="s">
        <v>139</v>
      </c>
    </row>
    <row r="139" spans="2:51" s="187" customFormat="1" ht="12">
      <c r="B139" s="188"/>
      <c r="D139" s="189" t="s">
        <v>148</v>
      </c>
      <c r="E139" s="190" t="s">
        <v>1</v>
      </c>
      <c r="F139" s="191" t="s">
        <v>158</v>
      </c>
      <c r="H139" s="192">
        <v>2.31</v>
      </c>
      <c r="I139" s="233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0" t="s">
        <v>148</v>
      </c>
      <c r="AU139" s="190" t="s">
        <v>87</v>
      </c>
      <c r="AV139" s="187" t="s">
        <v>87</v>
      </c>
      <c r="AW139" s="187" t="s">
        <v>34</v>
      </c>
      <c r="AX139" s="187" t="s">
        <v>78</v>
      </c>
      <c r="AY139" s="190" t="s">
        <v>139</v>
      </c>
    </row>
    <row r="140" spans="2:51" s="208" customFormat="1" ht="12">
      <c r="B140" s="209"/>
      <c r="D140" s="189" t="s">
        <v>148</v>
      </c>
      <c r="E140" s="210" t="s">
        <v>1</v>
      </c>
      <c r="F140" s="211" t="s">
        <v>159</v>
      </c>
      <c r="H140" s="212">
        <v>211.519</v>
      </c>
      <c r="I140" s="236"/>
      <c r="L140" s="209"/>
      <c r="M140" s="213"/>
      <c r="N140" s="214"/>
      <c r="O140" s="214"/>
      <c r="P140" s="214"/>
      <c r="Q140" s="214"/>
      <c r="R140" s="214"/>
      <c r="S140" s="214"/>
      <c r="T140" s="215"/>
      <c r="AT140" s="210" t="s">
        <v>148</v>
      </c>
      <c r="AU140" s="210" t="s">
        <v>87</v>
      </c>
      <c r="AV140" s="208" t="s">
        <v>146</v>
      </c>
      <c r="AW140" s="208" t="s">
        <v>34</v>
      </c>
      <c r="AX140" s="208" t="s">
        <v>85</v>
      </c>
      <c r="AY140" s="210" t="s">
        <v>139</v>
      </c>
    </row>
    <row r="141" spans="1:65" s="95" customFormat="1" ht="55.5" customHeight="1">
      <c r="A141" s="91"/>
      <c r="B141" s="92"/>
      <c r="C141" s="175" t="s">
        <v>146</v>
      </c>
      <c r="D141" s="175" t="s">
        <v>141</v>
      </c>
      <c r="E141" s="176" t="s">
        <v>162</v>
      </c>
      <c r="F141" s="177" t="s">
        <v>163</v>
      </c>
      <c r="G141" s="178" t="s">
        <v>144</v>
      </c>
      <c r="H141" s="179">
        <v>201.12</v>
      </c>
      <c r="I141" s="69"/>
      <c r="J141" s="180">
        <f>ROUND(I141*H141,2)</f>
        <v>0</v>
      </c>
      <c r="K141" s="177" t="s">
        <v>1</v>
      </c>
      <c r="L141" s="92"/>
      <c r="M141" s="181" t="s">
        <v>1</v>
      </c>
      <c r="N141" s="182" t="s">
        <v>44</v>
      </c>
      <c r="O141" s="183">
        <v>0.022</v>
      </c>
      <c r="P141" s="183">
        <f>O141*H141</f>
        <v>4.42464</v>
      </c>
      <c r="Q141" s="183">
        <v>0.0003</v>
      </c>
      <c r="R141" s="183">
        <f>Q141*H141</f>
        <v>0.060335999999999994</v>
      </c>
      <c r="S141" s="183">
        <v>0.384</v>
      </c>
      <c r="T141" s="184">
        <f>S141*H141</f>
        <v>77.23008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146</v>
      </c>
      <c r="AT141" s="185" t="s">
        <v>141</v>
      </c>
      <c r="AU141" s="185" t="s">
        <v>87</v>
      </c>
      <c r="AY141" s="83" t="s">
        <v>139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83" t="s">
        <v>85</v>
      </c>
      <c r="BK141" s="186">
        <f>ROUND(I141*H141,2)</f>
        <v>0</v>
      </c>
      <c r="BL141" s="83" t="s">
        <v>146</v>
      </c>
      <c r="BM141" s="185" t="s">
        <v>164</v>
      </c>
    </row>
    <row r="142" spans="1:47" s="95" customFormat="1" ht="19.5">
      <c r="A142" s="91"/>
      <c r="B142" s="92"/>
      <c r="C142" s="91"/>
      <c r="D142" s="189" t="s">
        <v>153</v>
      </c>
      <c r="E142" s="91"/>
      <c r="F142" s="196" t="s">
        <v>165</v>
      </c>
      <c r="G142" s="91"/>
      <c r="H142" s="91"/>
      <c r="I142" s="234"/>
      <c r="J142" s="91"/>
      <c r="K142" s="91"/>
      <c r="L142" s="92"/>
      <c r="M142" s="197"/>
      <c r="N142" s="198"/>
      <c r="O142" s="199"/>
      <c r="P142" s="199"/>
      <c r="Q142" s="199"/>
      <c r="R142" s="199"/>
      <c r="S142" s="199"/>
      <c r="T142" s="200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T142" s="83" t="s">
        <v>153</v>
      </c>
      <c r="AU142" s="83" t="s">
        <v>87</v>
      </c>
    </row>
    <row r="143" spans="2:51" s="201" customFormat="1" ht="12">
      <c r="B143" s="202"/>
      <c r="D143" s="189" t="s">
        <v>148</v>
      </c>
      <c r="E143" s="203" t="s">
        <v>1</v>
      </c>
      <c r="F143" s="204" t="s">
        <v>166</v>
      </c>
      <c r="H143" s="203" t="s">
        <v>1</v>
      </c>
      <c r="I143" s="235"/>
      <c r="L143" s="202"/>
      <c r="M143" s="205"/>
      <c r="N143" s="206"/>
      <c r="O143" s="206"/>
      <c r="P143" s="206"/>
      <c r="Q143" s="206"/>
      <c r="R143" s="206"/>
      <c r="S143" s="206"/>
      <c r="T143" s="207"/>
      <c r="AT143" s="203" t="s">
        <v>148</v>
      </c>
      <c r="AU143" s="203" t="s">
        <v>87</v>
      </c>
      <c r="AV143" s="201" t="s">
        <v>85</v>
      </c>
      <c r="AW143" s="201" t="s">
        <v>34</v>
      </c>
      <c r="AX143" s="201" t="s">
        <v>78</v>
      </c>
      <c r="AY143" s="203" t="s">
        <v>139</v>
      </c>
    </row>
    <row r="144" spans="2:51" s="201" customFormat="1" ht="12">
      <c r="B144" s="202"/>
      <c r="D144" s="189" t="s">
        <v>148</v>
      </c>
      <c r="E144" s="203" t="s">
        <v>1</v>
      </c>
      <c r="F144" s="204" t="s">
        <v>156</v>
      </c>
      <c r="H144" s="203" t="s">
        <v>1</v>
      </c>
      <c r="I144" s="235"/>
      <c r="L144" s="202"/>
      <c r="M144" s="205"/>
      <c r="N144" s="206"/>
      <c r="O144" s="206"/>
      <c r="P144" s="206"/>
      <c r="Q144" s="206"/>
      <c r="R144" s="206"/>
      <c r="S144" s="206"/>
      <c r="T144" s="207"/>
      <c r="AT144" s="203" t="s">
        <v>148</v>
      </c>
      <c r="AU144" s="203" t="s">
        <v>87</v>
      </c>
      <c r="AV144" s="201" t="s">
        <v>85</v>
      </c>
      <c r="AW144" s="201" t="s">
        <v>34</v>
      </c>
      <c r="AX144" s="201" t="s">
        <v>78</v>
      </c>
      <c r="AY144" s="203" t="s">
        <v>139</v>
      </c>
    </row>
    <row r="145" spans="2:51" s="187" customFormat="1" ht="12">
      <c r="B145" s="188"/>
      <c r="D145" s="189" t="s">
        <v>148</v>
      </c>
      <c r="E145" s="190" t="s">
        <v>1</v>
      </c>
      <c r="F145" s="191" t="s">
        <v>167</v>
      </c>
      <c r="H145" s="192">
        <v>201.12</v>
      </c>
      <c r="I145" s="233"/>
      <c r="L145" s="188"/>
      <c r="M145" s="193"/>
      <c r="N145" s="194"/>
      <c r="O145" s="194"/>
      <c r="P145" s="194"/>
      <c r="Q145" s="194"/>
      <c r="R145" s="194"/>
      <c r="S145" s="194"/>
      <c r="T145" s="195"/>
      <c r="AT145" s="190" t="s">
        <v>148</v>
      </c>
      <c r="AU145" s="190" t="s">
        <v>87</v>
      </c>
      <c r="AV145" s="187" t="s">
        <v>87</v>
      </c>
      <c r="AW145" s="187" t="s">
        <v>34</v>
      </c>
      <c r="AX145" s="187" t="s">
        <v>85</v>
      </c>
      <c r="AY145" s="190" t="s">
        <v>139</v>
      </c>
    </row>
    <row r="146" spans="1:65" s="95" customFormat="1" ht="44.25" customHeight="1">
      <c r="A146" s="91"/>
      <c r="B146" s="92"/>
      <c r="C146" s="175" t="s">
        <v>168</v>
      </c>
      <c r="D146" s="175" t="s">
        <v>141</v>
      </c>
      <c r="E146" s="176" t="s">
        <v>169</v>
      </c>
      <c r="F146" s="177" t="s">
        <v>170</v>
      </c>
      <c r="G146" s="178" t="s">
        <v>171</v>
      </c>
      <c r="H146" s="179">
        <v>24</v>
      </c>
      <c r="I146" s="69"/>
      <c r="J146" s="180">
        <f>ROUND(I146*H146,2)</f>
        <v>0</v>
      </c>
      <c r="K146" s="177" t="s">
        <v>145</v>
      </c>
      <c r="L146" s="92"/>
      <c r="M146" s="181" t="s">
        <v>1</v>
      </c>
      <c r="N146" s="182" t="s">
        <v>44</v>
      </c>
      <c r="O146" s="183">
        <v>0.095</v>
      </c>
      <c r="P146" s="183">
        <f>O146*H146</f>
        <v>2.2800000000000002</v>
      </c>
      <c r="Q146" s="183">
        <v>0</v>
      </c>
      <c r="R146" s="183">
        <f>Q146*H146</f>
        <v>0</v>
      </c>
      <c r="S146" s="183">
        <v>0.04</v>
      </c>
      <c r="T146" s="184">
        <f>S146*H146</f>
        <v>0.96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146</v>
      </c>
      <c r="AT146" s="185" t="s">
        <v>141</v>
      </c>
      <c r="AU146" s="185" t="s">
        <v>87</v>
      </c>
      <c r="AY146" s="83" t="s">
        <v>139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3" t="s">
        <v>85</v>
      </c>
      <c r="BK146" s="186">
        <f>ROUND(I146*H146,2)</f>
        <v>0</v>
      </c>
      <c r="BL146" s="83" t="s">
        <v>146</v>
      </c>
      <c r="BM146" s="185" t="s">
        <v>172</v>
      </c>
    </row>
    <row r="147" spans="2:51" s="187" customFormat="1" ht="12">
      <c r="B147" s="188"/>
      <c r="D147" s="189" t="s">
        <v>148</v>
      </c>
      <c r="E147" s="190" t="s">
        <v>1</v>
      </c>
      <c r="F147" s="191" t="s">
        <v>173</v>
      </c>
      <c r="H147" s="192">
        <v>24</v>
      </c>
      <c r="I147" s="233"/>
      <c r="L147" s="188"/>
      <c r="M147" s="193"/>
      <c r="N147" s="194"/>
      <c r="O147" s="194"/>
      <c r="P147" s="194"/>
      <c r="Q147" s="194"/>
      <c r="R147" s="194"/>
      <c r="S147" s="194"/>
      <c r="T147" s="195"/>
      <c r="AT147" s="190" t="s">
        <v>148</v>
      </c>
      <c r="AU147" s="190" t="s">
        <v>87</v>
      </c>
      <c r="AV147" s="187" t="s">
        <v>87</v>
      </c>
      <c r="AW147" s="187" t="s">
        <v>34</v>
      </c>
      <c r="AX147" s="187" t="s">
        <v>85</v>
      </c>
      <c r="AY147" s="190" t="s">
        <v>139</v>
      </c>
    </row>
    <row r="148" spans="1:65" s="95" customFormat="1" ht="24">
      <c r="A148" s="91"/>
      <c r="B148" s="92"/>
      <c r="C148" s="175" t="s">
        <v>174</v>
      </c>
      <c r="D148" s="175" t="s">
        <v>141</v>
      </c>
      <c r="E148" s="176" t="s">
        <v>175</v>
      </c>
      <c r="F148" s="177" t="s">
        <v>176</v>
      </c>
      <c r="G148" s="178" t="s">
        <v>177</v>
      </c>
      <c r="H148" s="179">
        <v>50</v>
      </c>
      <c r="I148" s="69"/>
      <c r="J148" s="180">
        <f>ROUND(I148*H148,2)</f>
        <v>0</v>
      </c>
      <c r="K148" s="177" t="s">
        <v>145</v>
      </c>
      <c r="L148" s="92"/>
      <c r="M148" s="181" t="s">
        <v>1</v>
      </c>
      <c r="N148" s="182" t="s">
        <v>44</v>
      </c>
      <c r="O148" s="183">
        <v>0.2</v>
      </c>
      <c r="P148" s="183">
        <f>O148*H148</f>
        <v>10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146</v>
      </c>
      <c r="AT148" s="185" t="s">
        <v>141</v>
      </c>
      <c r="AU148" s="185" t="s">
        <v>87</v>
      </c>
      <c r="AY148" s="83" t="s">
        <v>139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3" t="s">
        <v>85</v>
      </c>
      <c r="BK148" s="186">
        <f>ROUND(I148*H148,2)</f>
        <v>0</v>
      </c>
      <c r="BL148" s="83" t="s">
        <v>146</v>
      </c>
      <c r="BM148" s="185" t="s">
        <v>178</v>
      </c>
    </row>
    <row r="149" spans="1:47" s="95" customFormat="1" ht="19.5">
      <c r="A149" s="91"/>
      <c r="B149" s="92"/>
      <c r="C149" s="91"/>
      <c r="D149" s="189" t="s">
        <v>153</v>
      </c>
      <c r="E149" s="91"/>
      <c r="F149" s="196" t="s">
        <v>179</v>
      </c>
      <c r="G149" s="91"/>
      <c r="H149" s="91"/>
      <c r="I149" s="234"/>
      <c r="J149" s="91"/>
      <c r="K149" s="91"/>
      <c r="L149" s="92"/>
      <c r="M149" s="197"/>
      <c r="N149" s="198"/>
      <c r="O149" s="199"/>
      <c r="P149" s="199"/>
      <c r="Q149" s="199"/>
      <c r="R149" s="199"/>
      <c r="S149" s="199"/>
      <c r="T149" s="200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T149" s="83" t="s">
        <v>153</v>
      </c>
      <c r="AU149" s="83" t="s">
        <v>87</v>
      </c>
    </row>
    <row r="150" spans="2:51" s="187" customFormat="1" ht="12">
      <c r="B150" s="188"/>
      <c r="D150" s="189" t="s">
        <v>148</v>
      </c>
      <c r="E150" s="190" t="s">
        <v>1</v>
      </c>
      <c r="F150" s="191" t="s">
        <v>180</v>
      </c>
      <c r="H150" s="192">
        <v>50</v>
      </c>
      <c r="I150" s="233"/>
      <c r="L150" s="188"/>
      <c r="M150" s="193"/>
      <c r="N150" s="194"/>
      <c r="O150" s="194"/>
      <c r="P150" s="194"/>
      <c r="Q150" s="194"/>
      <c r="R150" s="194"/>
      <c r="S150" s="194"/>
      <c r="T150" s="195"/>
      <c r="AT150" s="190" t="s">
        <v>148</v>
      </c>
      <c r="AU150" s="190" t="s">
        <v>87</v>
      </c>
      <c r="AV150" s="187" t="s">
        <v>87</v>
      </c>
      <c r="AW150" s="187" t="s">
        <v>34</v>
      </c>
      <c r="AX150" s="187" t="s">
        <v>85</v>
      </c>
      <c r="AY150" s="190" t="s">
        <v>139</v>
      </c>
    </row>
    <row r="151" spans="1:65" s="95" customFormat="1" ht="66.75" customHeight="1">
      <c r="A151" s="91"/>
      <c r="B151" s="92"/>
      <c r="C151" s="175" t="s">
        <v>181</v>
      </c>
      <c r="D151" s="175" t="s">
        <v>141</v>
      </c>
      <c r="E151" s="176" t="s">
        <v>182</v>
      </c>
      <c r="F151" s="177" t="s">
        <v>183</v>
      </c>
      <c r="G151" s="178" t="s">
        <v>171</v>
      </c>
      <c r="H151" s="179">
        <v>4.4</v>
      </c>
      <c r="I151" s="69"/>
      <c r="J151" s="180">
        <f>ROUND(I151*H151,2)</f>
        <v>0</v>
      </c>
      <c r="K151" s="177" t="s">
        <v>145</v>
      </c>
      <c r="L151" s="92"/>
      <c r="M151" s="181" t="s">
        <v>1</v>
      </c>
      <c r="N151" s="182" t="s">
        <v>44</v>
      </c>
      <c r="O151" s="183">
        <v>0.703</v>
      </c>
      <c r="P151" s="183">
        <f>O151*H151</f>
        <v>3.0932</v>
      </c>
      <c r="Q151" s="183">
        <v>0.00868</v>
      </c>
      <c r="R151" s="183">
        <f>Q151*H151</f>
        <v>0.038192000000000004</v>
      </c>
      <c r="S151" s="183">
        <v>0</v>
      </c>
      <c r="T151" s="184">
        <f>S151*H151</f>
        <v>0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85" t="s">
        <v>146</v>
      </c>
      <c r="AT151" s="185" t="s">
        <v>141</v>
      </c>
      <c r="AU151" s="185" t="s">
        <v>87</v>
      </c>
      <c r="AY151" s="83" t="s">
        <v>139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83" t="s">
        <v>85</v>
      </c>
      <c r="BK151" s="186">
        <f>ROUND(I151*H151,2)</f>
        <v>0</v>
      </c>
      <c r="BL151" s="83" t="s">
        <v>146</v>
      </c>
      <c r="BM151" s="185" t="s">
        <v>184</v>
      </c>
    </row>
    <row r="152" spans="2:51" s="201" customFormat="1" ht="12">
      <c r="B152" s="202"/>
      <c r="D152" s="189" t="s">
        <v>148</v>
      </c>
      <c r="E152" s="203" t="s">
        <v>1</v>
      </c>
      <c r="F152" s="204" t="s">
        <v>185</v>
      </c>
      <c r="H152" s="203" t="s">
        <v>1</v>
      </c>
      <c r="I152" s="235"/>
      <c r="L152" s="202"/>
      <c r="M152" s="205"/>
      <c r="N152" s="206"/>
      <c r="O152" s="206"/>
      <c r="P152" s="206"/>
      <c r="Q152" s="206"/>
      <c r="R152" s="206"/>
      <c r="S152" s="206"/>
      <c r="T152" s="207"/>
      <c r="AT152" s="203" t="s">
        <v>148</v>
      </c>
      <c r="AU152" s="203" t="s">
        <v>87</v>
      </c>
      <c r="AV152" s="201" t="s">
        <v>85</v>
      </c>
      <c r="AW152" s="201" t="s">
        <v>34</v>
      </c>
      <c r="AX152" s="201" t="s">
        <v>78</v>
      </c>
      <c r="AY152" s="203" t="s">
        <v>139</v>
      </c>
    </row>
    <row r="153" spans="2:51" s="187" customFormat="1" ht="12">
      <c r="B153" s="188"/>
      <c r="D153" s="189" t="s">
        <v>148</v>
      </c>
      <c r="E153" s="190" t="s">
        <v>1</v>
      </c>
      <c r="F153" s="191" t="s">
        <v>186</v>
      </c>
      <c r="H153" s="192">
        <v>4.4</v>
      </c>
      <c r="I153" s="233"/>
      <c r="L153" s="188"/>
      <c r="M153" s="193"/>
      <c r="N153" s="194"/>
      <c r="O153" s="194"/>
      <c r="P153" s="194"/>
      <c r="Q153" s="194"/>
      <c r="R153" s="194"/>
      <c r="S153" s="194"/>
      <c r="T153" s="195"/>
      <c r="AT153" s="190" t="s">
        <v>148</v>
      </c>
      <c r="AU153" s="190" t="s">
        <v>87</v>
      </c>
      <c r="AV153" s="187" t="s">
        <v>87</v>
      </c>
      <c r="AW153" s="187" t="s">
        <v>34</v>
      </c>
      <c r="AX153" s="187" t="s">
        <v>85</v>
      </c>
      <c r="AY153" s="190" t="s">
        <v>139</v>
      </c>
    </row>
    <row r="154" spans="1:65" s="95" customFormat="1" ht="66.75" customHeight="1">
      <c r="A154" s="91"/>
      <c r="B154" s="92"/>
      <c r="C154" s="175" t="s">
        <v>187</v>
      </c>
      <c r="D154" s="175" t="s">
        <v>141</v>
      </c>
      <c r="E154" s="176" t="s">
        <v>188</v>
      </c>
      <c r="F154" s="177" t="s">
        <v>183</v>
      </c>
      <c r="G154" s="178" t="s">
        <v>171</v>
      </c>
      <c r="H154" s="179">
        <v>1.1</v>
      </c>
      <c r="I154" s="69"/>
      <c r="J154" s="180">
        <f>ROUND(I154*H154,2)</f>
        <v>0</v>
      </c>
      <c r="K154" s="177" t="s">
        <v>145</v>
      </c>
      <c r="L154" s="92"/>
      <c r="M154" s="181" t="s">
        <v>1</v>
      </c>
      <c r="N154" s="182" t="s">
        <v>44</v>
      </c>
      <c r="O154" s="183">
        <v>0.547</v>
      </c>
      <c r="P154" s="183">
        <f>O154*H154</f>
        <v>0.6017000000000001</v>
      </c>
      <c r="Q154" s="183">
        <v>0.0369</v>
      </c>
      <c r="R154" s="183">
        <f>Q154*H154</f>
        <v>0.04059000000000001</v>
      </c>
      <c r="S154" s="183">
        <v>0</v>
      </c>
      <c r="T154" s="184">
        <f>S154*H154</f>
        <v>0</v>
      </c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R154" s="185" t="s">
        <v>146</v>
      </c>
      <c r="AT154" s="185" t="s">
        <v>141</v>
      </c>
      <c r="AU154" s="185" t="s">
        <v>87</v>
      </c>
      <c r="AY154" s="83" t="s">
        <v>139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83" t="s">
        <v>85</v>
      </c>
      <c r="BK154" s="186">
        <f>ROUND(I154*H154,2)</f>
        <v>0</v>
      </c>
      <c r="BL154" s="83" t="s">
        <v>146</v>
      </c>
      <c r="BM154" s="185" t="s">
        <v>189</v>
      </c>
    </row>
    <row r="155" spans="2:51" s="201" customFormat="1" ht="12">
      <c r="B155" s="202"/>
      <c r="D155" s="189" t="s">
        <v>148</v>
      </c>
      <c r="E155" s="203" t="s">
        <v>1</v>
      </c>
      <c r="F155" s="204" t="s">
        <v>185</v>
      </c>
      <c r="H155" s="203" t="s">
        <v>1</v>
      </c>
      <c r="I155" s="235"/>
      <c r="L155" s="202"/>
      <c r="M155" s="205"/>
      <c r="N155" s="206"/>
      <c r="O155" s="206"/>
      <c r="P155" s="206"/>
      <c r="Q155" s="206"/>
      <c r="R155" s="206"/>
      <c r="S155" s="206"/>
      <c r="T155" s="207"/>
      <c r="AT155" s="203" t="s">
        <v>148</v>
      </c>
      <c r="AU155" s="203" t="s">
        <v>87</v>
      </c>
      <c r="AV155" s="201" t="s">
        <v>85</v>
      </c>
      <c r="AW155" s="201" t="s">
        <v>34</v>
      </c>
      <c r="AX155" s="201" t="s">
        <v>78</v>
      </c>
      <c r="AY155" s="203" t="s">
        <v>139</v>
      </c>
    </row>
    <row r="156" spans="2:51" s="187" customFormat="1" ht="12">
      <c r="B156" s="188"/>
      <c r="D156" s="189" t="s">
        <v>148</v>
      </c>
      <c r="E156" s="190" t="s">
        <v>1</v>
      </c>
      <c r="F156" s="191" t="s">
        <v>190</v>
      </c>
      <c r="H156" s="192">
        <v>1.1</v>
      </c>
      <c r="I156" s="233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0" t="s">
        <v>148</v>
      </c>
      <c r="AU156" s="190" t="s">
        <v>87</v>
      </c>
      <c r="AV156" s="187" t="s">
        <v>87</v>
      </c>
      <c r="AW156" s="187" t="s">
        <v>34</v>
      </c>
      <c r="AX156" s="187" t="s">
        <v>85</v>
      </c>
      <c r="AY156" s="190" t="s">
        <v>139</v>
      </c>
    </row>
    <row r="157" spans="1:65" s="95" customFormat="1" ht="48">
      <c r="A157" s="91"/>
      <c r="B157" s="92"/>
      <c r="C157" s="175" t="s">
        <v>191</v>
      </c>
      <c r="D157" s="175" t="s">
        <v>141</v>
      </c>
      <c r="E157" s="176" t="s">
        <v>192</v>
      </c>
      <c r="F157" s="177" t="s">
        <v>193</v>
      </c>
      <c r="G157" s="178" t="s">
        <v>194</v>
      </c>
      <c r="H157" s="179">
        <v>12.159</v>
      </c>
      <c r="I157" s="69"/>
      <c r="J157" s="180">
        <f>ROUND(I157*H157,2)</f>
        <v>0</v>
      </c>
      <c r="K157" s="177" t="s">
        <v>145</v>
      </c>
      <c r="L157" s="92"/>
      <c r="M157" s="181" t="s">
        <v>1</v>
      </c>
      <c r="N157" s="182" t="s">
        <v>44</v>
      </c>
      <c r="O157" s="183">
        <v>0.097</v>
      </c>
      <c r="P157" s="183">
        <f>O157*H157</f>
        <v>1.179423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R157" s="185" t="s">
        <v>146</v>
      </c>
      <c r="AT157" s="185" t="s">
        <v>141</v>
      </c>
      <c r="AU157" s="185" t="s">
        <v>87</v>
      </c>
      <c r="AY157" s="83" t="s">
        <v>139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3" t="s">
        <v>85</v>
      </c>
      <c r="BK157" s="186">
        <f>ROUND(I157*H157,2)</f>
        <v>0</v>
      </c>
      <c r="BL157" s="83" t="s">
        <v>146</v>
      </c>
      <c r="BM157" s="185" t="s">
        <v>195</v>
      </c>
    </row>
    <row r="158" spans="2:51" s="201" customFormat="1" ht="12">
      <c r="B158" s="202"/>
      <c r="D158" s="189" t="s">
        <v>148</v>
      </c>
      <c r="E158" s="203" t="s">
        <v>1</v>
      </c>
      <c r="F158" s="204" t="s">
        <v>155</v>
      </c>
      <c r="H158" s="203" t="s">
        <v>1</v>
      </c>
      <c r="I158" s="235"/>
      <c r="L158" s="202"/>
      <c r="M158" s="205"/>
      <c r="N158" s="206"/>
      <c r="O158" s="206"/>
      <c r="P158" s="206"/>
      <c r="Q158" s="206"/>
      <c r="R158" s="206"/>
      <c r="S158" s="206"/>
      <c r="T158" s="207"/>
      <c r="AT158" s="203" t="s">
        <v>148</v>
      </c>
      <c r="AU158" s="203" t="s">
        <v>87</v>
      </c>
      <c r="AV158" s="201" t="s">
        <v>85</v>
      </c>
      <c r="AW158" s="201" t="s">
        <v>34</v>
      </c>
      <c r="AX158" s="201" t="s">
        <v>78</v>
      </c>
      <c r="AY158" s="203" t="s">
        <v>139</v>
      </c>
    </row>
    <row r="159" spans="2:51" s="201" customFormat="1" ht="12">
      <c r="B159" s="202"/>
      <c r="D159" s="189" t="s">
        <v>148</v>
      </c>
      <c r="E159" s="203" t="s">
        <v>1</v>
      </c>
      <c r="F159" s="204" t="s">
        <v>156</v>
      </c>
      <c r="H159" s="203" t="s">
        <v>1</v>
      </c>
      <c r="I159" s="235"/>
      <c r="L159" s="202"/>
      <c r="M159" s="205"/>
      <c r="N159" s="206"/>
      <c r="O159" s="206"/>
      <c r="P159" s="206"/>
      <c r="Q159" s="206"/>
      <c r="R159" s="206"/>
      <c r="S159" s="206"/>
      <c r="T159" s="207"/>
      <c r="AT159" s="203" t="s">
        <v>148</v>
      </c>
      <c r="AU159" s="203" t="s">
        <v>87</v>
      </c>
      <c r="AV159" s="201" t="s">
        <v>85</v>
      </c>
      <c r="AW159" s="201" t="s">
        <v>34</v>
      </c>
      <c r="AX159" s="201" t="s">
        <v>78</v>
      </c>
      <c r="AY159" s="203" t="s">
        <v>139</v>
      </c>
    </row>
    <row r="160" spans="2:51" s="187" customFormat="1" ht="12">
      <c r="B160" s="188"/>
      <c r="D160" s="189" t="s">
        <v>148</v>
      </c>
      <c r="E160" s="190" t="s">
        <v>1</v>
      </c>
      <c r="F160" s="191" t="s">
        <v>196</v>
      </c>
      <c r="H160" s="192">
        <v>12.159</v>
      </c>
      <c r="I160" s="233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0" t="s">
        <v>148</v>
      </c>
      <c r="AU160" s="190" t="s">
        <v>87</v>
      </c>
      <c r="AV160" s="187" t="s">
        <v>87</v>
      </c>
      <c r="AW160" s="187" t="s">
        <v>34</v>
      </c>
      <c r="AX160" s="187" t="s">
        <v>85</v>
      </c>
      <c r="AY160" s="190" t="s">
        <v>139</v>
      </c>
    </row>
    <row r="161" spans="1:65" s="95" customFormat="1" ht="36">
      <c r="A161" s="91"/>
      <c r="B161" s="92"/>
      <c r="C161" s="175" t="s">
        <v>197</v>
      </c>
      <c r="D161" s="175" t="s">
        <v>141</v>
      </c>
      <c r="E161" s="176" t="s">
        <v>198</v>
      </c>
      <c r="F161" s="177" t="s">
        <v>199</v>
      </c>
      <c r="G161" s="178" t="s">
        <v>194</v>
      </c>
      <c r="H161" s="179">
        <v>10.12</v>
      </c>
      <c r="I161" s="69"/>
      <c r="J161" s="180">
        <f>ROUND(I161*H161,2)</f>
        <v>0</v>
      </c>
      <c r="K161" s="177" t="s">
        <v>145</v>
      </c>
      <c r="L161" s="92"/>
      <c r="M161" s="181" t="s">
        <v>1</v>
      </c>
      <c r="N161" s="182" t="s">
        <v>44</v>
      </c>
      <c r="O161" s="183">
        <v>1.763</v>
      </c>
      <c r="P161" s="183">
        <f>O161*H161</f>
        <v>17.841559999999998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146</v>
      </c>
      <c r="AT161" s="185" t="s">
        <v>141</v>
      </c>
      <c r="AU161" s="185" t="s">
        <v>87</v>
      </c>
      <c r="AY161" s="83" t="s">
        <v>139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3" t="s">
        <v>85</v>
      </c>
      <c r="BK161" s="186">
        <f>ROUND(I161*H161,2)</f>
        <v>0</v>
      </c>
      <c r="BL161" s="83" t="s">
        <v>146</v>
      </c>
      <c r="BM161" s="185" t="s">
        <v>200</v>
      </c>
    </row>
    <row r="162" spans="2:51" s="187" customFormat="1" ht="12">
      <c r="B162" s="188"/>
      <c r="D162" s="189" t="s">
        <v>148</v>
      </c>
      <c r="E162" s="190" t="s">
        <v>1</v>
      </c>
      <c r="F162" s="191" t="s">
        <v>201</v>
      </c>
      <c r="H162" s="192">
        <v>10.12</v>
      </c>
      <c r="I162" s="233"/>
      <c r="L162" s="188"/>
      <c r="M162" s="193"/>
      <c r="N162" s="194"/>
      <c r="O162" s="194"/>
      <c r="P162" s="194"/>
      <c r="Q162" s="194"/>
      <c r="R162" s="194"/>
      <c r="S162" s="194"/>
      <c r="T162" s="195"/>
      <c r="AT162" s="190" t="s">
        <v>148</v>
      </c>
      <c r="AU162" s="190" t="s">
        <v>87</v>
      </c>
      <c r="AV162" s="187" t="s">
        <v>87</v>
      </c>
      <c r="AW162" s="187" t="s">
        <v>34</v>
      </c>
      <c r="AX162" s="187" t="s">
        <v>85</v>
      </c>
      <c r="AY162" s="190" t="s">
        <v>139</v>
      </c>
    </row>
    <row r="163" spans="1:65" s="95" customFormat="1" ht="44.25" customHeight="1">
      <c r="A163" s="91"/>
      <c r="B163" s="92"/>
      <c r="C163" s="175" t="s">
        <v>202</v>
      </c>
      <c r="D163" s="175" t="s">
        <v>141</v>
      </c>
      <c r="E163" s="176" t="s">
        <v>203</v>
      </c>
      <c r="F163" s="177" t="s">
        <v>204</v>
      </c>
      <c r="G163" s="178" t="s">
        <v>194</v>
      </c>
      <c r="H163" s="179">
        <v>403.56</v>
      </c>
      <c r="I163" s="69"/>
      <c r="J163" s="180">
        <f>ROUND(I163*H163,2)</f>
        <v>0</v>
      </c>
      <c r="K163" s="177" t="s">
        <v>145</v>
      </c>
      <c r="L163" s="92"/>
      <c r="M163" s="181" t="s">
        <v>1</v>
      </c>
      <c r="N163" s="182" t="s">
        <v>44</v>
      </c>
      <c r="O163" s="183">
        <v>0.189</v>
      </c>
      <c r="P163" s="183">
        <f>O163*H163</f>
        <v>76.27284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R163" s="185" t="s">
        <v>146</v>
      </c>
      <c r="AT163" s="185" t="s">
        <v>141</v>
      </c>
      <c r="AU163" s="185" t="s">
        <v>87</v>
      </c>
      <c r="AY163" s="83" t="s">
        <v>139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3" t="s">
        <v>85</v>
      </c>
      <c r="BK163" s="186">
        <f>ROUND(I163*H163,2)</f>
        <v>0</v>
      </c>
      <c r="BL163" s="83" t="s">
        <v>146</v>
      </c>
      <c r="BM163" s="185" t="s">
        <v>205</v>
      </c>
    </row>
    <row r="164" spans="2:51" s="201" customFormat="1" ht="12">
      <c r="B164" s="202"/>
      <c r="D164" s="189" t="s">
        <v>148</v>
      </c>
      <c r="E164" s="203" t="s">
        <v>1</v>
      </c>
      <c r="F164" s="204" t="s">
        <v>206</v>
      </c>
      <c r="H164" s="203" t="s">
        <v>1</v>
      </c>
      <c r="I164" s="235"/>
      <c r="L164" s="202"/>
      <c r="M164" s="205"/>
      <c r="N164" s="206"/>
      <c r="O164" s="206"/>
      <c r="P164" s="206"/>
      <c r="Q164" s="206"/>
      <c r="R164" s="206"/>
      <c r="S164" s="206"/>
      <c r="T164" s="207"/>
      <c r="AT164" s="203" t="s">
        <v>148</v>
      </c>
      <c r="AU164" s="203" t="s">
        <v>87</v>
      </c>
      <c r="AV164" s="201" t="s">
        <v>85</v>
      </c>
      <c r="AW164" s="201" t="s">
        <v>34</v>
      </c>
      <c r="AX164" s="201" t="s">
        <v>78</v>
      </c>
      <c r="AY164" s="203" t="s">
        <v>139</v>
      </c>
    </row>
    <row r="165" spans="2:51" s="201" customFormat="1" ht="12">
      <c r="B165" s="202"/>
      <c r="D165" s="189" t="s">
        <v>148</v>
      </c>
      <c r="E165" s="203" t="s">
        <v>1</v>
      </c>
      <c r="F165" s="204" t="s">
        <v>207</v>
      </c>
      <c r="H165" s="203" t="s">
        <v>1</v>
      </c>
      <c r="I165" s="235"/>
      <c r="L165" s="202"/>
      <c r="M165" s="205"/>
      <c r="N165" s="206"/>
      <c r="O165" s="206"/>
      <c r="P165" s="206"/>
      <c r="Q165" s="206"/>
      <c r="R165" s="206"/>
      <c r="S165" s="206"/>
      <c r="T165" s="207"/>
      <c r="AT165" s="203" t="s">
        <v>148</v>
      </c>
      <c r="AU165" s="203" t="s">
        <v>87</v>
      </c>
      <c r="AV165" s="201" t="s">
        <v>85</v>
      </c>
      <c r="AW165" s="201" t="s">
        <v>34</v>
      </c>
      <c r="AX165" s="201" t="s">
        <v>78</v>
      </c>
      <c r="AY165" s="203" t="s">
        <v>139</v>
      </c>
    </row>
    <row r="166" spans="2:51" s="187" customFormat="1" ht="12">
      <c r="B166" s="188"/>
      <c r="D166" s="189" t="s">
        <v>148</v>
      </c>
      <c r="E166" s="190" t="s">
        <v>1</v>
      </c>
      <c r="F166" s="191" t="s">
        <v>208</v>
      </c>
      <c r="H166" s="192">
        <v>403.56</v>
      </c>
      <c r="I166" s="233"/>
      <c r="L166" s="188"/>
      <c r="M166" s="193"/>
      <c r="N166" s="194"/>
      <c r="O166" s="194"/>
      <c r="P166" s="194"/>
      <c r="Q166" s="194"/>
      <c r="R166" s="194"/>
      <c r="S166" s="194"/>
      <c r="T166" s="195"/>
      <c r="AT166" s="190" t="s">
        <v>148</v>
      </c>
      <c r="AU166" s="190" t="s">
        <v>87</v>
      </c>
      <c r="AV166" s="187" t="s">
        <v>87</v>
      </c>
      <c r="AW166" s="187" t="s">
        <v>34</v>
      </c>
      <c r="AX166" s="187" t="s">
        <v>85</v>
      </c>
      <c r="AY166" s="190" t="s">
        <v>139</v>
      </c>
    </row>
    <row r="167" spans="1:65" s="95" customFormat="1" ht="48">
      <c r="A167" s="91"/>
      <c r="B167" s="92"/>
      <c r="C167" s="175" t="s">
        <v>209</v>
      </c>
      <c r="D167" s="175" t="s">
        <v>141</v>
      </c>
      <c r="E167" s="176" t="s">
        <v>210</v>
      </c>
      <c r="F167" s="177" t="s">
        <v>211</v>
      </c>
      <c r="G167" s="178" t="s">
        <v>194</v>
      </c>
      <c r="H167" s="179">
        <v>121.068</v>
      </c>
      <c r="I167" s="69"/>
      <c r="J167" s="180">
        <f>ROUND(I167*H167,2)</f>
        <v>0</v>
      </c>
      <c r="K167" s="177" t="s">
        <v>145</v>
      </c>
      <c r="L167" s="92"/>
      <c r="M167" s="181" t="s">
        <v>1</v>
      </c>
      <c r="N167" s="182" t="s">
        <v>44</v>
      </c>
      <c r="O167" s="183">
        <v>0.1</v>
      </c>
      <c r="P167" s="183">
        <f>O167*H167</f>
        <v>12.1068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R167" s="185" t="s">
        <v>146</v>
      </c>
      <c r="AT167" s="185" t="s">
        <v>141</v>
      </c>
      <c r="AU167" s="185" t="s">
        <v>87</v>
      </c>
      <c r="AY167" s="83" t="s">
        <v>139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83" t="s">
        <v>85</v>
      </c>
      <c r="BK167" s="186">
        <f>ROUND(I167*H167,2)</f>
        <v>0</v>
      </c>
      <c r="BL167" s="83" t="s">
        <v>146</v>
      </c>
      <c r="BM167" s="185" t="s">
        <v>212</v>
      </c>
    </row>
    <row r="168" spans="1:47" s="95" customFormat="1" ht="19.5">
      <c r="A168" s="91"/>
      <c r="B168" s="92"/>
      <c r="C168" s="91"/>
      <c r="D168" s="189" t="s">
        <v>153</v>
      </c>
      <c r="E168" s="91"/>
      <c r="F168" s="196" t="s">
        <v>213</v>
      </c>
      <c r="G168" s="91"/>
      <c r="H168" s="91"/>
      <c r="I168" s="234"/>
      <c r="J168" s="91"/>
      <c r="K168" s="91"/>
      <c r="L168" s="92"/>
      <c r="M168" s="197"/>
      <c r="N168" s="198"/>
      <c r="O168" s="199"/>
      <c r="P168" s="199"/>
      <c r="Q168" s="199"/>
      <c r="R168" s="199"/>
      <c r="S168" s="199"/>
      <c r="T168" s="200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T168" s="83" t="s">
        <v>153</v>
      </c>
      <c r="AU168" s="83" t="s">
        <v>87</v>
      </c>
    </row>
    <row r="169" spans="2:51" s="187" customFormat="1" ht="12">
      <c r="B169" s="188"/>
      <c r="D169" s="189" t="s">
        <v>148</v>
      </c>
      <c r="F169" s="191" t="s">
        <v>214</v>
      </c>
      <c r="H169" s="192">
        <v>121.068</v>
      </c>
      <c r="I169" s="233"/>
      <c r="L169" s="188"/>
      <c r="M169" s="193"/>
      <c r="N169" s="194"/>
      <c r="O169" s="194"/>
      <c r="P169" s="194"/>
      <c r="Q169" s="194"/>
      <c r="R169" s="194"/>
      <c r="S169" s="194"/>
      <c r="T169" s="195"/>
      <c r="AT169" s="190" t="s">
        <v>148</v>
      </c>
      <c r="AU169" s="190" t="s">
        <v>87</v>
      </c>
      <c r="AV169" s="187" t="s">
        <v>87</v>
      </c>
      <c r="AW169" s="187" t="s">
        <v>3</v>
      </c>
      <c r="AX169" s="187" t="s">
        <v>85</v>
      </c>
      <c r="AY169" s="190" t="s">
        <v>139</v>
      </c>
    </row>
    <row r="170" spans="1:65" s="95" customFormat="1" ht="36">
      <c r="A170" s="91"/>
      <c r="B170" s="92"/>
      <c r="C170" s="175" t="s">
        <v>215</v>
      </c>
      <c r="D170" s="175" t="s">
        <v>141</v>
      </c>
      <c r="E170" s="176" t="s">
        <v>216</v>
      </c>
      <c r="F170" s="177" t="s">
        <v>217</v>
      </c>
      <c r="G170" s="178" t="s">
        <v>144</v>
      </c>
      <c r="H170" s="179">
        <v>926.89</v>
      </c>
      <c r="I170" s="69"/>
      <c r="J170" s="180">
        <f>ROUND(I170*H170,2)</f>
        <v>0</v>
      </c>
      <c r="K170" s="177" t="s">
        <v>145</v>
      </c>
      <c r="L170" s="92"/>
      <c r="M170" s="181" t="s">
        <v>1</v>
      </c>
      <c r="N170" s="182" t="s">
        <v>44</v>
      </c>
      <c r="O170" s="183">
        <v>0.088</v>
      </c>
      <c r="P170" s="183">
        <f>O170*H170</f>
        <v>81.56631999999999</v>
      </c>
      <c r="Q170" s="183">
        <v>0.00058</v>
      </c>
      <c r="R170" s="183">
        <f>Q170*H170</f>
        <v>0.5375962</v>
      </c>
      <c r="S170" s="183">
        <v>0</v>
      </c>
      <c r="T170" s="184">
        <f>S170*H170</f>
        <v>0</v>
      </c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R170" s="185" t="s">
        <v>146</v>
      </c>
      <c r="AT170" s="185" t="s">
        <v>141</v>
      </c>
      <c r="AU170" s="185" t="s">
        <v>87</v>
      </c>
      <c r="AY170" s="83" t="s">
        <v>139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83" t="s">
        <v>85</v>
      </c>
      <c r="BK170" s="186">
        <f>ROUND(I170*H170,2)</f>
        <v>0</v>
      </c>
      <c r="BL170" s="83" t="s">
        <v>146</v>
      </c>
      <c r="BM170" s="185" t="s">
        <v>218</v>
      </c>
    </row>
    <row r="171" spans="2:51" s="201" customFormat="1" ht="12">
      <c r="B171" s="202"/>
      <c r="D171" s="189" t="s">
        <v>148</v>
      </c>
      <c r="E171" s="203" t="s">
        <v>1</v>
      </c>
      <c r="F171" s="204" t="s">
        <v>207</v>
      </c>
      <c r="H171" s="203" t="s">
        <v>1</v>
      </c>
      <c r="I171" s="235"/>
      <c r="L171" s="202"/>
      <c r="M171" s="205"/>
      <c r="N171" s="206"/>
      <c r="O171" s="206"/>
      <c r="P171" s="206"/>
      <c r="Q171" s="206"/>
      <c r="R171" s="206"/>
      <c r="S171" s="206"/>
      <c r="T171" s="207"/>
      <c r="AT171" s="203" t="s">
        <v>148</v>
      </c>
      <c r="AU171" s="203" t="s">
        <v>87</v>
      </c>
      <c r="AV171" s="201" t="s">
        <v>85</v>
      </c>
      <c r="AW171" s="201" t="s">
        <v>34</v>
      </c>
      <c r="AX171" s="201" t="s">
        <v>78</v>
      </c>
      <c r="AY171" s="203" t="s">
        <v>139</v>
      </c>
    </row>
    <row r="172" spans="2:51" s="187" customFormat="1" ht="12">
      <c r="B172" s="188"/>
      <c r="D172" s="189" t="s">
        <v>148</v>
      </c>
      <c r="E172" s="190" t="s">
        <v>1</v>
      </c>
      <c r="F172" s="191" t="s">
        <v>219</v>
      </c>
      <c r="H172" s="192">
        <v>926.89</v>
      </c>
      <c r="I172" s="233"/>
      <c r="L172" s="188"/>
      <c r="M172" s="193"/>
      <c r="N172" s="194"/>
      <c r="O172" s="194"/>
      <c r="P172" s="194"/>
      <c r="Q172" s="194"/>
      <c r="R172" s="194"/>
      <c r="S172" s="194"/>
      <c r="T172" s="195"/>
      <c r="AT172" s="190" t="s">
        <v>148</v>
      </c>
      <c r="AU172" s="190" t="s">
        <v>87</v>
      </c>
      <c r="AV172" s="187" t="s">
        <v>87</v>
      </c>
      <c r="AW172" s="187" t="s">
        <v>34</v>
      </c>
      <c r="AX172" s="187" t="s">
        <v>85</v>
      </c>
      <c r="AY172" s="190" t="s">
        <v>139</v>
      </c>
    </row>
    <row r="173" spans="1:65" s="95" customFormat="1" ht="36">
      <c r="A173" s="91"/>
      <c r="B173" s="92"/>
      <c r="C173" s="175" t="s">
        <v>220</v>
      </c>
      <c r="D173" s="175" t="s">
        <v>141</v>
      </c>
      <c r="E173" s="176" t="s">
        <v>221</v>
      </c>
      <c r="F173" s="177" t="s">
        <v>222</v>
      </c>
      <c r="G173" s="178" t="s">
        <v>144</v>
      </c>
      <c r="H173" s="179">
        <v>926.89</v>
      </c>
      <c r="I173" s="69"/>
      <c r="J173" s="180">
        <f>ROUND(I173*H173,2)</f>
        <v>0</v>
      </c>
      <c r="K173" s="177" t="s">
        <v>145</v>
      </c>
      <c r="L173" s="92"/>
      <c r="M173" s="181" t="s">
        <v>1</v>
      </c>
      <c r="N173" s="182" t="s">
        <v>44</v>
      </c>
      <c r="O173" s="183">
        <v>0.085</v>
      </c>
      <c r="P173" s="183">
        <f>O173*H173</f>
        <v>78.78565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 t="s">
        <v>146</v>
      </c>
      <c r="AT173" s="185" t="s">
        <v>141</v>
      </c>
      <c r="AU173" s="185" t="s">
        <v>87</v>
      </c>
      <c r="AY173" s="83" t="s">
        <v>139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3" t="s">
        <v>85</v>
      </c>
      <c r="BK173" s="186">
        <f>ROUND(I173*H173,2)</f>
        <v>0</v>
      </c>
      <c r="BL173" s="83" t="s">
        <v>146</v>
      </c>
      <c r="BM173" s="185" t="s">
        <v>223</v>
      </c>
    </row>
    <row r="174" spans="2:51" s="187" customFormat="1" ht="12">
      <c r="B174" s="188"/>
      <c r="D174" s="189" t="s">
        <v>148</v>
      </c>
      <c r="E174" s="190" t="s">
        <v>1</v>
      </c>
      <c r="F174" s="191" t="s">
        <v>224</v>
      </c>
      <c r="H174" s="192">
        <v>926.89</v>
      </c>
      <c r="I174" s="233"/>
      <c r="L174" s="188"/>
      <c r="M174" s="193"/>
      <c r="N174" s="194"/>
      <c r="O174" s="194"/>
      <c r="P174" s="194"/>
      <c r="Q174" s="194"/>
      <c r="R174" s="194"/>
      <c r="S174" s="194"/>
      <c r="T174" s="195"/>
      <c r="AT174" s="190" t="s">
        <v>148</v>
      </c>
      <c r="AU174" s="190" t="s">
        <v>87</v>
      </c>
      <c r="AV174" s="187" t="s">
        <v>87</v>
      </c>
      <c r="AW174" s="187" t="s">
        <v>34</v>
      </c>
      <c r="AX174" s="187" t="s">
        <v>85</v>
      </c>
      <c r="AY174" s="190" t="s">
        <v>139</v>
      </c>
    </row>
    <row r="175" spans="1:65" s="95" customFormat="1" ht="55.5" customHeight="1">
      <c r="A175" s="91"/>
      <c r="B175" s="92"/>
      <c r="C175" s="175" t="s">
        <v>8</v>
      </c>
      <c r="D175" s="175" t="s">
        <v>141</v>
      </c>
      <c r="E175" s="176" t="s">
        <v>225</v>
      </c>
      <c r="F175" s="177" t="s">
        <v>226</v>
      </c>
      <c r="G175" s="178" t="s">
        <v>194</v>
      </c>
      <c r="H175" s="179">
        <v>201.78</v>
      </c>
      <c r="I175" s="69"/>
      <c r="J175" s="180">
        <f>ROUND(I175*H175,2)</f>
        <v>0</v>
      </c>
      <c r="K175" s="177" t="s">
        <v>145</v>
      </c>
      <c r="L175" s="92"/>
      <c r="M175" s="181" t="s">
        <v>1</v>
      </c>
      <c r="N175" s="182" t="s">
        <v>44</v>
      </c>
      <c r="O175" s="183">
        <v>0.345</v>
      </c>
      <c r="P175" s="183">
        <f>O175*H175</f>
        <v>69.6141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R175" s="185" t="s">
        <v>146</v>
      </c>
      <c r="AT175" s="185" t="s">
        <v>141</v>
      </c>
      <c r="AU175" s="185" t="s">
        <v>87</v>
      </c>
      <c r="AY175" s="83" t="s">
        <v>139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83" t="s">
        <v>85</v>
      </c>
      <c r="BK175" s="186">
        <f>ROUND(I175*H175,2)</f>
        <v>0</v>
      </c>
      <c r="BL175" s="83" t="s">
        <v>146</v>
      </c>
      <c r="BM175" s="185" t="s">
        <v>227</v>
      </c>
    </row>
    <row r="176" spans="1:47" s="95" customFormat="1" ht="39">
      <c r="A176" s="91"/>
      <c r="B176" s="92"/>
      <c r="C176" s="91"/>
      <c r="D176" s="189" t="s">
        <v>153</v>
      </c>
      <c r="E176" s="91"/>
      <c r="F176" s="196" t="s">
        <v>228</v>
      </c>
      <c r="G176" s="91"/>
      <c r="H176" s="91"/>
      <c r="I176" s="234"/>
      <c r="J176" s="91"/>
      <c r="K176" s="91"/>
      <c r="L176" s="92"/>
      <c r="M176" s="197"/>
      <c r="N176" s="198"/>
      <c r="O176" s="199"/>
      <c r="P176" s="199"/>
      <c r="Q176" s="199"/>
      <c r="R176" s="199"/>
      <c r="S176" s="199"/>
      <c r="T176" s="200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T176" s="83" t="s">
        <v>153</v>
      </c>
      <c r="AU176" s="83" t="s">
        <v>87</v>
      </c>
    </row>
    <row r="177" spans="2:51" s="201" customFormat="1" ht="12">
      <c r="B177" s="202"/>
      <c r="D177" s="189" t="s">
        <v>148</v>
      </c>
      <c r="E177" s="203" t="s">
        <v>1</v>
      </c>
      <c r="F177" s="204" t="s">
        <v>229</v>
      </c>
      <c r="H177" s="203" t="s">
        <v>1</v>
      </c>
      <c r="I177" s="235"/>
      <c r="L177" s="202"/>
      <c r="M177" s="205"/>
      <c r="N177" s="206"/>
      <c r="O177" s="206"/>
      <c r="P177" s="206"/>
      <c r="Q177" s="206"/>
      <c r="R177" s="206"/>
      <c r="S177" s="206"/>
      <c r="T177" s="207"/>
      <c r="AT177" s="203" t="s">
        <v>148</v>
      </c>
      <c r="AU177" s="203" t="s">
        <v>87</v>
      </c>
      <c r="AV177" s="201" t="s">
        <v>85</v>
      </c>
      <c r="AW177" s="201" t="s">
        <v>34</v>
      </c>
      <c r="AX177" s="201" t="s">
        <v>78</v>
      </c>
      <c r="AY177" s="203" t="s">
        <v>139</v>
      </c>
    </row>
    <row r="178" spans="2:51" s="187" customFormat="1" ht="12">
      <c r="B178" s="188"/>
      <c r="D178" s="189" t="s">
        <v>148</v>
      </c>
      <c r="E178" s="190" t="s">
        <v>1</v>
      </c>
      <c r="F178" s="191" t="s">
        <v>230</v>
      </c>
      <c r="H178" s="192">
        <v>201.78</v>
      </c>
      <c r="I178" s="233"/>
      <c r="L178" s="188"/>
      <c r="M178" s="193"/>
      <c r="N178" s="194"/>
      <c r="O178" s="194"/>
      <c r="P178" s="194"/>
      <c r="Q178" s="194"/>
      <c r="R178" s="194"/>
      <c r="S178" s="194"/>
      <c r="T178" s="195"/>
      <c r="AT178" s="190" t="s">
        <v>148</v>
      </c>
      <c r="AU178" s="190" t="s">
        <v>87</v>
      </c>
      <c r="AV178" s="187" t="s">
        <v>87</v>
      </c>
      <c r="AW178" s="187" t="s">
        <v>34</v>
      </c>
      <c r="AX178" s="187" t="s">
        <v>85</v>
      </c>
      <c r="AY178" s="190" t="s">
        <v>139</v>
      </c>
    </row>
    <row r="179" spans="1:65" s="95" customFormat="1" ht="21.75" customHeight="1">
      <c r="A179" s="91"/>
      <c r="B179" s="92"/>
      <c r="C179" s="175" t="s">
        <v>231</v>
      </c>
      <c r="D179" s="175" t="s">
        <v>141</v>
      </c>
      <c r="E179" s="176" t="s">
        <v>232</v>
      </c>
      <c r="F179" s="177" t="s">
        <v>233</v>
      </c>
      <c r="G179" s="178" t="s">
        <v>194</v>
      </c>
      <c r="H179" s="179">
        <f>H184</f>
        <v>62.762699999999995</v>
      </c>
      <c r="I179" s="69"/>
      <c r="J179" s="180">
        <f>ROUND(I179*H179,2)</f>
        <v>0</v>
      </c>
      <c r="K179" s="177" t="s">
        <v>1</v>
      </c>
      <c r="L179" s="92"/>
      <c r="M179" s="181" t="s">
        <v>1</v>
      </c>
      <c r="N179" s="182" t="s">
        <v>44</v>
      </c>
      <c r="O179" s="183">
        <v>0.101</v>
      </c>
      <c r="P179" s="183">
        <f>O179*H179</f>
        <v>6.3390327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R179" s="185" t="s">
        <v>146</v>
      </c>
      <c r="AT179" s="185" t="s">
        <v>141</v>
      </c>
      <c r="AU179" s="185" t="s">
        <v>87</v>
      </c>
      <c r="AY179" s="83" t="s">
        <v>139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83" t="s">
        <v>85</v>
      </c>
      <c r="BK179" s="186">
        <f>ROUND(I179*H179,2)</f>
        <v>0</v>
      </c>
      <c r="BL179" s="83" t="s">
        <v>146</v>
      </c>
      <c r="BM179" s="185" t="s">
        <v>234</v>
      </c>
    </row>
    <row r="180" spans="2:51" s="201" customFormat="1" ht="12">
      <c r="B180" s="202"/>
      <c r="D180" s="189" t="s">
        <v>148</v>
      </c>
      <c r="E180" s="203" t="s">
        <v>1</v>
      </c>
      <c r="F180" s="204" t="s">
        <v>235</v>
      </c>
      <c r="H180" s="203" t="s">
        <v>1</v>
      </c>
      <c r="I180" s="235"/>
      <c r="L180" s="202"/>
      <c r="M180" s="205"/>
      <c r="N180" s="206"/>
      <c r="O180" s="206"/>
      <c r="P180" s="206"/>
      <c r="Q180" s="206"/>
      <c r="R180" s="206"/>
      <c r="S180" s="206"/>
      <c r="T180" s="207"/>
      <c r="AT180" s="203" t="s">
        <v>148</v>
      </c>
      <c r="AU180" s="203" t="s">
        <v>87</v>
      </c>
      <c r="AV180" s="201" t="s">
        <v>85</v>
      </c>
      <c r="AW180" s="201" t="s">
        <v>34</v>
      </c>
      <c r="AX180" s="201" t="s">
        <v>78</v>
      </c>
      <c r="AY180" s="203" t="s">
        <v>139</v>
      </c>
    </row>
    <row r="181" spans="2:51" s="201" customFormat="1" ht="12">
      <c r="B181" s="202"/>
      <c r="D181" s="189" t="s">
        <v>148</v>
      </c>
      <c r="E181" s="203" t="s">
        <v>1</v>
      </c>
      <c r="F181" s="204" t="s">
        <v>236</v>
      </c>
      <c r="H181" s="203" t="s">
        <v>1</v>
      </c>
      <c r="I181" s="235"/>
      <c r="L181" s="202"/>
      <c r="M181" s="205"/>
      <c r="N181" s="206"/>
      <c r="O181" s="206"/>
      <c r="P181" s="206"/>
      <c r="Q181" s="206"/>
      <c r="R181" s="206"/>
      <c r="S181" s="206"/>
      <c r="T181" s="207"/>
      <c r="AT181" s="203" t="s">
        <v>148</v>
      </c>
      <c r="AU181" s="203" t="s">
        <v>87</v>
      </c>
      <c r="AV181" s="201" t="s">
        <v>85</v>
      </c>
      <c r="AW181" s="201" t="s">
        <v>34</v>
      </c>
      <c r="AX181" s="201" t="s">
        <v>78</v>
      </c>
      <c r="AY181" s="203" t="s">
        <v>139</v>
      </c>
    </row>
    <row r="182" spans="2:51" s="201" customFormat="1" ht="12">
      <c r="B182" s="202"/>
      <c r="D182" s="189" t="s">
        <v>148</v>
      </c>
      <c r="E182" s="203" t="s">
        <v>1</v>
      </c>
      <c r="F182" s="204" t="s">
        <v>237</v>
      </c>
      <c r="H182" s="203" t="s">
        <v>1</v>
      </c>
      <c r="I182" s="235"/>
      <c r="L182" s="202"/>
      <c r="M182" s="205"/>
      <c r="N182" s="206"/>
      <c r="O182" s="206"/>
      <c r="P182" s="206"/>
      <c r="Q182" s="206"/>
      <c r="R182" s="206"/>
      <c r="S182" s="206"/>
      <c r="T182" s="207"/>
      <c r="AT182" s="203" t="s">
        <v>148</v>
      </c>
      <c r="AU182" s="203" t="s">
        <v>87</v>
      </c>
      <c r="AV182" s="201" t="s">
        <v>85</v>
      </c>
      <c r="AW182" s="201" t="s">
        <v>34</v>
      </c>
      <c r="AX182" s="201" t="s">
        <v>78</v>
      </c>
      <c r="AY182" s="203" t="s">
        <v>139</v>
      </c>
    </row>
    <row r="183" spans="2:51" s="187" customFormat="1" ht="22.5">
      <c r="B183" s="188"/>
      <c r="D183" s="189" t="s">
        <v>148</v>
      </c>
      <c r="E183" s="190" t="s">
        <v>1</v>
      </c>
      <c r="F183" s="191" t="s">
        <v>1529</v>
      </c>
      <c r="H183" s="192">
        <f>190.19*1.1*0.3</f>
        <v>62.762699999999995</v>
      </c>
      <c r="I183" s="233"/>
      <c r="L183" s="188"/>
      <c r="M183" s="193"/>
      <c r="N183" s="194"/>
      <c r="O183" s="194"/>
      <c r="P183" s="194"/>
      <c r="Q183" s="194"/>
      <c r="R183" s="194"/>
      <c r="S183" s="194"/>
      <c r="T183" s="195"/>
      <c r="AT183" s="190" t="s">
        <v>148</v>
      </c>
      <c r="AU183" s="190" t="s">
        <v>87</v>
      </c>
      <c r="AV183" s="187" t="s">
        <v>87</v>
      </c>
      <c r="AW183" s="187" t="s">
        <v>34</v>
      </c>
      <c r="AX183" s="187" t="s">
        <v>78</v>
      </c>
      <c r="AY183" s="190" t="s">
        <v>139</v>
      </c>
    </row>
    <row r="184" spans="2:51" s="208" customFormat="1" ht="12">
      <c r="B184" s="209"/>
      <c r="D184" s="189" t="s">
        <v>148</v>
      </c>
      <c r="E184" s="210" t="s">
        <v>1</v>
      </c>
      <c r="F184" s="211" t="s">
        <v>159</v>
      </c>
      <c r="H184" s="212">
        <f>H183</f>
        <v>62.762699999999995</v>
      </c>
      <c r="I184" s="236"/>
      <c r="L184" s="209"/>
      <c r="M184" s="213"/>
      <c r="N184" s="214"/>
      <c r="O184" s="214"/>
      <c r="P184" s="214"/>
      <c r="Q184" s="214"/>
      <c r="R184" s="214"/>
      <c r="S184" s="214"/>
      <c r="T184" s="215"/>
      <c r="AT184" s="210" t="s">
        <v>148</v>
      </c>
      <c r="AU184" s="210" t="s">
        <v>87</v>
      </c>
      <c r="AV184" s="208" t="s">
        <v>146</v>
      </c>
      <c r="AW184" s="208" t="s">
        <v>34</v>
      </c>
      <c r="AX184" s="208" t="s">
        <v>85</v>
      </c>
      <c r="AY184" s="210" t="s">
        <v>139</v>
      </c>
    </row>
    <row r="185" spans="1:65" s="95" customFormat="1" ht="24">
      <c r="A185" s="91"/>
      <c r="B185" s="92"/>
      <c r="C185" s="175" t="s">
        <v>238</v>
      </c>
      <c r="D185" s="175" t="s">
        <v>141</v>
      </c>
      <c r="E185" s="176" t="s">
        <v>239</v>
      </c>
      <c r="F185" s="177" t="s">
        <v>240</v>
      </c>
      <c r="G185" s="178" t="s">
        <v>194</v>
      </c>
      <c r="H185" s="216">
        <f>H189</f>
        <v>403.56</v>
      </c>
      <c r="I185" s="69"/>
      <c r="J185" s="180">
        <f>ROUND(I185*H185,2)</f>
        <v>0</v>
      </c>
      <c r="K185" s="177" t="s">
        <v>1</v>
      </c>
      <c r="L185" s="92"/>
      <c r="M185" s="181" t="s">
        <v>1</v>
      </c>
      <c r="N185" s="182" t="s">
        <v>44</v>
      </c>
      <c r="O185" s="183">
        <v>0.083</v>
      </c>
      <c r="P185" s="183">
        <f>O185*H185</f>
        <v>33.49548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R185" s="185" t="s">
        <v>146</v>
      </c>
      <c r="AT185" s="185" t="s">
        <v>141</v>
      </c>
      <c r="AU185" s="185" t="s">
        <v>87</v>
      </c>
      <c r="AY185" s="83" t="s">
        <v>139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83" t="s">
        <v>85</v>
      </c>
      <c r="BK185" s="186">
        <f>ROUND(I185*H185,2)</f>
        <v>0</v>
      </c>
      <c r="BL185" s="83" t="s">
        <v>146</v>
      </c>
      <c r="BM185" s="185" t="s">
        <v>241</v>
      </c>
    </row>
    <row r="186" spans="2:51" s="201" customFormat="1" ht="12">
      <c r="B186" s="202"/>
      <c r="D186" s="189" t="s">
        <v>148</v>
      </c>
      <c r="E186" s="203" t="s">
        <v>1</v>
      </c>
      <c r="F186" s="204" t="s">
        <v>242</v>
      </c>
      <c r="H186" s="203" t="s">
        <v>1</v>
      </c>
      <c r="I186" s="235"/>
      <c r="L186" s="202"/>
      <c r="M186" s="205"/>
      <c r="N186" s="206"/>
      <c r="O186" s="206"/>
      <c r="P186" s="206"/>
      <c r="Q186" s="206"/>
      <c r="R186" s="206"/>
      <c r="S186" s="206"/>
      <c r="T186" s="207"/>
      <c r="AT186" s="203" t="s">
        <v>148</v>
      </c>
      <c r="AU186" s="203" t="s">
        <v>87</v>
      </c>
      <c r="AV186" s="201" t="s">
        <v>85</v>
      </c>
      <c r="AW186" s="201" t="s">
        <v>34</v>
      </c>
      <c r="AX186" s="201" t="s">
        <v>78</v>
      </c>
      <c r="AY186" s="203" t="s">
        <v>139</v>
      </c>
    </row>
    <row r="187" spans="2:51" s="201" customFormat="1" ht="12">
      <c r="B187" s="202"/>
      <c r="D187" s="189" t="s">
        <v>148</v>
      </c>
      <c r="E187" s="203" t="s">
        <v>1</v>
      </c>
      <c r="F187" s="204" t="s">
        <v>243</v>
      </c>
      <c r="H187" s="203" t="s">
        <v>1</v>
      </c>
      <c r="I187" s="235"/>
      <c r="L187" s="202"/>
      <c r="M187" s="205"/>
      <c r="N187" s="206"/>
      <c r="O187" s="206"/>
      <c r="P187" s="206"/>
      <c r="Q187" s="206"/>
      <c r="R187" s="206"/>
      <c r="S187" s="206"/>
      <c r="T187" s="207"/>
      <c r="AT187" s="203" t="s">
        <v>148</v>
      </c>
      <c r="AU187" s="203" t="s">
        <v>87</v>
      </c>
      <c r="AV187" s="201" t="s">
        <v>85</v>
      </c>
      <c r="AW187" s="201" t="s">
        <v>34</v>
      </c>
      <c r="AX187" s="201" t="s">
        <v>78</v>
      </c>
      <c r="AY187" s="203" t="s">
        <v>139</v>
      </c>
    </row>
    <row r="188" spans="2:51" s="201" customFormat="1" ht="12">
      <c r="B188" s="202"/>
      <c r="D188" s="189" t="s">
        <v>148</v>
      </c>
      <c r="E188" s="203" t="s">
        <v>1</v>
      </c>
      <c r="F188" s="204" t="s">
        <v>244</v>
      </c>
      <c r="H188" s="203" t="s">
        <v>1</v>
      </c>
      <c r="I188" s="235"/>
      <c r="L188" s="202"/>
      <c r="M188" s="205"/>
      <c r="N188" s="206"/>
      <c r="O188" s="206"/>
      <c r="P188" s="206"/>
      <c r="Q188" s="206"/>
      <c r="R188" s="206"/>
      <c r="S188" s="206"/>
      <c r="T188" s="207"/>
      <c r="AT188" s="203" t="s">
        <v>148</v>
      </c>
      <c r="AU188" s="203" t="s">
        <v>87</v>
      </c>
      <c r="AV188" s="201" t="s">
        <v>85</v>
      </c>
      <c r="AW188" s="201" t="s">
        <v>34</v>
      </c>
      <c r="AX188" s="201" t="s">
        <v>78</v>
      </c>
      <c r="AY188" s="203" t="s">
        <v>139</v>
      </c>
    </row>
    <row r="189" spans="2:51" s="187" customFormat="1" ht="12">
      <c r="B189" s="188"/>
      <c r="D189" s="189" t="s">
        <v>148</v>
      </c>
      <c r="E189" s="190" t="s">
        <v>1</v>
      </c>
      <c r="F189" s="191">
        <v>403.56</v>
      </c>
      <c r="H189" s="192">
        <v>403.56</v>
      </c>
      <c r="I189" s="233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0" t="s">
        <v>148</v>
      </c>
      <c r="AU189" s="190" t="s">
        <v>87</v>
      </c>
      <c r="AV189" s="187" t="s">
        <v>87</v>
      </c>
      <c r="AW189" s="187" t="s">
        <v>34</v>
      </c>
      <c r="AX189" s="187" t="s">
        <v>85</v>
      </c>
      <c r="AY189" s="190" t="s">
        <v>139</v>
      </c>
    </row>
    <row r="190" spans="1:65" s="95" customFormat="1" ht="36">
      <c r="A190" s="91"/>
      <c r="B190" s="92"/>
      <c r="C190" s="175" t="s">
        <v>245</v>
      </c>
      <c r="D190" s="175" t="s">
        <v>141</v>
      </c>
      <c r="E190" s="176" t="s">
        <v>246</v>
      </c>
      <c r="F190" s="177" t="s">
        <v>247</v>
      </c>
      <c r="G190" s="178" t="s">
        <v>194</v>
      </c>
      <c r="H190" s="179">
        <f>H197</f>
        <v>300.332</v>
      </c>
      <c r="I190" s="69"/>
      <c r="J190" s="180">
        <f>ROUND(I190*H190,2)</f>
        <v>0</v>
      </c>
      <c r="K190" s="177" t="s">
        <v>145</v>
      </c>
      <c r="L190" s="92"/>
      <c r="M190" s="181" t="s">
        <v>1</v>
      </c>
      <c r="N190" s="182" t="s">
        <v>44</v>
      </c>
      <c r="O190" s="183">
        <v>0.115</v>
      </c>
      <c r="P190" s="183">
        <f>O190*H190</f>
        <v>34.538180000000004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85" t="s">
        <v>146</v>
      </c>
      <c r="AT190" s="185" t="s">
        <v>141</v>
      </c>
      <c r="AU190" s="185" t="s">
        <v>87</v>
      </c>
      <c r="AY190" s="83" t="s">
        <v>139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83" t="s">
        <v>85</v>
      </c>
      <c r="BK190" s="186">
        <f>ROUND(I190*H190,2)</f>
        <v>0</v>
      </c>
      <c r="BL190" s="83" t="s">
        <v>146</v>
      </c>
      <c r="BM190" s="185" t="s">
        <v>248</v>
      </c>
    </row>
    <row r="191" spans="2:51" s="201" customFormat="1" ht="12">
      <c r="B191" s="202"/>
      <c r="D191" s="189" t="s">
        <v>148</v>
      </c>
      <c r="E191" s="203" t="s">
        <v>1</v>
      </c>
      <c r="F191" s="204" t="s">
        <v>206</v>
      </c>
      <c r="H191" s="203" t="s">
        <v>1</v>
      </c>
      <c r="I191" s="235"/>
      <c r="L191" s="202"/>
      <c r="M191" s="205"/>
      <c r="N191" s="206"/>
      <c r="O191" s="206"/>
      <c r="P191" s="206"/>
      <c r="Q191" s="206"/>
      <c r="R191" s="206"/>
      <c r="S191" s="206"/>
      <c r="T191" s="207"/>
      <c r="AT191" s="203" t="s">
        <v>148</v>
      </c>
      <c r="AU191" s="203" t="s">
        <v>87</v>
      </c>
      <c r="AV191" s="201" t="s">
        <v>85</v>
      </c>
      <c r="AW191" s="201" t="s">
        <v>34</v>
      </c>
      <c r="AX191" s="201" t="s">
        <v>78</v>
      </c>
      <c r="AY191" s="203" t="s">
        <v>139</v>
      </c>
    </row>
    <row r="192" spans="2:51" s="201" customFormat="1" ht="12">
      <c r="B192" s="202"/>
      <c r="D192" s="189" t="s">
        <v>148</v>
      </c>
      <c r="E192" s="203" t="s">
        <v>1</v>
      </c>
      <c r="F192" s="204" t="s">
        <v>207</v>
      </c>
      <c r="H192" s="203" t="s">
        <v>1</v>
      </c>
      <c r="I192" s="235"/>
      <c r="L192" s="202"/>
      <c r="M192" s="205"/>
      <c r="N192" s="206"/>
      <c r="O192" s="206"/>
      <c r="P192" s="206"/>
      <c r="Q192" s="206"/>
      <c r="R192" s="206"/>
      <c r="S192" s="206"/>
      <c r="T192" s="207"/>
      <c r="AT192" s="203" t="s">
        <v>148</v>
      </c>
      <c r="AU192" s="203" t="s">
        <v>87</v>
      </c>
      <c r="AV192" s="201" t="s">
        <v>85</v>
      </c>
      <c r="AW192" s="201" t="s">
        <v>34</v>
      </c>
      <c r="AX192" s="201" t="s">
        <v>78</v>
      </c>
      <c r="AY192" s="203" t="s">
        <v>139</v>
      </c>
    </row>
    <row r="193" spans="2:51" s="187" customFormat="1" ht="12">
      <c r="B193" s="188"/>
      <c r="D193" s="189" t="s">
        <v>148</v>
      </c>
      <c r="E193" s="190" t="s">
        <v>1</v>
      </c>
      <c r="F193" s="191" t="s">
        <v>1514</v>
      </c>
      <c r="H193" s="192">
        <f>H163</f>
        <v>403.56</v>
      </c>
      <c r="I193" s="233"/>
      <c r="L193" s="188"/>
      <c r="M193" s="193"/>
      <c r="N193" s="194"/>
      <c r="O193" s="194"/>
      <c r="P193" s="194"/>
      <c r="Q193" s="194"/>
      <c r="R193" s="194"/>
      <c r="S193" s="194"/>
      <c r="T193" s="195"/>
      <c r="AT193" s="190" t="s">
        <v>148</v>
      </c>
      <c r="AU193" s="190" t="s">
        <v>87</v>
      </c>
      <c r="AV193" s="187" t="s">
        <v>87</v>
      </c>
      <c r="AW193" s="187" t="s">
        <v>34</v>
      </c>
      <c r="AX193" s="187" t="s">
        <v>78</v>
      </c>
      <c r="AY193" s="190" t="s">
        <v>139</v>
      </c>
    </row>
    <row r="194" spans="2:51" s="187" customFormat="1" ht="12">
      <c r="B194" s="188"/>
      <c r="D194" s="189" t="s">
        <v>148</v>
      </c>
      <c r="E194" s="190" t="s">
        <v>1</v>
      </c>
      <c r="F194" s="191" t="s">
        <v>1513</v>
      </c>
      <c r="H194" s="192">
        <f>-H222</f>
        <v>-41.51</v>
      </c>
      <c r="I194" s="233"/>
      <c r="L194" s="188"/>
      <c r="M194" s="193"/>
      <c r="N194" s="194"/>
      <c r="O194" s="194"/>
      <c r="P194" s="194"/>
      <c r="Q194" s="194"/>
      <c r="R194" s="194"/>
      <c r="S194" s="194"/>
      <c r="T194" s="195"/>
      <c r="AT194" s="190" t="s">
        <v>148</v>
      </c>
      <c r="AU194" s="190" t="s">
        <v>87</v>
      </c>
      <c r="AV194" s="187" t="s">
        <v>87</v>
      </c>
      <c r="AW194" s="187" t="s">
        <v>34</v>
      </c>
      <c r="AX194" s="187" t="s">
        <v>78</v>
      </c>
      <c r="AY194" s="190" t="s">
        <v>139</v>
      </c>
    </row>
    <row r="195" spans="2:51" s="187" customFormat="1" ht="12">
      <c r="B195" s="188"/>
      <c r="D195" s="189" t="s">
        <v>148</v>
      </c>
      <c r="E195" s="190" t="s">
        <v>1</v>
      </c>
      <c r="F195" s="191" t="s">
        <v>1515</v>
      </c>
      <c r="H195" s="192">
        <f>-H203</f>
        <v>-62.87</v>
      </c>
      <c r="I195" s="233"/>
      <c r="L195" s="188"/>
      <c r="M195" s="193"/>
      <c r="N195" s="194"/>
      <c r="O195" s="194"/>
      <c r="P195" s="194"/>
      <c r="Q195" s="194"/>
      <c r="R195" s="194"/>
      <c r="S195" s="194"/>
      <c r="T195" s="195"/>
      <c r="AT195" s="190" t="s">
        <v>148</v>
      </c>
      <c r="AU195" s="190" t="s">
        <v>87</v>
      </c>
      <c r="AV195" s="187" t="s">
        <v>87</v>
      </c>
      <c r="AW195" s="187" t="s">
        <v>34</v>
      </c>
      <c r="AX195" s="187" t="s">
        <v>78</v>
      </c>
      <c r="AY195" s="190" t="s">
        <v>139</v>
      </c>
    </row>
    <row r="196" spans="2:51" s="187" customFormat="1" ht="12">
      <c r="B196" s="188"/>
      <c r="D196" s="189" t="s">
        <v>148</v>
      </c>
      <c r="E196" s="190" t="s">
        <v>1</v>
      </c>
      <c r="F196" s="191" t="s">
        <v>249</v>
      </c>
      <c r="H196" s="192">
        <f>0.8*0.8*1.8</f>
        <v>1.1520000000000004</v>
      </c>
      <c r="I196" s="233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0" t="s">
        <v>148</v>
      </c>
      <c r="AU196" s="190" t="s">
        <v>87</v>
      </c>
      <c r="AV196" s="187" t="s">
        <v>87</v>
      </c>
      <c r="AW196" s="187" t="s">
        <v>34</v>
      </c>
      <c r="AX196" s="187" t="s">
        <v>78</v>
      </c>
      <c r="AY196" s="190" t="s">
        <v>139</v>
      </c>
    </row>
    <row r="197" spans="2:51" s="208" customFormat="1" ht="12">
      <c r="B197" s="209"/>
      <c r="D197" s="189" t="s">
        <v>148</v>
      </c>
      <c r="E197" s="210" t="s">
        <v>1</v>
      </c>
      <c r="F197" s="211" t="s">
        <v>159</v>
      </c>
      <c r="H197" s="212">
        <f>SUM(H193:H196)</f>
        <v>300.332</v>
      </c>
      <c r="I197" s="236"/>
      <c r="L197" s="209"/>
      <c r="M197" s="213"/>
      <c r="N197" s="214"/>
      <c r="O197" s="214"/>
      <c r="P197" s="214"/>
      <c r="Q197" s="214"/>
      <c r="R197" s="214"/>
      <c r="S197" s="214"/>
      <c r="T197" s="215"/>
      <c r="AT197" s="210" t="s">
        <v>148</v>
      </c>
      <c r="AU197" s="210" t="s">
        <v>87</v>
      </c>
      <c r="AV197" s="208" t="s">
        <v>146</v>
      </c>
      <c r="AW197" s="208" t="s">
        <v>34</v>
      </c>
      <c r="AX197" s="208" t="s">
        <v>85</v>
      </c>
      <c r="AY197" s="210" t="s">
        <v>139</v>
      </c>
    </row>
    <row r="198" spans="1:65" s="95" customFormat="1" ht="44.25" customHeight="1">
      <c r="A198" s="91"/>
      <c r="B198" s="92"/>
      <c r="C198" s="217" t="s">
        <v>250</v>
      </c>
      <c r="D198" s="217" t="s">
        <v>251</v>
      </c>
      <c r="E198" s="218" t="s">
        <v>252</v>
      </c>
      <c r="F198" s="219" t="s">
        <v>1507</v>
      </c>
      <c r="G198" s="220" t="s">
        <v>254</v>
      </c>
      <c r="H198" s="221">
        <f>H202</f>
        <v>473.72</v>
      </c>
      <c r="I198" s="70"/>
      <c r="J198" s="222">
        <f>ROUND(I198*H198,2)</f>
        <v>0</v>
      </c>
      <c r="K198" s="219" t="s">
        <v>1</v>
      </c>
      <c r="L198" s="223"/>
      <c r="M198" s="224" t="s">
        <v>1</v>
      </c>
      <c r="N198" s="225" t="s">
        <v>44</v>
      </c>
      <c r="O198" s="183">
        <v>0</v>
      </c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R198" s="185" t="s">
        <v>187</v>
      </c>
      <c r="AT198" s="185" t="s">
        <v>251</v>
      </c>
      <c r="AU198" s="185" t="s">
        <v>87</v>
      </c>
      <c r="AY198" s="83" t="s">
        <v>139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83" t="s">
        <v>85</v>
      </c>
      <c r="BK198" s="186">
        <f>ROUND(I198*H198,2)</f>
        <v>0</v>
      </c>
      <c r="BL198" s="83" t="s">
        <v>146</v>
      </c>
      <c r="BM198" s="185" t="s">
        <v>255</v>
      </c>
    </row>
    <row r="199" spans="2:51" s="187" customFormat="1" ht="12">
      <c r="B199" s="188"/>
      <c r="D199" s="189" t="s">
        <v>148</v>
      </c>
      <c r="E199" s="190" t="s">
        <v>1</v>
      </c>
      <c r="F199" s="226" t="s">
        <v>1516</v>
      </c>
      <c r="H199" s="192">
        <f>H190</f>
        <v>300.332</v>
      </c>
      <c r="I199" s="233"/>
      <c r="L199" s="188"/>
      <c r="M199" s="193"/>
      <c r="N199" s="194"/>
      <c r="O199" s="194"/>
      <c r="P199" s="194"/>
      <c r="Q199" s="194"/>
      <c r="R199" s="194"/>
      <c r="S199" s="194"/>
      <c r="T199" s="195"/>
      <c r="AT199" s="190" t="s">
        <v>148</v>
      </c>
      <c r="AU199" s="190" t="s">
        <v>87</v>
      </c>
      <c r="AV199" s="187" t="s">
        <v>87</v>
      </c>
      <c r="AW199" s="187" t="s">
        <v>34</v>
      </c>
      <c r="AX199" s="187" t="s">
        <v>78</v>
      </c>
      <c r="AY199" s="190" t="s">
        <v>139</v>
      </c>
    </row>
    <row r="200" spans="2:51" s="187" customFormat="1" ht="22.5">
      <c r="B200" s="188"/>
      <c r="D200" s="189" t="s">
        <v>148</v>
      </c>
      <c r="E200" s="190" t="s">
        <v>1</v>
      </c>
      <c r="F200" s="226" t="s">
        <v>1525</v>
      </c>
      <c r="H200" s="192">
        <f>-211.519*0.3</f>
        <v>-63.4557</v>
      </c>
      <c r="I200" s="233"/>
      <c r="L200" s="188"/>
      <c r="M200" s="193"/>
      <c r="N200" s="194"/>
      <c r="O200" s="194"/>
      <c r="P200" s="194"/>
      <c r="Q200" s="194"/>
      <c r="R200" s="194"/>
      <c r="S200" s="194"/>
      <c r="T200" s="195"/>
      <c r="AT200" s="190" t="s">
        <v>148</v>
      </c>
      <c r="AU200" s="190" t="s">
        <v>87</v>
      </c>
      <c r="AV200" s="187" t="s">
        <v>87</v>
      </c>
      <c r="AW200" s="187" t="s">
        <v>34</v>
      </c>
      <c r="AX200" s="187" t="s">
        <v>78</v>
      </c>
      <c r="AY200" s="190" t="s">
        <v>139</v>
      </c>
    </row>
    <row r="201" spans="2:51" s="208" customFormat="1" ht="12">
      <c r="B201" s="209"/>
      <c r="D201" s="189" t="s">
        <v>148</v>
      </c>
      <c r="E201" s="210" t="s">
        <v>1</v>
      </c>
      <c r="F201" s="227" t="s">
        <v>159</v>
      </c>
      <c r="H201" s="212">
        <f>SUM(H199:H200)</f>
        <v>236.8763</v>
      </c>
      <c r="I201" s="236"/>
      <c r="L201" s="209"/>
      <c r="M201" s="213"/>
      <c r="N201" s="214"/>
      <c r="O201" s="214"/>
      <c r="P201" s="214"/>
      <c r="Q201" s="214"/>
      <c r="R201" s="214"/>
      <c r="S201" s="214"/>
      <c r="T201" s="215"/>
      <c r="AT201" s="210" t="s">
        <v>148</v>
      </c>
      <c r="AU201" s="210" t="s">
        <v>87</v>
      </c>
      <c r="AV201" s="208" t="s">
        <v>146</v>
      </c>
      <c r="AW201" s="208" t="s">
        <v>34</v>
      </c>
      <c r="AX201" s="208" t="s">
        <v>85</v>
      </c>
      <c r="AY201" s="210" t="s">
        <v>139</v>
      </c>
    </row>
    <row r="202" spans="2:51" s="187" customFormat="1" ht="12">
      <c r="B202" s="188"/>
      <c r="D202" s="189" t="s">
        <v>148</v>
      </c>
      <c r="E202" s="190" t="s">
        <v>1</v>
      </c>
      <c r="F202" s="226" t="s">
        <v>1526</v>
      </c>
      <c r="H202" s="192">
        <f>236.86*2</f>
        <v>473.72</v>
      </c>
      <c r="I202" s="233"/>
      <c r="L202" s="188"/>
      <c r="M202" s="193"/>
      <c r="N202" s="194"/>
      <c r="O202" s="194"/>
      <c r="P202" s="194"/>
      <c r="Q202" s="194"/>
      <c r="R202" s="194"/>
      <c r="S202" s="194"/>
      <c r="T202" s="195"/>
      <c r="AT202" s="190" t="s">
        <v>148</v>
      </c>
      <c r="AU202" s="190" t="s">
        <v>87</v>
      </c>
      <c r="AV202" s="187" t="s">
        <v>87</v>
      </c>
      <c r="AW202" s="187" t="s">
        <v>34</v>
      </c>
      <c r="AX202" s="187" t="s">
        <v>85</v>
      </c>
      <c r="AY202" s="190" t="s">
        <v>139</v>
      </c>
    </row>
    <row r="203" spans="1:65" s="95" customFormat="1" ht="60">
      <c r="A203" s="91"/>
      <c r="B203" s="92"/>
      <c r="C203" s="175" t="s">
        <v>257</v>
      </c>
      <c r="D203" s="175" t="s">
        <v>141</v>
      </c>
      <c r="E203" s="176" t="s">
        <v>258</v>
      </c>
      <c r="F203" s="177" t="s">
        <v>259</v>
      </c>
      <c r="G203" s="178" t="s">
        <v>194</v>
      </c>
      <c r="H203" s="179">
        <v>62.87</v>
      </c>
      <c r="I203" s="69"/>
      <c r="J203" s="180">
        <f>ROUND(I203*H203,2)</f>
        <v>0</v>
      </c>
      <c r="K203" s="177" t="s">
        <v>145</v>
      </c>
      <c r="L203" s="92"/>
      <c r="M203" s="181" t="s">
        <v>1</v>
      </c>
      <c r="N203" s="182" t="s">
        <v>44</v>
      </c>
      <c r="O203" s="183">
        <v>0.286</v>
      </c>
      <c r="P203" s="183">
        <f>O203*H203</f>
        <v>17.980819999999998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R203" s="185" t="s">
        <v>146</v>
      </c>
      <c r="AT203" s="185" t="s">
        <v>141</v>
      </c>
      <c r="AU203" s="185" t="s">
        <v>87</v>
      </c>
      <c r="AY203" s="83" t="s">
        <v>139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83" t="s">
        <v>85</v>
      </c>
      <c r="BK203" s="186">
        <f>ROUND(I203*H203,2)</f>
        <v>0</v>
      </c>
      <c r="BL203" s="83" t="s">
        <v>146</v>
      </c>
      <c r="BM203" s="185" t="s">
        <v>260</v>
      </c>
    </row>
    <row r="204" spans="2:51" s="201" customFormat="1" ht="12">
      <c r="B204" s="202"/>
      <c r="D204" s="189" t="s">
        <v>148</v>
      </c>
      <c r="E204" s="203" t="s">
        <v>1</v>
      </c>
      <c r="F204" s="204" t="s">
        <v>206</v>
      </c>
      <c r="H204" s="203" t="s">
        <v>1</v>
      </c>
      <c r="I204" s="235"/>
      <c r="L204" s="202"/>
      <c r="M204" s="205"/>
      <c r="N204" s="206"/>
      <c r="O204" s="206"/>
      <c r="P204" s="206"/>
      <c r="Q204" s="206"/>
      <c r="R204" s="206"/>
      <c r="S204" s="206"/>
      <c r="T204" s="207"/>
      <c r="AT204" s="203" t="s">
        <v>148</v>
      </c>
      <c r="AU204" s="203" t="s">
        <v>87</v>
      </c>
      <c r="AV204" s="201" t="s">
        <v>85</v>
      </c>
      <c r="AW204" s="201" t="s">
        <v>34</v>
      </c>
      <c r="AX204" s="201" t="s">
        <v>78</v>
      </c>
      <c r="AY204" s="203" t="s">
        <v>139</v>
      </c>
    </row>
    <row r="205" spans="2:51" s="201" customFormat="1" ht="12">
      <c r="B205" s="202"/>
      <c r="D205" s="189" t="s">
        <v>148</v>
      </c>
      <c r="E205" s="203" t="s">
        <v>1</v>
      </c>
      <c r="F205" s="204" t="s">
        <v>207</v>
      </c>
      <c r="H205" s="203" t="s">
        <v>1</v>
      </c>
      <c r="I205" s="235"/>
      <c r="L205" s="202"/>
      <c r="M205" s="205"/>
      <c r="N205" s="206"/>
      <c r="O205" s="206"/>
      <c r="P205" s="206"/>
      <c r="Q205" s="206"/>
      <c r="R205" s="206"/>
      <c r="S205" s="206"/>
      <c r="T205" s="207"/>
      <c r="AT205" s="203" t="s">
        <v>148</v>
      </c>
      <c r="AU205" s="203" t="s">
        <v>87</v>
      </c>
      <c r="AV205" s="201" t="s">
        <v>85</v>
      </c>
      <c r="AW205" s="201" t="s">
        <v>34</v>
      </c>
      <c r="AX205" s="201" t="s">
        <v>78</v>
      </c>
      <c r="AY205" s="203" t="s">
        <v>139</v>
      </c>
    </row>
    <row r="206" spans="2:51" s="187" customFormat="1" ht="12">
      <c r="B206" s="188"/>
      <c r="D206" s="189" t="s">
        <v>148</v>
      </c>
      <c r="E206" s="190" t="s">
        <v>1</v>
      </c>
      <c r="F206" s="191" t="s">
        <v>261</v>
      </c>
      <c r="H206" s="192">
        <v>62.87</v>
      </c>
      <c r="I206" s="233"/>
      <c r="L206" s="188"/>
      <c r="M206" s="193"/>
      <c r="N206" s="194"/>
      <c r="O206" s="194"/>
      <c r="P206" s="194"/>
      <c r="Q206" s="194"/>
      <c r="R206" s="194"/>
      <c r="S206" s="194"/>
      <c r="T206" s="195"/>
      <c r="AT206" s="190" t="s">
        <v>148</v>
      </c>
      <c r="AU206" s="190" t="s">
        <v>87</v>
      </c>
      <c r="AV206" s="187" t="s">
        <v>87</v>
      </c>
      <c r="AW206" s="187" t="s">
        <v>34</v>
      </c>
      <c r="AX206" s="187" t="s">
        <v>85</v>
      </c>
      <c r="AY206" s="190" t="s">
        <v>139</v>
      </c>
    </row>
    <row r="207" spans="1:65" s="95" customFormat="1" ht="16.5" customHeight="1">
      <c r="A207" s="91"/>
      <c r="B207" s="92"/>
      <c r="C207" s="217" t="s">
        <v>7</v>
      </c>
      <c r="D207" s="217" t="s">
        <v>251</v>
      </c>
      <c r="E207" s="218" t="s">
        <v>262</v>
      </c>
      <c r="F207" s="219" t="s">
        <v>263</v>
      </c>
      <c r="G207" s="220" t="s">
        <v>254</v>
      </c>
      <c r="H207" s="221">
        <v>125.74</v>
      </c>
      <c r="I207" s="70"/>
      <c r="J207" s="222">
        <f>ROUND(I207*H207,2)</f>
        <v>0</v>
      </c>
      <c r="K207" s="219" t="s">
        <v>145</v>
      </c>
      <c r="L207" s="223"/>
      <c r="M207" s="224" t="s">
        <v>1</v>
      </c>
      <c r="N207" s="225" t="s">
        <v>44</v>
      </c>
      <c r="O207" s="183">
        <v>0</v>
      </c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85" t="s">
        <v>187</v>
      </c>
      <c r="AT207" s="185" t="s">
        <v>251</v>
      </c>
      <c r="AU207" s="185" t="s">
        <v>87</v>
      </c>
      <c r="AY207" s="83" t="s">
        <v>139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83" t="s">
        <v>85</v>
      </c>
      <c r="BK207" s="186">
        <f>ROUND(I207*H207,2)</f>
        <v>0</v>
      </c>
      <c r="BL207" s="83" t="s">
        <v>146</v>
      </c>
      <c r="BM207" s="185" t="s">
        <v>264</v>
      </c>
    </row>
    <row r="208" spans="1:47" s="95" customFormat="1" ht="19.5">
      <c r="A208" s="91"/>
      <c r="B208" s="92"/>
      <c r="C208" s="91"/>
      <c r="D208" s="189" t="s">
        <v>153</v>
      </c>
      <c r="E208" s="91"/>
      <c r="F208" s="196" t="s">
        <v>256</v>
      </c>
      <c r="G208" s="91"/>
      <c r="H208" s="91"/>
      <c r="I208" s="234"/>
      <c r="J208" s="91"/>
      <c r="K208" s="91"/>
      <c r="L208" s="92"/>
      <c r="M208" s="197"/>
      <c r="N208" s="198"/>
      <c r="O208" s="199"/>
      <c r="P208" s="199"/>
      <c r="Q208" s="199"/>
      <c r="R208" s="199"/>
      <c r="S208" s="199"/>
      <c r="T208" s="200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T208" s="83" t="s">
        <v>153</v>
      </c>
      <c r="AU208" s="83" t="s">
        <v>87</v>
      </c>
    </row>
    <row r="209" spans="2:51" s="187" customFormat="1" ht="12">
      <c r="B209" s="188"/>
      <c r="D209" s="189" t="s">
        <v>148</v>
      </c>
      <c r="F209" s="191" t="s">
        <v>265</v>
      </c>
      <c r="H209" s="192">
        <v>125.74</v>
      </c>
      <c r="I209" s="233"/>
      <c r="L209" s="188"/>
      <c r="M209" s="193"/>
      <c r="N209" s="194"/>
      <c r="O209" s="194"/>
      <c r="P209" s="194"/>
      <c r="Q209" s="194"/>
      <c r="R209" s="194"/>
      <c r="S209" s="194"/>
      <c r="T209" s="195"/>
      <c r="AT209" s="190" t="s">
        <v>148</v>
      </c>
      <c r="AU209" s="190" t="s">
        <v>87</v>
      </c>
      <c r="AV209" s="187" t="s">
        <v>87</v>
      </c>
      <c r="AW209" s="187" t="s">
        <v>3</v>
      </c>
      <c r="AX209" s="187" t="s">
        <v>85</v>
      </c>
      <c r="AY209" s="190" t="s">
        <v>139</v>
      </c>
    </row>
    <row r="210" spans="1:65" s="95" customFormat="1" ht="55.5" customHeight="1">
      <c r="A210" s="91"/>
      <c r="B210" s="92"/>
      <c r="C210" s="175" t="s">
        <v>266</v>
      </c>
      <c r="D210" s="175" t="s">
        <v>141</v>
      </c>
      <c r="E210" s="176" t="s">
        <v>267</v>
      </c>
      <c r="F210" s="177" t="s">
        <v>268</v>
      </c>
      <c r="G210" s="178" t="s">
        <v>144</v>
      </c>
      <c r="H210" s="179">
        <v>110.54</v>
      </c>
      <c r="I210" s="69"/>
      <c r="J210" s="180">
        <f>ROUND(I210*H210,2)</f>
        <v>0</v>
      </c>
      <c r="K210" s="177" t="s">
        <v>145</v>
      </c>
      <c r="L210" s="92"/>
      <c r="M210" s="181" t="s">
        <v>1</v>
      </c>
      <c r="N210" s="182" t="s">
        <v>44</v>
      </c>
      <c r="O210" s="183">
        <v>0.153</v>
      </c>
      <c r="P210" s="183">
        <f>O210*H210</f>
        <v>16.91262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85" t="s">
        <v>146</v>
      </c>
      <c r="AT210" s="185" t="s">
        <v>141</v>
      </c>
      <c r="AU210" s="185" t="s">
        <v>87</v>
      </c>
      <c r="AY210" s="83" t="s">
        <v>139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83" t="s">
        <v>85</v>
      </c>
      <c r="BK210" s="186">
        <f>ROUND(I210*H210,2)</f>
        <v>0</v>
      </c>
      <c r="BL210" s="83" t="s">
        <v>146</v>
      </c>
      <c r="BM210" s="185" t="s">
        <v>269</v>
      </c>
    </row>
    <row r="211" spans="2:51" s="201" customFormat="1" ht="12">
      <c r="B211" s="202"/>
      <c r="D211" s="189" t="s">
        <v>148</v>
      </c>
      <c r="E211" s="203" t="s">
        <v>1</v>
      </c>
      <c r="F211" s="204" t="s">
        <v>156</v>
      </c>
      <c r="H211" s="203" t="s">
        <v>1</v>
      </c>
      <c r="I211" s="235"/>
      <c r="L211" s="202"/>
      <c r="M211" s="205"/>
      <c r="N211" s="206"/>
      <c r="O211" s="206"/>
      <c r="P211" s="206"/>
      <c r="Q211" s="206"/>
      <c r="R211" s="206"/>
      <c r="S211" s="206"/>
      <c r="T211" s="207"/>
      <c r="AT211" s="203" t="s">
        <v>148</v>
      </c>
      <c r="AU211" s="203" t="s">
        <v>87</v>
      </c>
      <c r="AV211" s="201" t="s">
        <v>85</v>
      </c>
      <c r="AW211" s="201" t="s">
        <v>34</v>
      </c>
      <c r="AX211" s="201" t="s">
        <v>78</v>
      </c>
      <c r="AY211" s="203" t="s">
        <v>139</v>
      </c>
    </row>
    <row r="212" spans="2:51" s="187" customFormat="1" ht="12">
      <c r="B212" s="188"/>
      <c r="D212" s="189" t="s">
        <v>148</v>
      </c>
      <c r="E212" s="190" t="s">
        <v>1</v>
      </c>
      <c r="F212" s="191" t="s">
        <v>270</v>
      </c>
      <c r="H212" s="192">
        <v>110.54</v>
      </c>
      <c r="I212" s="233"/>
      <c r="L212" s="188"/>
      <c r="M212" s="193"/>
      <c r="N212" s="194"/>
      <c r="O212" s="194"/>
      <c r="P212" s="194"/>
      <c r="Q212" s="194"/>
      <c r="R212" s="194"/>
      <c r="S212" s="194"/>
      <c r="T212" s="195"/>
      <c r="AT212" s="190" t="s">
        <v>148</v>
      </c>
      <c r="AU212" s="190" t="s">
        <v>87</v>
      </c>
      <c r="AV212" s="187" t="s">
        <v>87</v>
      </c>
      <c r="AW212" s="187" t="s">
        <v>34</v>
      </c>
      <c r="AX212" s="187" t="s">
        <v>85</v>
      </c>
      <c r="AY212" s="190" t="s">
        <v>139</v>
      </c>
    </row>
    <row r="213" spans="1:65" s="95" customFormat="1" ht="36">
      <c r="A213" s="91"/>
      <c r="B213" s="92"/>
      <c r="C213" s="175" t="s">
        <v>271</v>
      </c>
      <c r="D213" s="175" t="s">
        <v>141</v>
      </c>
      <c r="E213" s="176" t="s">
        <v>272</v>
      </c>
      <c r="F213" s="177" t="s">
        <v>273</v>
      </c>
      <c r="G213" s="178" t="s">
        <v>144</v>
      </c>
      <c r="H213" s="179">
        <v>60.797</v>
      </c>
      <c r="I213" s="69"/>
      <c r="J213" s="180">
        <f>ROUND(I213*H213,2)</f>
        <v>0</v>
      </c>
      <c r="K213" s="177" t="s">
        <v>145</v>
      </c>
      <c r="L213" s="92"/>
      <c r="M213" s="181" t="s">
        <v>1</v>
      </c>
      <c r="N213" s="182" t="s">
        <v>44</v>
      </c>
      <c r="O213" s="183">
        <v>0.254</v>
      </c>
      <c r="P213" s="183">
        <f>O213*H213</f>
        <v>15.442438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R213" s="185" t="s">
        <v>146</v>
      </c>
      <c r="AT213" s="185" t="s">
        <v>141</v>
      </c>
      <c r="AU213" s="185" t="s">
        <v>87</v>
      </c>
      <c r="AY213" s="83" t="s">
        <v>139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83" t="s">
        <v>85</v>
      </c>
      <c r="BK213" s="186">
        <f>ROUND(I213*H213,2)</f>
        <v>0</v>
      </c>
      <c r="BL213" s="83" t="s">
        <v>146</v>
      </c>
      <c r="BM213" s="185" t="s">
        <v>274</v>
      </c>
    </row>
    <row r="214" spans="2:51" s="187" customFormat="1" ht="12">
      <c r="B214" s="188"/>
      <c r="D214" s="189" t="s">
        <v>148</v>
      </c>
      <c r="E214" s="190" t="s">
        <v>1</v>
      </c>
      <c r="F214" s="191" t="s">
        <v>275</v>
      </c>
      <c r="H214" s="192">
        <v>60.797</v>
      </c>
      <c r="I214" s="233"/>
      <c r="L214" s="188"/>
      <c r="M214" s="193"/>
      <c r="N214" s="194"/>
      <c r="O214" s="194"/>
      <c r="P214" s="194"/>
      <c r="Q214" s="194"/>
      <c r="R214" s="194"/>
      <c r="S214" s="194"/>
      <c r="T214" s="195"/>
      <c r="AT214" s="190" t="s">
        <v>148</v>
      </c>
      <c r="AU214" s="190" t="s">
        <v>87</v>
      </c>
      <c r="AV214" s="187" t="s">
        <v>87</v>
      </c>
      <c r="AW214" s="187" t="s">
        <v>34</v>
      </c>
      <c r="AX214" s="187" t="s">
        <v>85</v>
      </c>
      <c r="AY214" s="190" t="s">
        <v>139</v>
      </c>
    </row>
    <row r="215" spans="1:65" s="95" customFormat="1" ht="36">
      <c r="A215" s="91"/>
      <c r="B215" s="92"/>
      <c r="C215" s="175" t="s">
        <v>276</v>
      </c>
      <c r="D215" s="175" t="s">
        <v>141</v>
      </c>
      <c r="E215" s="176" t="s">
        <v>277</v>
      </c>
      <c r="F215" s="177" t="s">
        <v>278</v>
      </c>
      <c r="G215" s="178" t="s">
        <v>144</v>
      </c>
      <c r="H215" s="179">
        <v>171.337</v>
      </c>
      <c r="I215" s="69"/>
      <c r="J215" s="180">
        <f>ROUND(I215*H215,2)</f>
        <v>0</v>
      </c>
      <c r="K215" s="177" t="s">
        <v>145</v>
      </c>
      <c r="L215" s="92"/>
      <c r="M215" s="181" t="s">
        <v>1</v>
      </c>
      <c r="N215" s="182" t="s">
        <v>44</v>
      </c>
      <c r="O215" s="183">
        <v>0.007</v>
      </c>
      <c r="P215" s="183">
        <f>O215*H215</f>
        <v>1.1993589999999998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R215" s="185" t="s">
        <v>146</v>
      </c>
      <c r="AT215" s="185" t="s">
        <v>141</v>
      </c>
      <c r="AU215" s="185" t="s">
        <v>87</v>
      </c>
      <c r="AY215" s="83" t="s">
        <v>139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83" t="s">
        <v>85</v>
      </c>
      <c r="BK215" s="186">
        <f>ROUND(I215*H215,2)</f>
        <v>0</v>
      </c>
      <c r="BL215" s="83" t="s">
        <v>146</v>
      </c>
      <c r="BM215" s="185" t="s">
        <v>279</v>
      </c>
    </row>
    <row r="216" spans="2:51" s="201" customFormat="1" ht="12">
      <c r="B216" s="202"/>
      <c r="D216" s="189" t="s">
        <v>148</v>
      </c>
      <c r="E216" s="203" t="s">
        <v>1</v>
      </c>
      <c r="F216" s="204" t="s">
        <v>280</v>
      </c>
      <c r="H216" s="203" t="s">
        <v>1</v>
      </c>
      <c r="I216" s="235"/>
      <c r="L216" s="202"/>
      <c r="M216" s="205"/>
      <c r="N216" s="206"/>
      <c r="O216" s="206"/>
      <c r="P216" s="206"/>
      <c r="Q216" s="206"/>
      <c r="R216" s="206"/>
      <c r="S216" s="206"/>
      <c r="T216" s="207"/>
      <c r="AT216" s="203" t="s">
        <v>148</v>
      </c>
      <c r="AU216" s="203" t="s">
        <v>87</v>
      </c>
      <c r="AV216" s="201" t="s">
        <v>85</v>
      </c>
      <c r="AW216" s="201" t="s">
        <v>34</v>
      </c>
      <c r="AX216" s="201" t="s">
        <v>78</v>
      </c>
      <c r="AY216" s="203" t="s">
        <v>139</v>
      </c>
    </row>
    <row r="217" spans="2:51" s="201" customFormat="1" ht="12">
      <c r="B217" s="202"/>
      <c r="D217" s="189" t="s">
        <v>148</v>
      </c>
      <c r="E217" s="203" t="s">
        <v>1</v>
      </c>
      <c r="F217" s="204" t="s">
        <v>156</v>
      </c>
      <c r="H217" s="203" t="s">
        <v>1</v>
      </c>
      <c r="I217" s="235"/>
      <c r="L217" s="202"/>
      <c r="M217" s="205"/>
      <c r="N217" s="206"/>
      <c r="O217" s="206"/>
      <c r="P217" s="206"/>
      <c r="Q217" s="206"/>
      <c r="R217" s="206"/>
      <c r="S217" s="206"/>
      <c r="T217" s="207"/>
      <c r="AT217" s="203" t="s">
        <v>148</v>
      </c>
      <c r="AU217" s="203" t="s">
        <v>87</v>
      </c>
      <c r="AV217" s="201" t="s">
        <v>85</v>
      </c>
      <c r="AW217" s="201" t="s">
        <v>34</v>
      </c>
      <c r="AX217" s="201" t="s">
        <v>78</v>
      </c>
      <c r="AY217" s="203" t="s">
        <v>139</v>
      </c>
    </row>
    <row r="218" spans="2:51" s="187" customFormat="1" ht="12">
      <c r="B218" s="188"/>
      <c r="D218" s="189" t="s">
        <v>148</v>
      </c>
      <c r="E218" s="190" t="s">
        <v>1</v>
      </c>
      <c r="F218" s="191" t="s">
        <v>281</v>
      </c>
      <c r="H218" s="192">
        <v>171.337</v>
      </c>
      <c r="I218" s="233"/>
      <c r="L218" s="188"/>
      <c r="M218" s="193"/>
      <c r="N218" s="194"/>
      <c r="O218" s="194"/>
      <c r="P218" s="194"/>
      <c r="Q218" s="194"/>
      <c r="R218" s="194"/>
      <c r="S218" s="194"/>
      <c r="T218" s="195"/>
      <c r="AT218" s="190" t="s">
        <v>148</v>
      </c>
      <c r="AU218" s="190" t="s">
        <v>87</v>
      </c>
      <c r="AV218" s="187" t="s">
        <v>87</v>
      </c>
      <c r="AW218" s="187" t="s">
        <v>34</v>
      </c>
      <c r="AX218" s="187" t="s">
        <v>85</v>
      </c>
      <c r="AY218" s="190" t="s">
        <v>139</v>
      </c>
    </row>
    <row r="219" spans="1:65" s="95" customFormat="1" ht="16.5" customHeight="1">
      <c r="A219" s="91"/>
      <c r="B219" s="92"/>
      <c r="C219" s="217" t="s">
        <v>282</v>
      </c>
      <c r="D219" s="217" t="s">
        <v>251</v>
      </c>
      <c r="E219" s="218" t="s">
        <v>283</v>
      </c>
      <c r="F219" s="219" t="s">
        <v>284</v>
      </c>
      <c r="G219" s="220" t="s">
        <v>285</v>
      </c>
      <c r="H219" s="221">
        <v>3.427</v>
      </c>
      <c r="I219" s="70"/>
      <c r="J219" s="222">
        <f>ROUND(I219*H219,2)</f>
        <v>0</v>
      </c>
      <c r="K219" s="219" t="s">
        <v>145</v>
      </c>
      <c r="L219" s="223"/>
      <c r="M219" s="224" t="s">
        <v>1</v>
      </c>
      <c r="N219" s="225" t="s">
        <v>44</v>
      </c>
      <c r="O219" s="183">
        <v>0</v>
      </c>
      <c r="P219" s="183">
        <f>O219*H219</f>
        <v>0</v>
      </c>
      <c r="Q219" s="183">
        <v>0.001</v>
      </c>
      <c r="R219" s="183">
        <f>Q219*H219</f>
        <v>0.003427</v>
      </c>
      <c r="S219" s="183">
        <v>0</v>
      </c>
      <c r="T219" s="184">
        <f>S219*H219</f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85" t="s">
        <v>187</v>
      </c>
      <c r="AT219" s="185" t="s">
        <v>251</v>
      </c>
      <c r="AU219" s="185" t="s">
        <v>87</v>
      </c>
      <c r="AY219" s="83" t="s">
        <v>139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83" t="s">
        <v>85</v>
      </c>
      <c r="BK219" s="186">
        <f>ROUND(I219*H219,2)</f>
        <v>0</v>
      </c>
      <c r="BL219" s="83" t="s">
        <v>146</v>
      </c>
      <c r="BM219" s="185" t="s">
        <v>286</v>
      </c>
    </row>
    <row r="220" spans="2:51" s="187" customFormat="1" ht="12">
      <c r="B220" s="188"/>
      <c r="D220" s="189" t="s">
        <v>148</v>
      </c>
      <c r="E220" s="190" t="s">
        <v>1</v>
      </c>
      <c r="F220" s="191" t="s">
        <v>287</v>
      </c>
      <c r="H220" s="192">
        <v>3.427</v>
      </c>
      <c r="I220" s="233"/>
      <c r="L220" s="188"/>
      <c r="M220" s="193"/>
      <c r="N220" s="194"/>
      <c r="O220" s="194"/>
      <c r="P220" s="194"/>
      <c r="Q220" s="194"/>
      <c r="R220" s="194"/>
      <c r="S220" s="194"/>
      <c r="T220" s="195"/>
      <c r="AT220" s="190" t="s">
        <v>148</v>
      </c>
      <c r="AU220" s="190" t="s">
        <v>87</v>
      </c>
      <c r="AV220" s="187" t="s">
        <v>87</v>
      </c>
      <c r="AW220" s="187" t="s">
        <v>34</v>
      </c>
      <c r="AX220" s="187" t="s">
        <v>85</v>
      </c>
      <c r="AY220" s="190" t="s">
        <v>139</v>
      </c>
    </row>
    <row r="221" spans="2:63" s="162" customFormat="1" ht="22.9" customHeight="1">
      <c r="B221" s="163"/>
      <c r="D221" s="164" t="s">
        <v>77</v>
      </c>
      <c r="E221" s="173" t="s">
        <v>146</v>
      </c>
      <c r="F221" s="173" t="s">
        <v>288</v>
      </c>
      <c r="I221" s="237"/>
      <c r="J221" s="174">
        <f>SUM(J222:J229)</f>
        <v>0</v>
      </c>
      <c r="L221" s="163"/>
      <c r="M221" s="167"/>
      <c r="N221" s="168"/>
      <c r="O221" s="168"/>
      <c r="P221" s="169">
        <f>SUM(P222:P234)</f>
        <v>70.934498</v>
      </c>
      <c r="Q221" s="168"/>
      <c r="R221" s="169">
        <f>SUM(R222:R234)</f>
        <v>0.030600000000000002</v>
      </c>
      <c r="S221" s="168"/>
      <c r="T221" s="170">
        <f>SUM(T222:T234)</f>
        <v>0</v>
      </c>
      <c r="AR221" s="164" t="s">
        <v>85</v>
      </c>
      <c r="AT221" s="171" t="s">
        <v>77</v>
      </c>
      <c r="AU221" s="171" t="s">
        <v>85</v>
      </c>
      <c r="AY221" s="164" t="s">
        <v>139</v>
      </c>
      <c r="BK221" s="172">
        <f>SUM(BK222:BK234)</f>
        <v>0</v>
      </c>
    </row>
    <row r="222" spans="1:65" s="95" customFormat="1" ht="33" customHeight="1">
      <c r="A222" s="91"/>
      <c r="B222" s="92"/>
      <c r="C222" s="175" t="s">
        <v>289</v>
      </c>
      <c r="D222" s="175" t="s">
        <v>141</v>
      </c>
      <c r="E222" s="176" t="s">
        <v>290</v>
      </c>
      <c r="F222" s="177" t="s">
        <v>291</v>
      </c>
      <c r="G222" s="178" t="s">
        <v>194</v>
      </c>
      <c r="H222" s="179">
        <v>41.51</v>
      </c>
      <c r="I222" s="69"/>
      <c r="J222" s="180">
        <f>ROUND(I222*H222,2)</f>
        <v>0</v>
      </c>
      <c r="K222" s="177" t="s">
        <v>145</v>
      </c>
      <c r="L222" s="92"/>
      <c r="M222" s="181" t="s">
        <v>1</v>
      </c>
      <c r="N222" s="182" t="s">
        <v>44</v>
      </c>
      <c r="O222" s="183">
        <v>1.695</v>
      </c>
      <c r="P222" s="183">
        <f>O222*H222</f>
        <v>70.35945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R222" s="185" t="s">
        <v>146</v>
      </c>
      <c r="AT222" s="185" t="s">
        <v>141</v>
      </c>
      <c r="AU222" s="185" t="s">
        <v>87</v>
      </c>
      <c r="AY222" s="83" t="s">
        <v>139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83" t="s">
        <v>85</v>
      </c>
      <c r="BK222" s="186">
        <f>ROUND(I222*H222,2)</f>
        <v>0</v>
      </c>
      <c r="BL222" s="83" t="s">
        <v>146</v>
      </c>
      <c r="BM222" s="185" t="s">
        <v>292</v>
      </c>
    </row>
    <row r="223" spans="2:51" s="201" customFormat="1" ht="12">
      <c r="B223" s="202"/>
      <c r="D223" s="189" t="s">
        <v>148</v>
      </c>
      <c r="E223" s="203" t="s">
        <v>1</v>
      </c>
      <c r="F223" s="204" t="s">
        <v>155</v>
      </c>
      <c r="H223" s="203" t="s">
        <v>1</v>
      </c>
      <c r="I223" s="235"/>
      <c r="L223" s="202"/>
      <c r="M223" s="205"/>
      <c r="N223" s="206"/>
      <c r="O223" s="206"/>
      <c r="P223" s="206"/>
      <c r="Q223" s="206"/>
      <c r="R223" s="206"/>
      <c r="S223" s="206"/>
      <c r="T223" s="207"/>
      <c r="AT223" s="203" t="s">
        <v>148</v>
      </c>
      <c r="AU223" s="203" t="s">
        <v>87</v>
      </c>
      <c r="AV223" s="201" t="s">
        <v>85</v>
      </c>
      <c r="AW223" s="201" t="s">
        <v>34</v>
      </c>
      <c r="AX223" s="201" t="s">
        <v>78</v>
      </c>
      <c r="AY223" s="203" t="s">
        <v>139</v>
      </c>
    </row>
    <row r="224" spans="2:51" s="201" customFormat="1" ht="12">
      <c r="B224" s="202"/>
      <c r="D224" s="189" t="s">
        <v>148</v>
      </c>
      <c r="E224" s="203" t="s">
        <v>1</v>
      </c>
      <c r="F224" s="204" t="s">
        <v>156</v>
      </c>
      <c r="H224" s="203" t="s">
        <v>1</v>
      </c>
      <c r="I224" s="235"/>
      <c r="L224" s="202"/>
      <c r="M224" s="205"/>
      <c r="N224" s="206"/>
      <c r="O224" s="206"/>
      <c r="P224" s="206"/>
      <c r="Q224" s="206"/>
      <c r="R224" s="206"/>
      <c r="S224" s="206"/>
      <c r="T224" s="207"/>
      <c r="AT224" s="203" t="s">
        <v>148</v>
      </c>
      <c r="AU224" s="203" t="s">
        <v>87</v>
      </c>
      <c r="AV224" s="201" t="s">
        <v>85</v>
      </c>
      <c r="AW224" s="201" t="s">
        <v>34</v>
      </c>
      <c r="AX224" s="201" t="s">
        <v>78</v>
      </c>
      <c r="AY224" s="203" t="s">
        <v>139</v>
      </c>
    </row>
    <row r="225" spans="2:51" s="187" customFormat="1" ht="12">
      <c r="B225" s="188"/>
      <c r="D225" s="189" t="s">
        <v>148</v>
      </c>
      <c r="E225" s="190" t="s">
        <v>1</v>
      </c>
      <c r="F225" s="191" t="s">
        <v>293</v>
      </c>
      <c r="H225" s="192">
        <v>41.51</v>
      </c>
      <c r="I225" s="233"/>
      <c r="L225" s="188"/>
      <c r="M225" s="193"/>
      <c r="N225" s="194"/>
      <c r="O225" s="194"/>
      <c r="P225" s="194"/>
      <c r="Q225" s="194"/>
      <c r="R225" s="194"/>
      <c r="S225" s="194"/>
      <c r="T225" s="195"/>
      <c r="AT225" s="190" t="s">
        <v>148</v>
      </c>
      <c r="AU225" s="190" t="s">
        <v>87</v>
      </c>
      <c r="AV225" s="187" t="s">
        <v>87</v>
      </c>
      <c r="AW225" s="187" t="s">
        <v>34</v>
      </c>
      <c r="AX225" s="187" t="s">
        <v>85</v>
      </c>
      <c r="AY225" s="190" t="s">
        <v>139</v>
      </c>
    </row>
    <row r="226" spans="1:65" s="95" customFormat="1" ht="33" customHeight="1">
      <c r="A226" s="91"/>
      <c r="B226" s="92"/>
      <c r="C226" s="175" t="s">
        <v>294</v>
      </c>
      <c r="D226" s="175" t="s">
        <v>141</v>
      </c>
      <c r="E226" s="176" t="s">
        <v>295</v>
      </c>
      <c r="F226" s="177" t="s">
        <v>296</v>
      </c>
      <c r="G226" s="178" t="s">
        <v>297</v>
      </c>
      <c r="H226" s="179">
        <v>4</v>
      </c>
      <c r="I226" s="69"/>
      <c r="J226" s="180">
        <f>ROUND(I226*H226,2)</f>
        <v>0</v>
      </c>
      <c r="K226" s="177" t="s">
        <v>145</v>
      </c>
      <c r="L226" s="92"/>
      <c r="M226" s="181" t="s">
        <v>1</v>
      </c>
      <c r="N226" s="182" t="s">
        <v>44</v>
      </c>
      <c r="O226" s="183">
        <v>0.074</v>
      </c>
      <c r="P226" s="183">
        <f>O226*H226</f>
        <v>0.296</v>
      </c>
      <c r="Q226" s="183">
        <v>0.00165</v>
      </c>
      <c r="R226" s="183">
        <f>Q226*H226</f>
        <v>0.0066</v>
      </c>
      <c r="S226" s="183">
        <v>0</v>
      </c>
      <c r="T226" s="184">
        <f>S226*H226</f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146</v>
      </c>
      <c r="AT226" s="185" t="s">
        <v>141</v>
      </c>
      <c r="AU226" s="185" t="s">
        <v>87</v>
      </c>
      <c r="AY226" s="83" t="s">
        <v>139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83" t="s">
        <v>85</v>
      </c>
      <c r="BK226" s="186">
        <f>ROUND(I226*H226,2)</f>
        <v>0</v>
      </c>
      <c r="BL226" s="83" t="s">
        <v>146</v>
      </c>
      <c r="BM226" s="185" t="s">
        <v>298</v>
      </c>
    </row>
    <row r="227" spans="2:51" s="187" customFormat="1" ht="12">
      <c r="B227" s="188"/>
      <c r="D227" s="189" t="s">
        <v>148</v>
      </c>
      <c r="E227" s="190" t="s">
        <v>1</v>
      </c>
      <c r="F227" s="191" t="s">
        <v>146</v>
      </c>
      <c r="H227" s="192">
        <v>4</v>
      </c>
      <c r="I227" s="233"/>
      <c r="L227" s="188"/>
      <c r="M227" s="193"/>
      <c r="N227" s="194"/>
      <c r="O227" s="194"/>
      <c r="P227" s="194"/>
      <c r="Q227" s="194"/>
      <c r="R227" s="194"/>
      <c r="S227" s="194"/>
      <c r="T227" s="195"/>
      <c r="AT227" s="190" t="s">
        <v>148</v>
      </c>
      <c r="AU227" s="190" t="s">
        <v>87</v>
      </c>
      <c r="AV227" s="187" t="s">
        <v>87</v>
      </c>
      <c r="AW227" s="187" t="s">
        <v>34</v>
      </c>
      <c r="AX227" s="187" t="s">
        <v>85</v>
      </c>
      <c r="AY227" s="190" t="s">
        <v>139</v>
      </c>
    </row>
    <row r="228" spans="1:65" s="95" customFormat="1" ht="16.5" customHeight="1">
      <c r="A228" s="91"/>
      <c r="B228" s="92"/>
      <c r="C228" s="217" t="s">
        <v>299</v>
      </c>
      <c r="D228" s="217" t="s">
        <v>251</v>
      </c>
      <c r="E228" s="218" t="s">
        <v>300</v>
      </c>
      <c r="F228" s="219" t="s">
        <v>301</v>
      </c>
      <c r="G228" s="220" t="s">
        <v>297</v>
      </c>
      <c r="H228" s="221">
        <v>4</v>
      </c>
      <c r="I228" s="70"/>
      <c r="J228" s="222">
        <f>ROUND(I228*H228,2)</f>
        <v>0</v>
      </c>
      <c r="K228" s="219" t="s">
        <v>1</v>
      </c>
      <c r="L228" s="223"/>
      <c r="M228" s="224" t="s">
        <v>1</v>
      </c>
      <c r="N228" s="225" t="s">
        <v>44</v>
      </c>
      <c r="O228" s="183">
        <v>0</v>
      </c>
      <c r="P228" s="183">
        <f>O228*H228</f>
        <v>0</v>
      </c>
      <c r="Q228" s="183">
        <v>0.006</v>
      </c>
      <c r="R228" s="183">
        <f>Q228*H228</f>
        <v>0.024</v>
      </c>
      <c r="S228" s="183">
        <v>0</v>
      </c>
      <c r="T228" s="184">
        <f>S228*H228</f>
        <v>0</v>
      </c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R228" s="185" t="s">
        <v>187</v>
      </c>
      <c r="AT228" s="185" t="s">
        <v>251</v>
      </c>
      <c r="AU228" s="185" t="s">
        <v>87</v>
      </c>
      <c r="AY228" s="83" t="s">
        <v>139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83" t="s">
        <v>85</v>
      </c>
      <c r="BK228" s="186">
        <f>ROUND(I228*H228,2)</f>
        <v>0</v>
      </c>
      <c r="BL228" s="83" t="s">
        <v>146</v>
      </c>
      <c r="BM228" s="185" t="s">
        <v>302</v>
      </c>
    </row>
    <row r="229" spans="1:65" s="95" customFormat="1" ht="33" customHeight="1">
      <c r="A229" s="91"/>
      <c r="B229" s="92"/>
      <c r="C229" s="175" t="s">
        <v>303</v>
      </c>
      <c r="D229" s="175" t="s">
        <v>141</v>
      </c>
      <c r="E229" s="176" t="s">
        <v>304</v>
      </c>
      <c r="F229" s="177" t="s">
        <v>305</v>
      </c>
      <c r="G229" s="178" t="s">
        <v>194</v>
      </c>
      <c r="H229" s="179">
        <v>0.231</v>
      </c>
      <c r="I229" s="69"/>
      <c r="J229" s="180">
        <f>ROUND(I229*H229,2)</f>
        <v>0</v>
      </c>
      <c r="K229" s="177" t="s">
        <v>145</v>
      </c>
      <c r="L229" s="92"/>
      <c r="M229" s="181" t="s">
        <v>1</v>
      </c>
      <c r="N229" s="182" t="s">
        <v>44</v>
      </c>
      <c r="O229" s="183">
        <v>1.208</v>
      </c>
      <c r="P229" s="183">
        <f>O229*H229</f>
        <v>0.279048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R229" s="185" t="s">
        <v>146</v>
      </c>
      <c r="AT229" s="185" t="s">
        <v>141</v>
      </c>
      <c r="AU229" s="185" t="s">
        <v>87</v>
      </c>
      <c r="AY229" s="83" t="s">
        <v>139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83" t="s">
        <v>85</v>
      </c>
      <c r="BK229" s="186">
        <f>ROUND(I229*H229,2)</f>
        <v>0</v>
      </c>
      <c r="BL229" s="83" t="s">
        <v>146</v>
      </c>
      <c r="BM229" s="185" t="s">
        <v>306</v>
      </c>
    </row>
    <row r="230" spans="2:51" s="201" customFormat="1" ht="12">
      <c r="B230" s="202"/>
      <c r="D230" s="189" t="s">
        <v>148</v>
      </c>
      <c r="E230" s="203" t="s">
        <v>1</v>
      </c>
      <c r="F230" s="204" t="s">
        <v>307</v>
      </c>
      <c r="H230" s="203" t="s">
        <v>1</v>
      </c>
      <c r="I230" s="235"/>
      <c r="L230" s="202"/>
      <c r="M230" s="205"/>
      <c r="N230" s="206"/>
      <c r="O230" s="206"/>
      <c r="P230" s="206"/>
      <c r="Q230" s="206"/>
      <c r="R230" s="206"/>
      <c r="S230" s="206"/>
      <c r="T230" s="207"/>
      <c r="AT230" s="203" t="s">
        <v>148</v>
      </c>
      <c r="AU230" s="203" t="s">
        <v>87</v>
      </c>
      <c r="AV230" s="201" t="s">
        <v>85</v>
      </c>
      <c r="AW230" s="201" t="s">
        <v>34</v>
      </c>
      <c r="AX230" s="201" t="s">
        <v>78</v>
      </c>
      <c r="AY230" s="203" t="s">
        <v>139</v>
      </c>
    </row>
    <row r="231" spans="2:51" s="187" customFormat="1" ht="12">
      <c r="B231" s="188"/>
      <c r="D231" s="189" t="s">
        <v>148</v>
      </c>
      <c r="E231" s="190" t="s">
        <v>1</v>
      </c>
      <c r="F231" s="191" t="s">
        <v>308</v>
      </c>
      <c r="H231" s="192">
        <v>0.12</v>
      </c>
      <c r="I231" s="233"/>
      <c r="L231" s="188"/>
      <c r="M231" s="193"/>
      <c r="N231" s="194"/>
      <c r="O231" s="194"/>
      <c r="P231" s="194"/>
      <c r="Q231" s="194"/>
      <c r="R231" s="194"/>
      <c r="S231" s="194"/>
      <c r="T231" s="195"/>
      <c r="AT231" s="190" t="s">
        <v>148</v>
      </c>
      <c r="AU231" s="190" t="s">
        <v>87</v>
      </c>
      <c r="AV231" s="187" t="s">
        <v>87</v>
      </c>
      <c r="AW231" s="187" t="s">
        <v>34</v>
      </c>
      <c r="AX231" s="187" t="s">
        <v>78</v>
      </c>
      <c r="AY231" s="190" t="s">
        <v>139</v>
      </c>
    </row>
    <row r="232" spans="2:51" s="187" customFormat="1" ht="12">
      <c r="B232" s="188"/>
      <c r="D232" s="189" t="s">
        <v>148</v>
      </c>
      <c r="E232" s="190" t="s">
        <v>1</v>
      </c>
      <c r="F232" s="191" t="s">
        <v>309</v>
      </c>
      <c r="H232" s="192">
        <v>0.045</v>
      </c>
      <c r="I232" s="233"/>
      <c r="L232" s="188"/>
      <c r="M232" s="193"/>
      <c r="N232" s="194"/>
      <c r="O232" s="194"/>
      <c r="P232" s="194"/>
      <c r="Q232" s="194"/>
      <c r="R232" s="194"/>
      <c r="S232" s="194"/>
      <c r="T232" s="195"/>
      <c r="AT232" s="190" t="s">
        <v>148</v>
      </c>
      <c r="AU232" s="190" t="s">
        <v>87</v>
      </c>
      <c r="AV232" s="187" t="s">
        <v>87</v>
      </c>
      <c r="AW232" s="187" t="s">
        <v>34</v>
      </c>
      <c r="AX232" s="187" t="s">
        <v>78</v>
      </c>
      <c r="AY232" s="190" t="s">
        <v>139</v>
      </c>
    </row>
    <row r="233" spans="2:51" s="187" customFormat="1" ht="12">
      <c r="B233" s="188"/>
      <c r="D233" s="189" t="s">
        <v>148</v>
      </c>
      <c r="E233" s="190" t="s">
        <v>1</v>
      </c>
      <c r="F233" s="191" t="s">
        <v>310</v>
      </c>
      <c r="H233" s="192">
        <v>0.066</v>
      </c>
      <c r="I233" s="233"/>
      <c r="L233" s="188"/>
      <c r="M233" s="193"/>
      <c r="N233" s="194"/>
      <c r="O233" s="194"/>
      <c r="P233" s="194"/>
      <c r="Q233" s="194"/>
      <c r="R233" s="194"/>
      <c r="S233" s="194"/>
      <c r="T233" s="195"/>
      <c r="AT233" s="190" t="s">
        <v>148</v>
      </c>
      <c r="AU233" s="190" t="s">
        <v>87</v>
      </c>
      <c r="AV233" s="187" t="s">
        <v>87</v>
      </c>
      <c r="AW233" s="187" t="s">
        <v>34</v>
      </c>
      <c r="AX233" s="187" t="s">
        <v>78</v>
      </c>
      <c r="AY233" s="190" t="s">
        <v>139</v>
      </c>
    </row>
    <row r="234" spans="2:51" s="208" customFormat="1" ht="12">
      <c r="B234" s="209"/>
      <c r="D234" s="189" t="s">
        <v>148</v>
      </c>
      <c r="E234" s="210" t="s">
        <v>1</v>
      </c>
      <c r="F234" s="211" t="s">
        <v>159</v>
      </c>
      <c r="H234" s="212">
        <v>0.231</v>
      </c>
      <c r="I234" s="236"/>
      <c r="L234" s="209"/>
      <c r="M234" s="213"/>
      <c r="N234" s="214"/>
      <c r="O234" s="214"/>
      <c r="P234" s="214"/>
      <c r="Q234" s="214"/>
      <c r="R234" s="214"/>
      <c r="S234" s="214"/>
      <c r="T234" s="215"/>
      <c r="AT234" s="210" t="s">
        <v>148</v>
      </c>
      <c r="AU234" s="210" t="s">
        <v>87</v>
      </c>
      <c r="AV234" s="208" t="s">
        <v>146</v>
      </c>
      <c r="AW234" s="208" t="s">
        <v>34</v>
      </c>
      <c r="AX234" s="208" t="s">
        <v>85</v>
      </c>
      <c r="AY234" s="210" t="s">
        <v>139</v>
      </c>
    </row>
    <row r="235" spans="2:63" s="162" customFormat="1" ht="22.9" customHeight="1">
      <c r="B235" s="163"/>
      <c r="D235" s="164" t="s">
        <v>77</v>
      </c>
      <c r="E235" s="173" t="s">
        <v>168</v>
      </c>
      <c r="F235" s="173" t="s">
        <v>311</v>
      </c>
      <c r="I235" s="237"/>
      <c r="J235" s="174">
        <f>SUM(J236:J261)</f>
        <v>0</v>
      </c>
      <c r="L235" s="163"/>
      <c r="M235" s="167"/>
      <c r="N235" s="168"/>
      <c r="O235" s="168"/>
      <c r="P235" s="169">
        <f>SUM(P236:P263)</f>
        <v>64.87411200000001</v>
      </c>
      <c r="Q235" s="168"/>
      <c r="R235" s="169">
        <f>SUM(R236:R263)</f>
        <v>0.31815</v>
      </c>
      <c r="S235" s="168"/>
      <c r="T235" s="170">
        <f>SUM(T236:T263)</f>
        <v>0</v>
      </c>
      <c r="AR235" s="164" t="s">
        <v>85</v>
      </c>
      <c r="AT235" s="171" t="s">
        <v>77</v>
      </c>
      <c r="AU235" s="171" t="s">
        <v>85</v>
      </c>
      <c r="AY235" s="164" t="s">
        <v>139</v>
      </c>
      <c r="BK235" s="172">
        <f>SUM(BK236:BK263)</f>
        <v>0</v>
      </c>
    </row>
    <row r="236" spans="1:65" s="95" customFormat="1" ht="24">
      <c r="A236" s="91"/>
      <c r="B236" s="92"/>
      <c r="C236" s="175">
        <v>31</v>
      </c>
      <c r="D236" s="175" t="s">
        <v>141</v>
      </c>
      <c r="E236" s="176" t="s">
        <v>319</v>
      </c>
      <c r="F236" s="177" t="s">
        <v>320</v>
      </c>
      <c r="G236" s="178" t="s">
        <v>144</v>
      </c>
      <c r="H236" s="179">
        <v>213.631</v>
      </c>
      <c r="I236" s="69"/>
      <c r="J236" s="180">
        <f>ROUND(I236*H236,2)</f>
        <v>0</v>
      </c>
      <c r="K236" s="177" t="s">
        <v>1</v>
      </c>
      <c r="L236" s="92"/>
      <c r="M236" s="181" t="s">
        <v>1</v>
      </c>
      <c r="N236" s="182" t="s">
        <v>44</v>
      </c>
      <c r="O236" s="183">
        <v>0.041</v>
      </c>
      <c r="P236" s="183">
        <f>O236*H236</f>
        <v>8.758871000000001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146</v>
      </c>
      <c r="AT236" s="185" t="s">
        <v>141</v>
      </c>
      <c r="AU236" s="185" t="s">
        <v>87</v>
      </c>
      <c r="AY236" s="83" t="s">
        <v>139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83" t="s">
        <v>85</v>
      </c>
      <c r="BK236" s="186">
        <f>ROUND(I236*H236,2)</f>
        <v>0</v>
      </c>
      <c r="BL236" s="83" t="s">
        <v>146</v>
      </c>
      <c r="BM236" s="185" t="s">
        <v>321</v>
      </c>
    </row>
    <row r="237" spans="2:51" s="201" customFormat="1" ht="12">
      <c r="B237" s="202"/>
      <c r="D237" s="189" t="s">
        <v>148</v>
      </c>
      <c r="E237" s="203" t="s">
        <v>1</v>
      </c>
      <c r="F237" s="204" t="s">
        <v>206</v>
      </c>
      <c r="H237" s="203" t="s">
        <v>1</v>
      </c>
      <c r="I237" s="235"/>
      <c r="L237" s="202"/>
      <c r="M237" s="205"/>
      <c r="N237" s="206"/>
      <c r="O237" s="206"/>
      <c r="P237" s="206"/>
      <c r="Q237" s="206"/>
      <c r="R237" s="206"/>
      <c r="S237" s="206"/>
      <c r="T237" s="207"/>
      <c r="AT237" s="203" t="s">
        <v>148</v>
      </c>
      <c r="AU237" s="203" t="s">
        <v>87</v>
      </c>
      <c r="AV237" s="201" t="s">
        <v>85</v>
      </c>
      <c r="AW237" s="201" t="s">
        <v>34</v>
      </c>
      <c r="AX237" s="201" t="s">
        <v>78</v>
      </c>
      <c r="AY237" s="203" t="s">
        <v>139</v>
      </c>
    </row>
    <row r="238" spans="2:51" s="187" customFormat="1" ht="12">
      <c r="B238" s="188"/>
      <c r="D238" s="189" t="s">
        <v>148</v>
      </c>
      <c r="E238" s="190" t="s">
        <v>1</v>
      </c>
      <c r="F238" s="191" t="s">
        <v>316</v>
      </c>
      <c r="H238" s="192">
        <v>213.631</v>
      </c>
      <c r="I238" s="233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0" t="s">
        <v>148</v>
      </c>
      <c r="AU238" s="190" t="s">
        <v>87</v>
      </c>
      <c r="AV238" s="187" t="s">
        <v>87</v>
      </c>
      <c r="AW238" s="187" t="s">
        <v>34</v>
      </c>
      <c r="AX238" s="187" t="s">
        <v>85</v>
      </c>
      <c r="AY238" s="190" t="s">
        <v>139</v>
      </c>
    </row>
    <row r="239" spans="1:65" s="95" customFormat="1" ht="33" customHeight="1">
      <c r="A239" s="91"/>
      <c r="B239" s="92"/>
      <c r="C239" s="175">
        <v>32</v>
      </c>
      <c r="D239" s="175" t="s">
        <v>141</v>
      </c>
      <c r="E239" s="176" t="s">
        <v>1545</v>
      </c>
      <c r="F239" s="177" t="s">
        <v>1528</v>
      </c>
      <c r="G239" s="178" t="s">
        <v>144</v>
      </c>
      <c r="H239" s="179">
        <f>H242</f>
        <v>213.63100000000003</v>
      </c>
      <c r="I239" s="69"/>
      <c r="J239" s="180">
        <f>ROUND(I239*H239,2)</f>
        <v>0</v>
      </c>
      <c r="K239" s="177" t="s">
        <v>145</v>
      </c>
      <c r="L239" s="92"/>
      <c r="M239" s="181" t="s">
        <v>1</v>
      </c>
      <c r="N239" s="182" t="s">
        <v>44</v>
      </c>
      <c r="O239" s="183">
        <v>0.024</v>
      </c>
      <c r="P239" s="183">
        <f>O239*H239</f>
        <v>5.127144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85" t="s">
        <v>146</v>
      </c>
      <c r="AT239" s="185" t="s">
        <v>141</v>
      </c>
      <c r="AU239" s="185" t="s">
        <v>87</v>
      </c>
      <c r="AY239" s="83" t="s">
        <v>139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83" t="s">
        <v>85</v>
      </c>
      <c r="BK239" s="186">
        <f>ROUND(I239*H239,2)</f>
        <v>0</v>
      </c>
      <c r="BL239" s="83" t="s">
        <v>146</v>
      </c>
      <c r="BM239" s="185" t="s">
        <v>1527</v>
      </c>
    </row>
    <row r="240" spans="2:51" s="201" customFormat="1" ht="12">
      <c r="B240" s="202"/>
      <c r="D240" s="189" t="s">
        <v>148</v>
      </c>
      <c r="E240" s="203" t="s">
        <v>1</v>
      </c>
      <c r="F240" s="204" t="s">
        <v>315</v>
      </c>
      <c r="H240" s="203" t="s">
        <v>1</v>
      </c>
      <c r="I240" s="235"/>
      <c r="L240" s="202"/>
      <c r="M240" s="205"/>
      <c r="N240" s="206"/>
      <c r="O240" s="206"/>
      <c r="P240" s="206"/>
      <c r="Q240" s="206"/>
      <c r="R240" s="206"/>
      <c r="S240" s="206"/>
      <c r="T240" s="207"/>
      <c r="AT240" s="203" t="s">
        <v>148</v>
      </c>
      <c r="AU240" s="203" t="s">
        <v>87</v>
      </c>
      <c r="AV240" s="201" t="s">
        <v>85</v>
      </c>
      <c r="AW240" s="201" t="s">
        <v>34</v>
      </c>
      <c r="AX240" s="201" t="s">
        <v>78</v>
      </c>
      <c r="AY240" s="203" t="s">
        <v>139</v>
      </c>
    </row>
    <row r="241" spans="2:51" s="201" customFormat="1" ht="22.5">
      <c r="B241" s="202"/>
      <c r="D241" s="189" t="s">
        <v>148</v>
      </c>
      <c r="E241" s="203" t="s">
        <v>1</v>
      </c>
      <c r="F241" s="204" t="s">
        <v>323</v>
      </c>
      <c r="H241" s="203" t="s">
        <v>1</v>
      </c>
      <c r="I241" s="235"/>
      <c r="L241" s="202"/>
      <c r="M241" s="205"/>
      <c r="N241" s="206"/>
      <c r="O241" s="206"/>
      <c r="P241" s="206"/>
      <c r="Q241" s="206"/>
      <c r="R241" s="206"/>
      <c r="S241" s="206"/>
      <c r="T241" s="207"/>
      <c r="AT241" s="203" t="s">
        <v>148</v>
      </c>
      <c r="AU241" s="203" t="s">
        <v>87</v>
      </c>
      <c r="AV241" s="201" t="s">
        <v>85</v>
      </c>
      <c r="AW241" s="201" t="s">
        <v>34</v>
      </c>
      <c r="AX241" s="201" t="s">
        <v>78</v>
      </c>
      <c r="AY241" s="203" t="s">
        <v>139</v>
      </c>
    </row>
    <row r="242" spans="2:51" s="187" customFormat="1" ht="12">
      <c r="B242" s="188"/>
      <c r="D242" s="189" t="s">
        <v>148</v>
      </c>
      <c r="E242" s="190" t="s">
        <v>1</v>
      </c>
      <c r="F242" s="191" t="s">
        <v>316</v>
      </c>
      <c r="H242" s="192">
        <f>(190.19+4.02)*1.1</f>
        <v>213.63100000000003</v>
      </c>
      <c r="I242" s="233"/>
      <c r="L242" s="188"/>
      <c r="M242" s="193"/>
      <c r="N242" s="194"/>
      <c r="O242" s="194"/>
      <c r="P242" s="194"/>
      <c r="Q242" s="194"/>
      <c r="R242" s="194"/>
      <c r="S242" s="194"/>
      <c r="T242" s="195"/>
      <c r="AT242" s="190" t="s">
        <v>148</v>
      </c>
      <c r="AU242" s="190" t="s">
        <v>87</v>
      </c>
      <c r="AV242" s="187" t="s">
        <v>87</v>
      </c>
      <c r="AW242" s="187" t="s">
        <v>34</v>
      </c>
      <c r="AX242" s="187" t="s">
        <v>85</v>
      </c>
      <c r="AY242" s="190" t="s">
        <v>139</v>
      </c>
    </row>
    <row r="243" spans="1:65" s="95" customFormat="1" ht="24.2" customHeight="1">
      <c r="A243" s="91"/>
      <c r="B243" s="92"/>
      <c r="C243" s="175">
        <v>33</v>
      </c>
      <c r="D243" s="175" t="s">
        <v>141</v>
      </c>
      <c r="E243" s="176" t="s">
        <v>1547</v>
      </c>
      <c r="F243" s="177" t="s">
        <v>1546</v>
      </c>
      <c r="G243" s="178" t="s">
        <v>144</v>
      </c>
      <c r="H243" s="179">
        <f>H239</f>
        <v>213.63100000000003</v>
      </c>
      <c r="I243" s="69"/>
      <c r="J243" s="180">
        <f>ROUND(I243*H243,2)</f>
        <v>0</v>
      </c>
      <c r="K243" s="177" t="s">
        <v>1</v>
      </c>
      <c r="L243" s="92"/>
      <c r="M243" s="181" t="s">
        <v>1</v>
      </c>
      <c r="N243" s="182" t="s">
        <v>44</v>
      </c>
      <c r="O243" s="183">
        <v>0.024</v>
      </c>
      <c r="P243" s="183">
        <f>O243*H243</f>
        <v>5.127144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R243" s="185" t="s">
        <v>146</v>
      </c>
      <c r="AT243" s="185" t="s">
        <v>141</v>
      </c>
      <c r="AU243" s="185" t="s">
        <v>87</v>
      </c>
      <c r="AY243" s="83" t="s">
        <v>139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83" t="s">
        <v>85</v>
      </c>
      <c r="BK243" s="186">
        <f>ROUND(I243*H243,2)</f>
        <v>0</v>
      </c>
      <c r="BL243" s="83" t="s">
        <v>146</v>
      </c>
      <c r="BM243" s="185" t="s">
        <v>1080</v>
      </c>
    </row>
    <row r="244" spans="2:51" s="201" customFormat="1" ht="12">
      <c r="B244" s="202"/>
      <c r="D244" s="189" t="s">
        <v>148</v>
      </c>
      <c r="E244" s="203" t="s">
        <v>1</v>
      </c>
      <c r="F244" s="204" t="s">
        <v>315</v>
      </c>
      <c r="H244" s="203" t="s">
        <v>1</v>
      </c>
      <c r="I244" s="235"/>
      <c r="L244" s="202"/>
      <c r="M244" s="205"/>
      <c r="N244" s="206"/>
      <c r="O244" s="206"/>
      <c r="P244" s="206"/>
      <c r="Q244" s="206"/>
      <c r="R244" s="206"/>
      <c r="S244" s="206"/>
      <c r="T244" s="207"/>
      <c r="AT244" s="203" t="s">
        <v>148</v>
      </c>
      <c r="AU244" s="203" t="s">
        <v>87</v>
      </c>
      <c r="AV244" s="201" t="s">
        <v>85</v>
      </c>
      <c r="AW244" s="201" t="s">
        <v>34</v>
      </c>
      <c r="AX244" s="201" t="s">
        <v>78</v>
      </c>
      <c r="AY244" s="203" t="s">
        <v>139</v>
      </c>
    </row>
    <row r="245" spans="1:65" s="95" customFormat="1" ht="44.25" customHeight="1">
      <c r="A245" s="91"/>
      <c r="B245" s="92"/>
      <c r="C245" s="175" t="s">
        <v>324</v>
      </c>
      <c r="D245" s="175" t="s">
        <v>141</v>
      </c>
      <c r="E245" s="176" t="s">
        <v>325</v>
      </c>
      <c r="F245" s="177" t="s">
        <v>326</v>
      </c>
      <c r="G245" s="178" t="s">
        <v>144</v>
      </c>
      <c r="H245" s="179">
        <v>213.631</v>
      </c>
      <c r="I245" s="69"/>
      <c r="J245" s="180">
        <f>ROUND(I245*H245,2)</f>
        <v>0</v>
      </c>
      <c r="K245" s="177" t="s">
        <v>145</v>
      </c>
      <c r="L245" s="92"/>
      <c r="M245" s="181" t="s">
        <v>1</v>
      </c>
      <c r="N245" s="182" t="s">
        <v>44</v>
      </c>
      <c r="O245" s="183">
        <v>0.048</v>
      </c>
      <c r="P245" s="183">
        <f>O245*H245</f>
        <v>10.254288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R245" s="185" t="s">
        <v>146</v>
      </c>
      <c r="AT245" s="185" t="s">
        <v>141</v>
      </c>
      <c r="AU245" s="185" t="s">
        <v>87</v>
      </c>
      <c r="AY245" s="83" t="s">
        <v>139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83" t="s">
        <v>85</v>
      </c>
      <c r="BK245" s="186">
        <f>ROUND(I245*H245,2)</f>
        <v>0</v>
      </c>
      <c r="BL245" s="83" t="s">
        <v>146</v>
      </c>
      <c r="BM245" s="185" t="s">
        <v>327</v>
      </c>
    </row>
    <row r="246" spans="2:51" s="201" customFormat="1" ht="12">
      <c r="B246" s="202"/>
      <c r="D246" s="189" t="s">
        <v>148</v>
      </c>
      <c r="E246" s="203" t="s">
        <v>1</v>
      </c>
      <c r="F246" s="204" t="s">
        <v>206</v>
      </c>
      <c r="H246" s="203" t="s">
        <v>1</v>
      </c>
      <c r="I246" s="235"/>
      <c r="L246" s="202"/>
      <c r="M246" s="205"/>
      <c r="N246" s="206"/>
      <c r="O246" s="206"/>
      <c r="P246" s="206"/>
      <c r="Q246" s="206"/>
      <c r="R246" s="206"/>
      <c r="S246" s="206"/>
      <c r="T246" s="207"/>
      <c r="AT246" s="203" t="s">
        <v>148</v>
      </c>
      <c r="AU246" s="203" t="s">
        <v>87</v>
      </c>
      <c r="AV246" s="201" t="s">
        <v>85</v>
      </c>
      <c r="AW246" s="201" t="s">
        <v>34</v>
      </c>
      <c r="AX246" s="201" t="s">
        <v>78</v>
      </c>
      <c r="AY246" s="203" t="s">
        <v>139</v>
      </c>
    </row>
    <row r="247" spans="2:51" s="187" customFormat="1" ht="12">
      <c r="B247" s="188"/>
      <c r="D247" s="189" t="s">
        <v>148</v>
      </c>
      <c r="E247" s="190" t="s">
        <v>1</v>
      </c>
      <c r="F247" s="191" t="s">
        <v>316</v>
      </c>
      <c r="H247" s="192">
        <v>213.631</v>
      </c>
      <c r="I247" s="233"/>
      <c r="L247" s="188"/>
      <c r="M247" s="193"/>
      <c r="N247" s="194"/>
      <c r="O247" s="194"/>
      <c r="P247" s="194"/>
      <c r="Q247" s="194"/>
      <c r="R247" s="194"/>
      <c r="S247" s="194"/>
      <c r="T247" s="195"/>
      <c r="AT247" s="190" t="s">
        <v>148</v>
      </c>
      <c r="AU247" s="190" t="s">
        <v>87</v>
      </c>
      <c r="AV247" s="187" t="s">
        <v>87</v>
      </c>
      <c r="AW247" s="187" t="s">
        <v>34</v>
      </c>
      <c r="AX247" s="187" t="s">
        <v>85</v>
      </c>
      <c r="AY247" s="190" t="s">
        <v>139</v>
      </c>
    </row>
    <row r="248" spans="1:65" s="95" customFormat="1" ht="24">
      <c r="A248" s="91"/>
      <c r="B248" s="92"/>
      <c r="C248" s="175" t="s">
        <v>328</v>
      </c>
      <c r="D248" s="175" t="s">
        <v>141</v>
      </c>
      <c r="E248" s="176" t="s">
        <v>329</v>
      </c>
      <c r="F248" s="177" t="s">
        <v>330</v>
      </c>
      <c r="G248" s="178" t="s">
        <v>144</v>
      </c>
      <c r="H248" s="179">
        <v>213.631</v>
      </c>
      <c r="I248" s="69"/>
      <c r="J248" s="180">
        <f>ROUND(I248*H248,2)</f>
        <v>0</v>
      </c>
      <c r="K248" s="177" t="s">
        <v>145</v>
      </c>
      <c r="L248" s="92"/>
      <c r="M248" s="181" t="s">
        <v>1</v>
      </c>
      <c r="N248" s="182" t="s">
        <v>44</v>
      </c>
      <c r="O248" s="183">
        <v>0.004</v>
      </c>
      <c r="P248" s="183">
        <f>O248*H248</f>
        <v>0.8545240000000001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R248" s="185" t="s">
        <v>146</v>
      </c>
      <c r="AT248" s="185" t="s">
        <v>141</v>
      </c>
      <c r="AU248" s="185" t="s">
        <v>87</v>
      </c>
      <c r="AY248" s="83" t="s">
        <v>139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83" t="s">
        <v>85</v>
      </c>
      <c r="BK248" s="186">
        <f>ROUND(I248*H248,2)</f>
        <v>0</v>
      </c>
      <c r="BL248" s="83" t="s">
        <v>146</v>
      </c>
      <c r="BM248" s="185" t="s">
        <v>331</v>
      </c>
    </row>
    <row r="249" spans="2:51" s="201" customFormat="1" ht="12">
      <c r="B249" s="202"/>
      <c r="D249" s="189" t="s">
        <v>148</v>
      </c>
      <c r="E249" s="203" t="s">
        <v>1</v>
      </c>
      <c r="F249" s="204" t="s">
        <v>206</v>
      </c>
      <c r="H249" s="203" t="s">
        <v>1</v>
      </c>
      <c r="I249" s="235"/>
      <c r="L249" s="202"/>
      <c r="M249" s="205"/>
      <c r="N249" s="206"/>
      <c r="O249" s="206"/>
      <c r="P249" s="206"/>
      <c r="Q249" s="206"/>
      <c r="R249" s="206"/>
      <c r="S249" s="206"/>
      <c r="T249" s="207"/>
      <c r="AT249" s="203" t="s">
        <v>148</v>
      </c>
      <c r="AU249" s="203" t="s">
        <v>87</v>
      </c>
      <c r="AV249" s="201" t="s">
        <v>85</v>
      </c>
      <c r="AW249" s="201" t="s">
        <v>34</v>
      </c>
      <c r="AX249" s="201" t="s">
        <v>78</v>
      </c>
      <c r="AY249" s="203" t="s">
        <v>139</v>
      </c>
    </row>
    <row r="250" spans="2:51" s="187" customFormat="1" ht="12">
      <c r="B250" s="188"/>
      <c r="D250" s="189" t="s">
        <v>148</v>
      </c>
      <c r="E250" s="190" t="s">
        <v>1</v>
      </c>
      <c r="F250" s="191" t="s">
        <v>316</v>
      </c>
      <c r="H250" s="192">
        <v>213.631</v>
      </c>
      <c r="I250" s="233"/>
      <c r="L250" s="188"/>
      <c r="M250" s="193"/>
      <c r="N250" s="194"/>
      <c r="O250" s="194"/>
      <c r="P250" s="194"/>
      <c r="Q250" s="194"/>
      <c r="R250" s="194"/>
      <c r="S250" s="194"/>
      <c r="T250" s="195"/>
      <c r="AT250" s="190" t="s">
        <v>148</v>
      </c>
      <c r="AU250" s="190" t="s">
        <v>87</v>
      </c>
      <c r="AV250" s="187" t="s">
        <v>87</v>
      </c>
      <c r="AW250" s="187" t="s">
        <v>34</v>
      </c>
      <c r="AX250" s="187" t="s">
        <v>85</v>
      </c>
      <c r="AY250" s="190" t="s">
        <v>139</v>
      </c>
    </row>
    <row r="251" spans="1:65" s="95" customFormat="1" ht="24">
      <c r="A251" s="91"/>
      <c r="B251" s="92"/>
      <c r="C251" s="175" t="s">
        <v>332</v>
      </c>
      <c r="D251" s="175" t="s">
        <v>141</v>
      </c>
      <c r="E251" s="176" t="s">
        <v>333</v>
      </c>
      <c r="F251" s="177" t="s">
        <v>334</v>
      </c>
      <c r="G251" s="178" t="s">
        <v>144</v>
      </c>
      <c r="H251" s="179">
        <v>403.821</v>
      </c>
      <c r="I251" s="69"/>
      <c r="J251" s="180">
        <f>ROUND(I251*H251,2)</f>
        <v>0</v>
      </c>
      <c r="K251" s="177" t="s">
        <v>145</v>
      </c>
      <c r="L251" s="92"/>
      <c r="M251" s="181" t="s">
        <v>1</v>
      </c>
      <c r="N251" s="182" t="s">
        <v>44</v>
      </c>
      <c r="O251" s="183">
        <v>0.002</v>
      </c>
      <c r="P251" s="183">
        <f>O251*H251</f>
        <v>0.8076420000000001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R251" s="185" t="s">
        <v>146</v>
      </c>
      <c r="AT251" s="185" t="s">
        <v>141</v>
      </c>
      <c r="AU251" s="185" t="s">
        <v>87</v>
      </c>
      <c r="AY251" s="83" t="s">
        <v>139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83" t="s">
        <v>85</v>
      </c>
      <c r="BK251" s="186">
        <f>ROUND(I251*H251,2)</f>
        <v>0</v>
      </c>
      <c r="BL251" s="83" t="s">
        <v>146</v>
      </c>
      <c r="BM251" s="185" t="s">
        <v>335</v>
      </c>
    </row>
    <row r="252" spans="2:51" s="201" customFormat="1" ht="12">
      <c r="B252" s="202"/>
      <c r="D252" s="189" t="s">
        <v>148</v>
      </c>
      <c r="E252" s="203" t="s">
        <v>1</v>
      </c>
      <c r="F252" s="204" t="s">
        <v>155</v>
      </c>
      <c r="H252" s="203" t="s">
        <v>1</v>
      </c>
      <c r="I252" s="235"/>
      <c r="L252" s="202"/>
      <c r="M252" s="205"/>
      <c r="N252" s="206"/>
      <c r="O252" s="206"/>
      <c r="P252" s="206"/>
      <c r="Q252" s="206"/>
      <c r="R252" s="206"/>
      <c r="S252" s="206"/>
      <c r="T252" s="207"/>
      <c r="AT252" s="203" t="s">
        <v>148</v>
      </c>
      <c r="AU252" s="203" t="s">
        <v>87</v>
      </c>
      <c r="AV252" s="201" t="s">
        <v>85</v>
      </c>
      <c r="AW252" s="201" t="s">
        <v>34</v>
      </c>
      <c r="AX252" s="201" t="s">
        <v>78</v>
      </c>
      <c r="AY252" s="203" t="s">
        <v>139</v>
      </c>
    </row>
    <row r="253" spans="2:51" s="187" customFormat="1" ht="12">
      <c r="B253" s="188"/>
      <c r="D253" s="189" t="s">
        <v>148</v>
      </c>
      <c r="E253" s="190" t="s">
        <v>1</v>
      </c>
      <c r="F253" s="191" t="s">
        <v>161</v>
      </c>
      <c r="H253" s="192">
        <v>399.399</v>
      </c>
      <c r="I253" s="233"/>
      <c r="L253" s="188"/>
      <c r="M253" s="193"/>
      <c r="N253" s="194"/>
      <c r="O253" s="194"/>
      <c r="P253" s="194"/>
      <c r="Q253" s="194"/>
      <c r="R253" s="194"/>
      <c r="S253" s="194"/>
      <c r="T253" s="195"/>
      <c r="AT253" s="190" t="s">
        <v>148</v>
      </c>
      <c r="AU253" s="190" t="s">
        <v>87</v>
      </c>
      <c r="AV253" s="187" t="s">
        <v>87</v>
      </c>
      <c r="AW253" s="187" t="s">
        <v>34</v>
      </c>
      <c r="AX253" s="187" t="s">
        <v>78</v>
      </c>
      <c r="AY253" s="190" t="s">
        <v>139</v>
      </c>
    </row>
    <row r="254" spans="2:51" s="187" customFormat="1" ht="12">
      <c r="B254" s="188"/>
      <c r="D254" s="189" t="s">
        <v>148</v>
      </c>
      <c r="E254" s="190" t="s">
        <v>1</v>
      </c>
      <c r="F254" s="191" t="s">
        <v>336</v>
      </c>
      <c r="H254" s="192">
        <v>4.422</v>
      </c>
      <c r="I254" s="233"/>
      <c r="L254" s="188"/>
      <c r="M254" s="193"/>
      <c r="N254" s="194"/>
      <c r="O254" s="194"/>
      <c r="P254" s="194"/>
      <c r="Q254" s="194"/>
      <c r="R254" s="194"/>
      <c r="S254" s="194"/>
      <c r="T254" s="195"/>
      <c r="AT254" s="190" t="s">
        <v>148</v>
      </c>
      <c r="AU254" s="190" t="s">
        <v>87</v>
      </c>
      <c r="AV254" s="187" t="s">
        <v>87</v>
      </c>
      <c r="AW254" s="187" t="s">
        <v>34</v>
      </c>
      <c r="AX254" s="187" t="s">
        <v>78</v>
      </c>
      <c r="AY254" s="190" t="s">
        <v>139</v>
      </c>
    </row>
    <row r="255" spans="2:51" s="208" customFormat="1" ht="12">
      <c r="B255" s="209"/>
      <c r="D255" s="189" t="s">
        <v>148</v>
      </c>
      <c r="E255" s="210" t="s">
        <v>1</v>
      </c>
      <c r="F255" s="211" t="s">
        <v>159</v>
      </c>
      <c r="H255" s="212">
        <v>403.821</v>
      </c>
      <c r="I255" s="236"/>
      <c r="L255" s="209"/>
      <c r="M255" s="213"/>
      <c r="N255" s="214"/>
      <c r="O255" s="214"/>
      <c r="P255" s="214"/>
      <c r="Q255" s="214"/>
      <c r="R255" s="214"/>
      <c r="S255" s="214"/>
      <c r="T255" s="215"/>
      <c r="AT255" s="210" t="s">
        <v>148</v>
      </c>
      <c r="AU255" s="210" t="s">
        <v>87</v>
      </c>
      <c r="AV255" s="208" t="s">
        <v>146</v>
      </c>
      <c r="AW255" s="208" t="s">
        <v>34</v>
      </c>
      <c r="AX255" s="208" t="s">
        <v>85</v>
      </c>
      <c r="AY255" s="210" t="s">
        <v>139</v>
      </c>
    </row>
    <row r="256" spans="1:65" s="95" customFormat="1" ht="44.25" customHeight="1">
      <c r="A256" s="91"/>
      <c r="B256" s="92"/>
      <c r="C256" s="175" t="s">
        <v>337</v>
      </c>
      <c r="D256" s="175" t="s">
        <v>141</v>
      </c>
      <c r="E256" s="176" t="s">
        <v>338</v>
      </c>
      <c r="F256" s="177" t="s">
        <v>339</v>
      </c>
      <c r="G256" s="178" t="s">
        <v>144</v>
      </c>
      <c r="H256" s="179">
        <v>443.619</v>
      </c>
      <c r="I256" s="69"/>
      <c r="J256" s="180">
        <f>ROUND(I256*H256,2)</f>
        <v>0</v>
      </c>
      <c r="K256" s="177" t="s">
        <v>145</v>
      </c>
      <c r="L256" s="92"/>
      <c r="M256" s="181" t="s">
        <v>1</v>
      </c>
      <c r="N256" s="182" t="s">
        <v>44</v>
      </c>
      <c r="O256" s="183">
        <v>0.071</v>
      </c>
      <c r="P256" s="183">
        <f>O256*H256</f>
        <v>31.496949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R256" s="185" t="s">
        <v>146</v>
      </c>
      <c r="AT256" s="185" t="s">
        <v>141</v>
      </c>
      <c r="AU256" s="185" t="s">
        <v>87</v>
      </c>
      <c r="AY256" s="83" t="s">
        <v>139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83" t="s">
        <v>85</v>
      </c>
      <c r="BK256" s="186">
        <f>ROUND(I256*H256,2)</f>
        <v>0</v>
      </c>
      <c r="BL256" s="83" t="s">
        <v>146</v>
      </c>
      <c r="BM256" s="185" t="s">
        <v>340</v>
      </c>
    </row>
    <row r="257" spans="2:51" s="201" customFormat="1" ht="12">
      <c r="B257" s="202"/>
      <c r="D257" s="189" t="s">
        <v>148</v>
      </c>
      <c r="E257" s="203" t="s">
        <v>1</v>
      </c>
      <c r="F257" s="204" t="s">
        <v>155</v>
      </c>
      <c r="H257" s="203" t="s">
        <v>1</v>
      </c>
      <c r="I257" s="235"/>
      <c r="L257" s="202"/>
      <c r="M257" s="205"/>
      <c r="N257" s="206"/>
      <c r="O257" s="206"/>
      <c r="P257" s="206"/>
      <c r="Q257" s="206"/>
      <c r="R257" s="206"/>
      <c r="S257" s="206"/>
      <c r="T257" s="207"/>
      <c r="AT257" s="203" t="s">
        <v>148</v>
      </c>
      <c r="AU257" s="203" t="s">
        <v>87</v>
      </c>
      <c r="AV257" s="201" t="s">
        <v>85</v>
      </c>
      <c r="AW257" s="201" t="s">
        <v>34</v>
      </c>
      <c r="AX257" s="201" t="s">
        <v>78</v>
      </c>
      <c r="AY257" s="203" t="s">
        <v>139</v>
      </c>
    </row>
    <row r="258" spans="2:51" s="187" customFormat="1" ht="12">
      <c r="B258" s="188"/>
      <c r="D258" s="189" t="s">
        <v>148</v>
      </c>
      <c r="E258" s="190" t="s">
        <v>1</v>
      </c>
      <c r="F258" s="191" t="s">
        <v>161</v>
      </c>
      <c r="H258" s="192">
        <v>399.399</v>
      </c>
      <c r="I258" s="233"/>
      <c r="L258" s="188"/>
      <c r="M258" s="193"/>
      <c r="N258" s="194"/>
      <c r="O258" s="194"/>
      <c r="P258" s="194"/>
      <c r="Q258" s="194"/>
      <c r="R258" s="194"/>
      <c r="S258" s="194"/>
      <c r="T258" s="195"/>
      <c r="AT258" s="190" t="s">
        <v>148</v>
      </c>
      <c r="AU258" s="190" t="s">
        <v>87</v>
      </c>
      <c r="AV258" s="187" t="s">
        <v>87</v>
      </c>
      <c r="AW258" s="187" t="s">
        <v>34</v>
      </c>
      <c r="AX258" s="187" t="s">
        <v>78</v>
      </c>
      <c r="AY258" s="190" t="s">
        <v>139</v>
      </c>
    </row>
    <row r="259" spans="2:51" s="187" customFormat="1" ht="12">
      <c r="B259" s="188"/>
      <c r="D259" s="189" t="s">
        <v>148</v>
      </c>
      <c r="E259" s="190" t="s">
        <v>1</v>
      </c>
      <c r="F259" s="191" t="s">
        <v>341</v>
      </c>
      <c r="H259" s="192">
        <v>44.22</v>
      </c>
      <c r="I259" s="233"/>
      <c r="L259" s="188"/>
      <c r="M259" s="193"/>
      <c r="N259" s="194"/>
      <c r="O259" s="194"/>
      <c r="P259" s="194"/>
      <c r="Q259" s="194"/>
      <c r="R259" s="194"/>
      <c r="S259" s="194"/>
      <c r="T259" s="195"/>
      <c r="AT259" s="190" t="s">
        <v>148</v>
      </c>
      <c r="AU259" s="190" t="s">
        <v>87</v>
      </c>
      <c r="AV259" s="187" t="s">
        <v>87</v>
      </c>
      <c r="AW259" s="187" t="s">
        <v>34</v>
      </c>
      <c r="AX259" s="187" t="s">
        <v>78</v>
      </c>
      <c r="AY259" s="190" t="s">
        <v>139</v>
      </c>
    </row>
    <row r="260" spans="2:51" s="208" customFormat="1" ht="12">
      <c r="B260" s="209"/>
      <c r="D260" s="189" t="s">
        <v>148</v>
      </c>
      <c r="E260" s="210" t="s">
        <v>1</v>
      </c>
      <c r="F260" s="211" t="s">
        <v>159</v>
      </c>
      <c r="H260" s="212">
        <v>443.619</v>
      </c>
      <c r="I260" s="236"/>
      <c r="L260" s="209"/>
      <c r="M260" s="213"/>
      <c r="N260" s="214"/>
      <c r="O260" s="214"/>
      <c r="P260" s="214"/>
      <c r="Q260" s="214"/>
      <c r="R260" s="214"/>
      <c r="S260" s="214"/>
      <c r="T260" s="215"/>
      <c r="AT260" s="210" t="s">
        <v>148</v>
      </c>
      <c r="AU260" s="210" t="s">
        <v>87</v>
      </c>
      <c r="AV260" s="208" t="s">
        <v>146</v>
      </c>
      <c r="AW260" s="208" t="s">
        <v>34</v>
      </c>
      <c r="AX260" s="208" t="s">
        <v>85</v>
      </c>
      <c r="AY260" s="210" t="s">
        <v>139</v>
      </c>
    </row>
    <row r="261" spans="1:65" s="95" customFormat="1" ht="66.75" customHeight="1">
      <c r="A261" s="91"/>
      <c r="B261" s="92"/>
      <c r="C261" s="175" t="s">
        <v>342</v>
      </c>
      <c r="D261" s="175" t="s">
        <v>141</v>
      </c>
      <c r="E261" s="176" t="s">
        <v>343</v>
      </c>
      <c r="F261" s="177" t="s">
        <v>344</v>
      </c>
      <c r="G261" s="178" t="s">
        <v>144</v>
      </c>
      <c r="H261" s="179">
        <v>3.15</v>
      </c>
      <c r="I261" s="69"/>
      <c r="J261" s="180">
        <f>ROUND(I261*H261,2)</f>
        <v>0</v>
      </c>
      <c r="K261" s="177" t="s">
        <v>145</v>
      </c>
      <c r="L261" s="92"/>
      <c r="M261" s="181" t="s">
        <v>1</v>
      </c>
      <c r="N261" s="182" t="s">
        <v>44</v>
      </c>
      <c r="O261" s="183">
        <v>0.777</v>
      </c>
      <c r="P261" s="183">
        <f>O261*H261</f>
        <v>2.44755</v>
      </c>
      <c r="Q261" s="183">
        <v>0.101</v>
      </c>
      <c r="R261" s="183">
        <f>Q261*H261</f>
        <v>0.31815</v>
      </c>
      <c r="S261" s="183">
        <v>0</v>
      </c>
      <c r="T261" s="184">
        <f>S261*H261</f>
        <v>0</v>
      </c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R261" s="185" t="s">
        <v>146</v>
      </c>
      <c r="AT261" s="185" t="s">
        <v>141</v>
      </c>
      <c r="AU261" s="185" t="s">
        <v>87</v>
      </c>
      <c r="AY261" s="83" t="s">
        <v>139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83" t="s">
        <v>85</v>
      </c>
      <c r="BK261" s="186">
        <f>ROUND(I261*H261,2)</f>
        <v>0</v>
      </c>
      <c r="BL261" s="83" t="s">
        <v>146</v>
      </c>
      <c r="BM261" s="185" t="s">
        <v>345</v>
      </c>
    </row>
    <row r="262" spans="2:51" s="201" customFormat="1" ht="12">
      <c r="B262" s="202"/>
      <c r="D262" s="189" t="s">
        <v>148</v>
      </c>
      <c r="E262" s="203" t="s">
        <v>1</v>
      </c>
      <c r="F262" s="204" t="s">
        <v>346</v>
      </c>
      <c r="H262" s="203" t="s">
        <v>1</v>
      </c>
      <c r="I262" s="235"/>
      <c r="L262" s="202"/>
      <c r="M262" s="205"/>
      <c r="N262" s="206"/>
      <c r="O262" s="206"/>
      <c r="P262" s="206"/>
      <c r="Q262" s="206"/>
      <c r="R262" s="206"/>
      <c r="S262" s="206"/>
      <c r="T262" s="207"/>
      <c r="AT262" s="203" t="s">
        <v>148</v>
      </c>
      <c r="AU262" s="203" t="s">
        <v>87</v>
      </c>
      <c r="AV262" s="201" t="s">
        <v>85</v>
      </c>
      <c r="AW262" s="201" t="s">
        <v>34</v>
      </c>
      <c r="AX262" s="201" t="s">
        <v>78</v>
      </c>
      <c r="AY262" s="203" t="s">
        <v>139</v>
      </c>
    </row>
    <row r="263" spans="2:51" s="187" customFormat="1" ht="12">
      <c r="B263" s="188"/>
      <c r="D263" s="189" t="s">
        <v>148</v>
      </c>
      <c r="E263" s="190" t="s">
        <v>1</v>
      </c>
      <c r="F263" s="191" t="s">
        <v>149</v>
      </c>
      <c r="H263" s="192">
        <v>3.15</v>
      </c>
      <c r="I263" s="233"/>
      <c r="L263" s="188"/>
      <c r="M263" s="193"/>
      <c r="N263" s="194"/>
      <c r="O263" s="194"/>
      <c r="P263" s="194"/>
      <c r="Q263" s="194"/>
      <c r="R263" s="194"/>
      <c r="S263" s="194"/>
      <c r="T263" s="195"/>
      <c r="AT263" s="190" t="s">
        <v>148</v>
      </c>
      <c r="AU263" s="190" t="s">
        <v>87</v>
      </c>
      <c r="AV263" s="187" t="s">
        <v>87</v>
      </c>
      <c r="AW263" s="187" t="s">
        <v>34</v>
      </c>
      <c r="AX263" s="187" t="s">
        <v>85</v>
      </c>
      <c r="AY263" s="190" t="s">
        <v>139</v>
      </c>
    </row>
    <row r="264" spans="2:63" s="162" customFormat="1" ht="22.9" customHeight="1">
      <c r="B264" s="163"/>
      <c r="D264" s="164" t="s">
        <v>77</v>
      </c>
      <c r="E264" s="173" t="s">
        <v>187</v>
      </c>
      <c r="F264" s="173" t="s">
        <v>347</v>
      </c>
      <c r="I264" s="237"/>
      <c r="J264" s="174">
        <f>SUM(J265:J356)</f>
        <v>0</v>
      </c>
      <c r="L264" s="163"/>
      <c r="M264" s="167"/>
      <c r="N264" s="168"/>
      <c r="O264" s="168"/>
      <c r="P264" s="169">
        <f>SUM(P265:P358)</f>
        <v>303.6434</v>
      </c>
      <c r="Q264" s="168"/>
      <c r="R264" s="169">
        <f>SUM(R265:R358)</f>
        <v>8.2154322</v>
      </c>
      <c r="S264" s="168"/>
      <c r="T264" s="170">
        <f>SUM(T265:T358)</f>
        <v>1.31142</v>
      </c>
      <c r="AR264" s="164" t="s">
        <v>85</v>
      </c>
      <c r="AT264" s="171" t="s">
        <v>77</v>
      </c>
      <c r="AU264" s="171" t="s">
        <v>85</v>
      </c>
      <c r="AY264" s="164" t="s">
        <v>139</v>
      </c>
      <c r="BK264" s="172">
        <f>SUM(BK265:BK358)</f>
        <v>0</v>
      </c>
    </row>
    <row r="265" spans="1:65" s="95" customFormat="1" ht="24">
      <c r="A265" s="91"/>
      <c r="B265" s="92"/>
      <c r="C265" s="175" t="s">
        <v>348</v>
      </c>
      <c r="D265" s="175" t="s">
        <v>141</v>
      </c>
      <c r="E265" s="176" t="s">
        <v>349</v>
      </c>
      <c r="F265" s="177" t="s">
        <v>350</v>
      </c>
      <c r="G265" s="178" t="s">
        <v>297</v>
      </c>
      <c r="H265" s="179">
        <v>5</v>
      </c>
      <c r="I265" s="69"/>
      <c r="J265" s="180">
        <f>ROUND(I265*H265,2)</f>
        <v>0</v>
      </c>
      <c r="K265" s="177" t="s">
        <v>145</v>
      </c>
      <c r="L265" s="92"/>
      <c r="M265" s="181" t="s">
        <v>1</v>
      </c>
      <c r="N265" s="182" t="s">
        <v>44</v>
      </c>
      <c r="O265" s="183">
        <v>9.183</v>
      </c>
      <c r="P265" s="183">
        <f>O265*H265</f>
        <v>45.915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R265" s="185" t="s">
        <v>146</v>
      </c>
      <c r="AT265" s="185" t="s">
        <v>141</v>
      </c>
      <c r="AU265" s="185" t="s">
        <v>87</v>
      </c>
      <c r="AY265" s="83" t="s">
        <v>139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83" t="s">
        <v>85</v>
      </c>
      <c r="BK265" s="186">
        <f>ROUND(I265*H265,2)</f>
        <v>0</v>
      </c>
      <c r="BL265" s="83" t="s">
        <v>146</v>
      </c>
      <c r="BM265" s="185" t="s">
        <v>351</v>
      </c>
    </row>
    <row r="266" spans="1:65" s="95" customFormat="1" ht="33" customHeight="1">
      <c r="A266" s="91"/>
      <c r="B266" s="92"/>
      <c r="C266" s="175" t="s">
        <v>352</v>
      </c>
      <c r="D266" s="175" t="s">
        <v>141</v>
      </c>
      <c r="E266" s="176" t="s">
        <v>353</v>
      </c>
      <c r="F266" s="177" t="s">
        <v>354</v>
      </c>
      <c r="G266" s="178" t="s">
        <v>171</v>
      </c>
      <c r="H266" s="179">
        <v>251.58</v>
      </c>
      <c r="I266" s="69"/>
      <c r="J266" s="180">
        <f>ROUND(I266*H266,2)</f>
        <v>0</v>
      </c>
      <c r="K266" s="177" t="s">
        <v>145</v>
      </c>
      <c r="L266" s="92"/>
      <c r="M266" s="181" t="s">
        <v>1</v>
      </c>
      <c r="N266" s="182" t="s">
        <v>44</v>
      </c>
      <c r="O266" s="183">
        <v>0.446</v>
      </c>
      <c r="P266" s="183">
        <f>O266*H266</f>
        <v>112.20468000000001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R266" s="185" t="s">
        <v>146</v>
      </c>
      <c r="AT266" s="185" t="s">
        <v>141</v>
      </c>
      <c r="AU266" s="185" t="s">
        <v>87</v>
      </c>
      <c r="AY266" s="83" t="s">
        <v>139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83" t="s">
        <v>85</v>
      </c>
      <c r="BK266" s="186">
        <f>ROUND(I266*H266,2)</f>
        <v>0</v>
      </c>
      <c r="BL266" s="83" t="s">
        <v>146</v>
      </c>
      <c r="BM266" s="185" t="s">
        <v>355</v>
      </c>
    </row>
    <row r="267" spans="2:51" s="201" customFormat="1" ht="12">
      <c r="B267" s="202"/>
      <c r="D267" s="189" t="s">
        <v>148</v>
      </c>
      <c r="E267" s="203" t="s">
        <v>1</v>
      </c>
      <c r="F267" s="204" t="s">
        <v>307</v>
      </c>
      <c r="H267" s="203" t="s">
        <v>1</v>
      </c>
      <c r="I267" s="235"/>
      <c r="L267" s="202"/>
      <c r="M267" s="205"/>
      <c r="N267" s="206"/>
      <c r="O267" s="206"/>
      <c r="P267" s="206"/>
      <c r="Q267" s="206"/>
      <c r="R267" s="206"/>
      <c r="S267" s="206"/>
      <c r="T267" s="207"/>
      <c r="AT267" s="203" t="s">
        <v>148</v>
      </c>
      <c r="AU267" s="203" t="s">
        <v>87</v>
      </c>
      <c r="AV267" s="201" t="s">
        <v>85</v>
      </c>
      <c r="AW267" s="201" t="s">
        <v>34</v>
      </c>
      <c r="AX267" s="201" t="s">
        <v>78</v>
      </c>
      <c r="AY267" s="203" t="s">
        <v>139</v>
      </c>
    </row>
    <row r="268" spans="2:51" s="187" customFormat="1" ht="12">
      <c r="B268" s="188"/>
      <c r="D268" s="189" t="s">
        <v>148</v>
      </c>
      <c r="E268" s="190" t="s">
        <v>1</v>
      </c>
      <c r="F268" s="191" t="s">
        <v>356</v>
      </c>
      <c r="H268" s="192">
        <v>251.58</v>
      </c>
      <c r="I268" s="233"/>
      <c r="L268" s="188"/>
      <c r="M268" s="193"/>
      <c r="N268" s="194"/>
      <c r="O268" s="194"/>
      <c r="P268" s="194"/>
      <c r="Q268" s="194"/>
      <c r="R268" s="194"/>
      <c r="S268" s="194"/>
      <c r="T268" s="195"/>
      <c r="AT268" s="190" t="s">
        <v>148</v>
      </c>
      <c r="AU268" s="190" t="s">
        <v>87</v>
      </c>
      <c r="AV268" s="187" t="s">
        <v>87</v>
      </c>
      <c r="AW268" s="187" t="s">
        <v>34</v>
      </c>
      <c r="AX268" s="187" t="s">
        <v>85</v>
      </c>
      <c r="AY268" s="190" t="s">
        <v>139</v>
      </c>
    </row>
    <row r="269" spans="1:65" s="95" customFormat="1" ht="21.75" customHeight="1">
      <c r="A269" s="91"/>
      <c r="B269" s="92"/>
      <c r="C269" s="217" t="s">
        <v>357</v>
      </c>
      <c r="D269" s="217" t="s">
        <v>251</v>
      </c>
      <c r="E269" s="218" t="s">
        <v>358</v>
      </c>
      <c r="F269" s="219" t="s">
        <v>359</v>
      </c>
      <c r="G269" s="220" t="s">
        <v>171</v>
      </c>
      <c r="H269" s="221">
        <v>251.58</v>
      </c>
      <c r="I269" s="70"/>
      <c r="J269" s="222">
        <f>ROUND(I269*H269,2)</f>
        <v>0</v>
      </c>
      <c r="K269" s="219" t="s">
        <v>1</v>
      </c>
      <c r="L269" s="223"/>
      <c r="M269" s="224" t="s">
        <v>1</v>
      </c>
      <c r="N269" s="225" t="s">
        <v>44</v>
      </c>
      <c r="O269" s="183">
        <v>0</v>
      </c>
      <c r="P269" s="183">
        <f>O269*H269</f>
        <v>0</v>
      </c>
      <c r="Q269" s="183">
        <v>0.0145</v>
      </c>
      <c r="R269" s="183">
        <f>Q269*H269</f>
        <v>3.6479100000000004</v>
      </c>
      <c r="S269" s="183">
        <v>0</v>
      </c>
      <c r="T269" s="184">
        <f>S269*H269</f>
        <v>0</v>
      </c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R269" s="185" t="s">
        <v>187</v>
      </c>
      <c r="AT269" s="185" t="s">
        <v>251</v>
      </c>
      <c r="AU269" s="185" t="s">
        <v>87</v>
      </c>
      <c r="AY269" s="83" t="s">
        <v>139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83" t="s">
        <v>85</v>
      </c>
      <c r="BK269" s="186">
        <f>ROUND(I269*H269,2)</f>
        <v>0</v>
      </c>
      <c r="BL269" s="83" t="s">
        <v>146</v>
      </c>
      <c r="BM269" s="185" t="s">
        <v>360</v>
      </c>
    </row>
    <row r="270" spans="2:51" s="201" customFormat="1" ht="12">
      <c r="B270" s="202"/>
      <c r="D270" s="189" t="s">
        <v>148</v>
      </c>
      <c r="E270" s="203" t="s">
        <v>1</v>
      </c>
      <c r="F270" s="204" t="s">
        <v>361</v>
      </c>
      <c r="H270" s="203" t="s">
        <v>1</v>
      </c>
      <c r="I270" s="235"/>
      <c r="L270" s="202"/>
      <c r="M270" s="205"/>
      <c r="N270" s="206"/>
      <c r="O270" s="206"/>
      <c r="P270" s="206"/>
      <c r="Q270" s="206"/>
      <c r="R270" s="206"/>
      <c r="S270" s="206"/>
      <c r="T270" s="207"/>
      <c r="AT270" s="203" t="s">
        <v>148</v>
      </c>
      <c r="AU270" s="203" t="s">
        <v>87</v>
      </c>
      <c r="AV270" s="201" t="s">
        <v>85</v>
      </c>
      <c r="AW270" s="201" t="s">
        <v>34</v>
      </c>
      <c r="AX270" s="201" t="s">
        <v>78</v>
      </c>
      <c r="AY270" s="203" t="s">
        <v>139</v>
      </c>
    </row>
    <row r="271" spans="2:51" s="187" customFormat="1" ht="12">
      <c r="B271" s="188"/>
      <c r="D271" s="189" t="s">
        <v>148</v>
      </c>
      <c r="E271" s="190" t="s">
        <v>1</v>
      </c>
      <c r="F271" s="191" t="s">
        <v>356</v>
      </c>
      <c r="H271" s="192">
        <v>251.58</v>
      </c>
      <c r="I271" s="233"/>
      <c r="L271" s="188"/>
      <c r="M271" s="193"/>
      <c r="N271" s="194"/>
      <c r="O271" s="194"/>
      <c r="P271" s="194"/>
      <c r="Q271" s="194"/>
      <c r="R271" s="194"/>
      <c r="S271" s="194"/>
      <c r="T271" s="195"/>
      <c r="AT271" s="190" t="s">
        <v>148</v>
      </c>
      <c r="AU271" s="190" t="s">
        <v>87</v>
      </c>
      <c r="AV271" s="187" t="s">
        <v>87</v>
      </c>
      <c r="AW271" s="187" t="s">
        <v>34</v>
      </c>
      <c r="AX271" s="187" t="s">
        <v>85</v>
      </c>
      <c r="AY271" s="190" t="s">
        <v>139</v>
      </c>
    </row>
    <row r="272" spans="1:65" s="95" customFormat="1" ht="48">
      <c r="A272" s="91"/>
      <c r="B272" s="92"/>
      <c r="C272" s="175" t="s">
        <v>362</v>
      </c>
      <c r="D272" s="175" t="s">
        <v>141</v>
      </c>
      <c r="E272" s="176" t="s">
        <v>363</v>
      </c>
      <c r="F272" s="177" t="s">
        <v>364</v>
      </c>
      <c r="G272" s="178" t="s">
        <v>297</v>
      </c>
      <c r="H272" s="179">
        <v>3</v>
      </c>
      <c r="I272" s="69"/>
      <c r="J272" s="180">
        <f>ROUND(I272*H272,2)</f>
        <v>0</v>
      </c>
      <c r="K272" s="177" t="s">
        <v>145</v>
      </c>
      <c r="L272" s="92"/>
      <c r="M272" s="181" t="s">
        <v>1</v>
      </c>
      <c r="N272" s="182" t="s">
        <v>44</v>
      </c>
      <c r="O272" s="183">
        <v>1.527</v>
      </c>
      <c r="P272" s="183">
        <f>O272*H272</f>
        <v>4.5809999999999995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R272" s="185" t="s">
        <v>146</v>
      </c>
      <c r="AT272" s="185" t="s">
        <v>141</v>
      </c>
      <c r="AU272" s="185" t="s">
        <v>87</v>
      </c>
      <c r="AY272" s="83" t="s">
        <v>139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83" t="s">
        <v>85</v>
      </c>
      <c r="BK272" s="186">
        <f>ROUND(I272*H272,2)</f>
        <v>0</v>
      </c>
      <c r="BL272" s="83" t="s">
        <v>146</v>
      </c>
      <c r="BM272" s="185" t="s">
        <v>365</v>
      </c>
    </row>
    <row r="273" spans="2:51" s="201" customFormat="1" ht="12">
      <c r="B273" s="202"/>
      <c r="D273" s="189" t="s">
        <v>148</v>
      </c>
      <c r="E273" s="203" t="s">
        <v>1</v>
      </c>
      <c r="F273" s="204" t="s">
        <v>307</v>
      </c>
      <c r="H273" s="203" t="s">
        <v>1</v>
      </c>
      <c r="I273" s="235"/>
      <c r="L273" s="202"/>
      <c r="M273" s="205"/>
      <c r="N273" s="206"/>
      <c r="O273" s="206"/>
      <c r="P273" s="206"/>
      <c r="Q273" s="206"/>
      <c r="R273" s="206"/>
      <c r="S273" s="206"/>
      <c r="T273" s="207"/>
      <c r="AT273" s="203" t="s">
        <v>148</v>
      </c>
      <c r="AU273" s="203" t="s">
        <v>87</v>
      </c>
      <c r="AV273" s="201" t="s">
        <v>85</v>
      </c>
      <c r="AW273" s="201" t="s">
        <v>34</v>
      </c>
      <c r="AX273" s="201" t="s">
        <v>78</v>
      </c>
      <c r="AY273" s="203" t="s">
        <v>139</v>
      </c>
    </row>
    <row r="274" spans="2:51" s="187" customFormat="1" ht="12">
      <c r="B274" s="188"/>
      <c r="D274" s="189" t="s">
        <v>148</v>
      </c>
      <c r="E274" s="190" t="s">
        <v>1</v>
      </c>
      <c r="F274" s="191" t="s">
        <v>366</v>
      </c>
      <c r="H274" s="192">
        <v>3</v>
      </c>
      <c r="I274" s="233"/>
      <c r="L274" s="188"/>
      <c r="M274" s="193"/>
      <c r="N274" s="194"/>
      <c r="O274" s="194"/>
      <c r="P274" s="194"/>
      <c r="Q274" s="194"/>
      <c r="R274" s="194"/>
      <c r="S274" s="194"/>
      <c r="T274" s="195"/>
      <c r="AT274" s="190" t="s">
        <v>148</v>
      </c>
      <c r="AU274" s="190" t="s">
        <v>87</v>
      </c>
      <c r="AV274" s="187" t="s">
        <v>87</v>
      </c>
      <c r="AW274" s="187" t="s">
        <v>34</v>
      </c>
      <c r="AX274" s="187" t="s">
        <v>85</v>
      </c>
      <c r="AY274" s="190" t="s">
        <v>139</v>
      </c>
    </row>
    <row r="275" spans="1:65" s="95" customFormat="1" ht="24">
      <c r="A275" s="91"/>
      <c r="B275" s="92"/>
      <c r="C275" s="217" t="s">
        <v>367</v>
      </c>
      <c r="D275" s="217" t="s">
        <v>251</v>
      </c>
      <c r="E275" s="218" t="s">
        <v>368</v>
      </c>
      <c r="F275" s="219" t="s">
        <v>369</v>
      </c>
      <c r="G275" s="220" t="s">
        <v>297</v>
      </c>
      <c r="H275" s="221">
        <v>1</v>
      </c>
      <c r="I275" s="70"/>
      <c r="J275" s="222">
        <f>ROUND(I275*H275,2)</f>
        <v>0</v>
      </c>
      <c r="K275" s="219" t="s">
        <v>145</v>
      </c>
      <c r="L275" s="223"/>
      <c r="M275" s="224" t="s">
        <v>1</v>
      </c>
      <c r="N275" s="225" t="s">
        <v>44</v>
      </c>
      <c r="O275" s="183">
        <v>0</v>
      </c>
      <c r="P275" s="183">
        <f>O275*H275</f>
        <v>0</v>
      </c>
      <c r="Q275" s="183">
        <v>0.0087</v>
      </c>
      <c r="R275" s="183">
        <f>Q275*H275</f>
        <v>0.0087</v>
      </c>
      <c r="S275" s="183">
        <v>0</v>
      </c>
      <c r="T275" s="184">
        <f>S275*H275</f>
        <v>0</v>
      </c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R275" s="185" t="s">
        <v>187</v>
      </c>
      <c r="AT275" s="185" t="s">
        <v>251</v>
      </c>
      <c r="AU275" s="185" t="s">
        <v>87</v>
      </c>
      <c r="AY275" s="83" t="s">
        <v>139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83" t="s">
        <v>85</v>
      </c>
      <c r="BK275" s="186">
        <f>ROUND(I275*H275,2)</f>
        <v>0</v>
      </c>
      <c r="BL275" s="83" t="s">
        <v>146</v>
      </c>
      <c r="BM275" s="185" t="s">
        <v>370</v>
      </c>
    </row>
    <row r="276" spans="2:51" s="187" customFormat="1" ht="12">
      <c r="B276" s="188"/>
      <c r="D276" s="189" t="s">
        <v>148</v>
      </c>
      <c r="E276" s="190" t="s">
        <v>1</v>
      </c>
      <c r="F276" s="191" t="s">
        <v>85</v>
      </c>
      <c r="H276" s="192">
        <v>1</v>
      </c>
      <c r="I276" s="233"/>
      <c r="L276" s="188"/>
      <c r="M276" s="193"/>
      <c r="N276" s="194"/>
      <c r="O276" s="194"/>
      <c r="P276" s="194"/>
      <c r="Q276" s="194"/>
      <c r="R276" s="194"/>
      <c r="S276" s="194"/>
      <c r="T276" s="195"/>
      <c r="AT276" s="190" t="s">
        <v>148</v>
      </c>
      <c r="AU276" s="190" t="s">
        <v>87</v>
      </c>
      <c r="AV276" s="187" t="s">
        <v>87</v>
      </c>
      <c r="AW276" s="187" t="s">
        <v>34</v>
      </c>
      <c r="AX276" s="187" t="s">
        <v>85</v>
      </c>
      <c r="AY276" s="190" t="s">
        <v>139</v>
      </c>
    </row>
    <row r="277" spans="1:65" s="95" customFormat="1" ht="24">
      <c r="A277" s="91"/>
      <c r="B277" s="92"/>
      <c r="C277" s="217" t="s">
        <v>371</v>
      </c>
      <c r="D277" s="217" t="s">
        <v>251</v>
      </c>
      <c r="E277" s="218" t="s">
        <v>372</v>
      </c>
      <c r="F277" s="219" t="s">
        <v>373</v>
      </c>
      <c r="G277" s="220" t="s">
        <v>297</v>
      </c>
      <c r="H277" s="221">
        <v>1</v>
      </c>
      <c r="I277" s="70"/>
      <c r="J277" s="222">
        <f>ROUND(I277*H277,2)</f>
        <v>0</v>
      </c>
      <c r="K277" s="219" t="s">
        <v>145</v>
      </c>
      <c r="L277" s="223"/>
      <c r="M277" s="224" t="s">
        <v>1</v>
      </c>
      <c r="N277" s="225" t="s">
        <v>44</v>
      </c>
      <c r="O277" s="183">
        <v>0</v>
      </c>
      <c r="P277" s="183">
        <f>O277*H277</f>
        <v>0</v>
      </c>
      <c r="Q277" s="183">
        <v>0.0068</v>
      </c>
      <c r="R277" s="183">
        <f>Q277*H277</f>
        <v>0.0068</v>
      </c>
      <c r="S277" s="183">
        <v>0</v>
      </c>
      <c r="T277" s="184">
        <f>S277*H277</f>
        <v>0</v>
      </c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R277" s="185" t="s">
        <v>187</v>
      </c>
      <c r="AT277" s="185" t="s">
        <v>251</v>
      </c>
      <c r="AU277" s="185" t="s">
        <v>87</v>
      </c>
      <c r="AY277" s="83" t="s">
        <v>139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83" t="s">
        <v>85</v>
      </c>
      <c r="BK277" s="186">
        <f>ROUND(I277*H277,2)</f>
        <v>0</v>
      </c>
      <c r="BL277" s="83" t="s">
        <v>146</v>
      </c>
      <c r="BM277" s="185" t="s">
        <v>374</v>
      </c>
    </row>
    <row r="278" spans="1:65" s="95" customFormat="1" ht="24">
      <c r="A278" s="91"/>
      <c r="B278" s="92"/>
      <c r="C278" s="217" t="s">
        <v>375</v>
      </c>
      <c r="D278" s="217" t="s">
        <v>251</v>
      </c>
      <c r="E278" s="218" t="s">
        <v>376</v>
      </c>
      <c r="F278" s="219" t="s">
        <v>377</v>
      </c>
      <c r="G278" s="220" t="s">
        <v>297</v>
      </c>
      <c r="H278" s="221">
        <v>1</v>
      </c>
      <c r="I278" s="70"/>
      <c r="J278" s="222">
        <f>ROUND(I278*H278,2)</f>
        <v>0</v>
      </c>
      <c r="K278" s="219" t="s">
        <v>145</v>
      </c>
      <c r="L278" s="223"/>
      <c r="M278" s="224" t="s">
        <v>1</v>
      </c>
      <c r="N278" s="225" t="s">
        <v>44</v>
      </c>
      <c r="O278" s="183">
        <v>0</v>
      </c>
      <c r="P278" s="183">
        <f>O278*H278</f>
        <v>0</v>
      </c>
      <c r="Q278" s="183">
        <v>0.0067</v>
      </c>
      <c r="R278" s="183">
        <f>Q278*H278</f>
        <v>0.0067</v>
      </c>
      <c r="S278" s="183">
        <v>0</v>
      </c>
      <c r="T278" s="184">
        <f>S278*H278</f>
        <v>0</v>
      </c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R278" s="185" t="s">
        <v>187</v>
      </c>
      <c r="AT278" s="185" t="s">
        <v>251</v>
      </c>
      <c r="AU278" s="185" t="s">
        <v>87</v>
      </c>
      <c r="AY278" s="83" t="s">
        <v>139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83" t="s">
        <v>85</v>
      </c>
      <c r="BK278" s="186">
        <f>ROUND(I278*H278,2)</f>
        <v>0</v>
      </c>
      <c r="BL278" s="83" t="s">
        <v>146</v>
      </c>
      <c r="BM278" s="185" t="s">
        <v>378</v>
      </c>
    </row>
    <row r="279" spans="1:65" s="95" customFormat="1" ht="44.25" customHeight="1">
      <c r="A279" s="91"/>
      <c r="B279" s="92"/>
      <c r="C279" s="175" t="s">
        <v>379</v>
      </c>
      <c r="D279" s="175" t="s">
        <v>141</v>
      </c>
      <c r="E279" s="176" t="s">
        <v>380</v>
      </c>
      <c r="F279" s="177" t="s">
        <v>381</v>
      </c>
      <c r="G279" s="178" t="s">
        <v>297</v>
      </c>
      <c r="H279" s="179">
        <v>6</v>
      </c>
      <c r="I279" s="69"/>
      <c r="J279" s="180">
        <f>ROUND(I279*H279,2)</f>
        <v>0</v>
      </c>
      <c r="K279" s="177" t="s">
        <v>145</v>
      </c>
      <c r="L279" s="92"/>
      <c r="M279" s="181" t="s">
        <v>1</v>
      </c>
      <c r="N279" s="182" t="s">
        <v>44</v>
      </c>
      <c r="O279" s="183">
        <v>0.759</v>
      </c>
      <c r="P279" s="183">
        <f>O279*H279</f>
        <v>4.554</v>
      </c>
      <c r="Q279" s="183">
        <v>0.00167</v>
      </c>
      <c r="R279" s="183">
        <f>Q279*H279</f>
        <v>0.010020000000000001</v>
      </c>
      <c r="S279" s="183">
        <v>0</v>
      </c>
      <c r="T279" s="184">
        <f>S279*H279</f>
        <v>0</v>
      </c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R279" s="185" t="s">
        <v>146</v>
      </c>
      <c r="AT279" s="185" t="s">
        <v>141</v>
      </c>
      <c r="AU279" s="185" t="s">
        <v>87</v>
      </c>
      <c r="AY279" s="83" t="s">
        <v>139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83" t="s">
        <v>85</v>
      </c>
      <c r="BK279" s="186">
        <f>ROUND(I279*H279,2)</f>
        <v>0</v>
      </c>
      <c r="BL279" s="83" t="s">
        <v>146</v>
      </c>
      <c r="BM279" s="185" t="s">
        <v>382</v>
      </c>
    </row>
    <row r="280" spans="2:51" s="201" customFormat="1" ht="12">
      <c r="B280" s="202"/>
      <c r="D280" s="189" t="s">
        <v>148</v>
      </c>
      <c r="E280" s="203" t="s">
        <v>1</v>
      </c>
      <c r="F280" s="204" t="s">
        <v>307</v>
      </c>
      <c r="H280" s="203" t="s">
        <v>1</v>
      </c>
      <c r="I280" s="235"/>
      <c r="L280" s="202"/>
      <c r="M280" s="205"/>
      <c r="N280" s="206"/>
      <c r="O280" s="206"/>
      <c r="P280" s="206"/>
      <c r="Q280" s="206"/>
      <c r="R280" s="206"/>
      <c r="S280" s="206"/>
      <c r="T280" s="207"/>
      <c r="AT280" s="203" t="s">
        <v>148</v>
      </c>
      <c r="AU280" s="203" t="s">
        <v>87</v>
      </c>
      <c r="AV280" s="201" t="s">
        <v>85</v>
      </c>
      <c r="AW280" s="201" t="s">
        <v>34</v>
      </c>
      <c r="AX280" s="201" t="s">
        <v>78</v>
      </c>
      <c r="AY280" s="203" t="s">
        <v>139</v>
      </c>
    </row>
    <row r="281" spans="2:51" s="187" customFormat="1" ht="12">
      <c r="B281" s="188"/>
      <c r="D281" s="189" t="s">
        <v>148</v>
      </c>
      <c r="E281" s="190" t="s">
        <v>1</v>
      </c>
      <c r="F281" s="191" t="s">
        <v>383</v>
      </c>
      <c r="H281" s="192">
        <v>6</v>
      </c>
      <c r="I281" s="233"/>
      <c r="L281" s="188"/>
      <c r="M281" s="193"/>
      <c r="N281" s="194"/>
      <c r="O281" s="194"/>
      <c r="P281" s="194"/>
      <c r="Q281" s="194"/>
      <c r="R281" s="194"/>
      <c r="S281" s="194"/>
      <c r="T281" s="195"/>
      <c r="AT281" s="190" t="s">
        <v>148</v>
      </c>
      <c r="AU281" s="190" t="s">
        <v>87</v>
      </c>
      <c r="AV281" s="187" t="s">
        <v>87</v>
      </c>
      <c r="AW281" s="187" t="s">
        <v>34</v>
      </c>
      <c r="AX281" s="187" t="s">
        <v>85</v>
      </c>
      <c r="AY281" s="190" t="s">
        <v>139</v>
      </c>
    </row>
    <row r="282" spans="1:65" s="95" customFormat="1" ht="24.2" customHeight="1">
      <c r="A282" s="91"/>
      <c r="B282" s="92"/>
      <c r="C282" s="217" t="s">
        <v>384</v>
      </c>
      <c r="D282" s="217" t="s">
        <v>251</v>
      </c>
      <c r="E282" s="218" t="s">
        <v>385</v>
      </c>
      <c r="F282" s="219" t="s">
        <v>386</v>
      </c>
      <c r="G282" s="220" t="s">
        <v>297</v>
      </c>
      <c r="H282" s="221">
        <v>2</v>
      </c>
      <c r="I282" s="70"/>
      <c r="J282" s="222">
        <f>ROUND(I282*H282,2)</f>
        <v>0</v>
      </c>
      <c r="K282" s="219" t="s">
        <v>1</v>
      </c>
      <c r="L282" s="223"/>
      <c r="M282" s="224" t="s">
        <v>1</v>
      </c>
      <c r="N282" s="225" t="s">
        <v>44</v>
      </c>
      <c r="O282" s="183">
        <v>0</v>
      </c>
      <c r="P282" s="183">
        <f>O282*H282</f>
        <v>0</v>
      </c>
      <c r="Q282" s="183">
        <v>0.0163</v>
      </c>
      <c r="R282" s="183">
        <f>Q282*H282</f>
        <v>0.0326</v>
      </c>
      <c r="S282" s="183">
        <v>0</v>
      </c>
      <c r="T282" s="184">
        <f>S282*H282</f>
        <v>0</v>
      </c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R282" s="185" t="s">
        <v>187</v>
      </c>
      <c r="AT282" s="185" t="s">
        <v>251</v>
      </c>
      <c r="AU282" s="185" t="s">
        <v>87</v>
      </c>
      <c r="AY282" s="83" t="s">
        <v>139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83" t="s">
        <v>85</v>
      </c>
      <c r="BK282" s="186">
        <f>ROUND(I282*H282,2)</f>
        <v>0</v>
      </c>
      <c r="BL282" s="83" t="s">
        <v>146</v>
      </c>
      <c r="BM282" s="185" t="s">
        <v>387</v>
      </c>
    </row>
    <row r="283" spans="1:65" s="95" customFormat="1" ht="24.2" customHeight="1">
      <c r="A283" s="91"/>
      <c r="B283" s="92"/>
      <c r="C283" s="217" t="s">
        <v>388</v>
      </c>
      <c r="D283" s="217" t="s">
        <v>251</v>
      </c>
      <c r="E283" s="218" t="s">
        <v>389</v>
      </c>
      <c r="F283" s="219" t="s">
        <v>390</v>
      </c>
      <c r="G283" s="220" t="s">
        <v>297</v>
      </c>
      <c r="H283" s="221">
        <v>2</v>
      </c>
      <c r="I283" s="70"/>
      <c r="J283" s="222">
        <f>ROUND(I283*H283,2)</f>
        <v>0</v>
      </c>
      <c r="K283" s="219" t="s">
        <v>1</v>
      </c>
      <c r="L283" s="223"/>
      <c r="M283" s="224" t="s">
        <v>1</v>
      </c>
      <c r="N283" s="225" t="s">
        <v>44</v>
      </c>
      <c r="O283" s="183">
        <v>0</v>
      </c>
      <c r="P283" s="183">
        <f>O283*H283</f>
        <v>0</v>
      </c>
      <c r="Q283" s="183">
        <v>0.0095</v>
      </c>
      <c r="R283" s="183">
        <f>Q283*H283</f>
        <v>0.019</v>
      </c>
      <c r="S283" s="183">
        <v>0</v>
      </c>
      <c r="T283" s="184">
        <f>S283*H283</f>
        <v>0</v>
      </c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R283" s="185" t="s">
        <v>187</v>
      </c>
      <c r="AT283" s="185" t="s">
        <v>251</v>
      </c>
      <c r="AU283" s="185" t="s">
        <v>87</v>
      </c>
      <c r="AY283" s="83" t="s">
        <v>139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83" t="s">
        <v>85</v>
      </c>
      <c r="BK283" s="186">
        <f>ROUND(I283*H283,2)</f>
        <v>0</v>
      </c>
      <c r="BL283" s="83" t="s">
        <v>146</v>
      </c>
      <c r="BM283" s="185" t="s">
        <v>391</v>
      </c>
    </row>
    <row r="284" spans="1:65" s="95" customFormat="1" ht="24.2" customHeight="1">
      <c r="A284" s="91"/>
      <c r="B284" s="92"/>
      <c r="C284" s="217" t="s">
        <v>392</v>
      </c>
      <c r="D284" s="217" t="s">
        <v>251</v>
      </c>
      <c r="E284" s="218" t="s">
        <v>393</v>
      </c>
      <c r="F284" s="219" t="s">
        <v>394</v>
      </c>
      <c r="G284" s="220" t="s">
        <v>297</v>
      </c>
      <c r="H284" s="221">
        <v>1</v>
      </c>
      <c r="I284" s="70"/>
      <c r="J284" s="222">
        <f>ROUND(I284*H284,2)</f>
        <v>0</v>
      </c>
      <c r="K284" s="219" t="s">
        <v>1</v>
      </c>
      <c r="L284" s="223"/>
      <c r="M284" s="224" t="s">
        <v>1</v>
      </c>
      <c r="N284" s="225" t="s">
        <v>44</v>
      </c>
      <c r="O284" s="183">
        <v>0</v>
      </c>
      <c r="P284" s="183">
        <f>O284*H284</f>
        <v>0</v>
      </c>
      <c r="Q284" s="183">
        <v>0.0099</v>
      </c>
      <c r="R284" s="183">
        <f>Q284*H284</f>
        <v>0.0099</v>
      </c>
      <c r="S284" s="183">
        <v>0</v>
      </c>
      <c r="T284" s="184">
        <f>S284*H284</f>
        <v>0</v>
      </c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R284" s="185" t="s">
        <v>187</v>
      </c>
      <c r="AT284" s="185" t="s">
        <v>251</v>
      </c>
      <c r="AU284" s="185" t="s">
        <v>87</v>
      </c>
      <c r="AY284" s="83" t="s">
        <v>139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83" t="s">
        <v>85</v>
      </c>
      <c r="BK284" s="186">
        <f>ROUND(I284*H284,2)</f>
        <v>0</v>
      </c>
      <c r="BL284" s="83" t="s">
        <v>146</v>
      </c>
      <c r="BM284" s="185" t="s">
        <v>395</v>
      </c>
    </row>
    <row r="285" spans="1:65" s="95" customFormat="1" ht="24.2" customHeight="1">
      <c r="A285" s="91"/>
      <c r="B285" s="92"/>
      <c r="C285" s="217" t="s">
        <v>396</v>
      </c>
      <c r="D285" s="217" t="s">
        <v>251</v>
      </c>
      <c r="E285" s="218" t="s">
        <v>397</v>
      </c>
      <c r="F285" s="219" t="s">
        <v>398</v>
      </c>
      <c r="G285" s="220" t="s">
        <v>297</v>
      </c>
      <c r="H285" s="221">
        <v>1</v>
      </c>
      <c r="I285" s="70"/>
      <c r="J285" s="222">
        <f>ROUND(I285*H285,2)</f>
        <v>0</v>
      </c>
      <c r="K285" s="219" t="s">
        <v>1</v>
      </c>
      <c r="L285" s="223"/>
      <c r="M285" s="224" t="s">
        <v>1</v>
      </c>
      <c r="N285" s="225" t="s">
        <v>44</v>
      </c>
      <c r="O285" s="183">
        <v>0</v>
      </c>
      <c r="P285" s="183">
        <f>O285*H285</f>
        <v>0</v>
      </c>
      <c r="Q285" s="183">
        <v>0.0141</v>
      </c>
      <c r="R285" s="183">
        <f>Q285*H285</f>
        <v>0.0141</v>
      </c>
      <c r="S285" s="183">
        <v>0</v>
      </c>
      <c r="T285" s="184">
        <f>S285*H285</f>
        <v>0</v>
      </c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R285" s="185" t="s">
        <v>187</v>
      </c>
      <c r="AT285" s="185" t="s">
        <v>251</v>
      </c>
      <c r="AU285" s="185" t="s">
        <v>87</v>
      </c>
      <c r="AY285" s="83" t="s">
        <v>139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83" t="s">
        <v>85</v>
      </c>
      <c r="BK285" s="186">
        <f>ROUND(I285*H285,2)</f>
        <v>0</v>
      </c>
      <c r="BL285" s="83" t="s">
        <v>146</v>
      </c>
      <c r="BM285" s="185" t="s">
        <v>399</v>
      </c>
    </row>
    <row r="286" spans="1:65" s="95" customFormat="1" ht="48">
      <c r="A286" s="91"/>
      <c r="B286" s="92"/>
      <c r="C286" s="175" t="s">
        <v>400</v>
      </c>
      <c r="D286" s="175" t="s">
        <v>141</v>
      </c>
      <c r="E286" s="176" t="s">
        <v>401</v>
      </c>
      <c r="F286" s="177" t="s">
        <v>402</v>
      </c>
      <c r="G286" s="178" t="s">
        <v>297</v>
      </c>
      <c r="H286" s="179">
        <v>2</v>
      </c>
      <c r="I286" s="69"/>
      <c r="J286" s="180">
        <f>ROUND(I286*H286,2)</f>
        <v>0</v>
      </c>
      <c r="K286" s="177" t="s">
        <v>145</v>
      </c>
      <c r="L286" s="92"/>
      <c r="M286" s="181" t="s">
        <v>1</v>
      </c>
      <c r="N286" s="182" t="s">
        <v>44</v>
      </c>
      <c r="O286" s="183">
        <v>0.583</v>
      </c>
      <c r="P286" s="183">
        <f>O286*H286</f>
        <v>1.166</v>
      </c>
      <c r="Q286" s="183">
        <v>0.0001</v>
      </c>
      <c r="R286" s="183">
        <f>Q286*H286</f>
        <v>0.0002</v>
      </c>
      <c r="S286" s="183">
        <v>0</v>
      </c>
      <c r="T286" s="184">
        <f>S286*H286</f>
        <v>0</v>
      </c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R286" s="185" t="s">
        <v>146</v>
      </c>
      <c r="AT286" s="185" t="s">
        <v>141</v>
      </c>
      <c r="AU286" s="185" t="s">
        <v>87</v>
      </c>
      <c r="AY286" s="83" t="s">
        <v>139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83" t="s">
        <v>85</v>
      </c>
      <c r="BK286" s="186">
        <f>ROUND(I286*H286,2)</f>
        <v>0</v>
      </c>
      <c r="BL286" s="83" t="s">
        <v>146</v>
      </c>
      <c r="BM286" s="185" t="s">
        <v>403</v>
      </c>
    </row>
    <row r="287" spans="2:51" s="201" customFormat="1" ht="12">
      <c r="B287" s="202"/>
      <c r="D287" s="189" t="s">
        <v>148</v>
      </c>
      <c r="E287" s="203" t="s">
        <v>1</v>
      </c>
      <c r="F287" s="204" t="s">
        <v>307</v>
      </c>
      <c r="H287" s="203" t="s">
        <v>1</v>
      </c>
      <c r="I287" s="235"/>
      <c r="L287" s="202"/>
      <c r="M287" s="205"/>
      <c r="N287" s="206"/>
      <c r="O287" s="206"/>
      <c r="P287" s="206"/>
      <c r="Q287" s="206"/>
      <c r="R287" s="206"/>
      <c r="S287" s="206"/>
      <c r="T287" s="207"/>
      <c r="AT287" s="203" t="s">
        <v>148</v>
      </c>
      <c r="AU287" s="203" t="s">
        <v>87</v>
      </c>
      <c r="AV287" s="201" t="s">
        <v>85</v>
      </c>
      <c r="AW287" s="201" t="s">
        <v>34</v>
      </c>
      <c r="AX287" s="201" t="s">
        <v>78</v>
      </c>
      <c r="AY287" s="203" t="s">
        <v>139</v>
      </c>
    </row>
    <row r="288" spans="2:51" s="187" customFormat="1" ht="12">
      <c r="B288" s="188"/>
      <c r="D288" s="189" t="s">
        <v>148</v>
      </c>
      <c r="E288" s="190" t="s">
        <v>1</v>
      </c>
      <c r="F288" s="191" t="s">
        <v>87</v>
      </c>
      <c r="H288" s="192">
        <v>2</v>
      </c>
      <c r="I288" s="233"/>
      <c r="L288" s="188"/>
      <c r="M288" s="193"/>
      <c r="N288" s="194"/>
      <c r="O288" s="194"/>
      <c r="P288" s="194"/>
      <c r="Q288" s="194"/>
      <c r="R288" s="194"/>
      <c r="S288" s="194"/>
      <c r="T288" s="195"/>
      <c r="AT288" s="190" t="s">
        <v>148</v>
      </c>
      <c r="AU288" s="190" t="s">
        <v>87</v>
      </c>
      <c r="AV288" s="187" t="s">
        <v>87</v>
      </c>
      <c r="AW288" s="187" t="s">
        <v>34</v>
      </c>
      <c r="AX288" s="187" t="s">
        <v>85</v>
      </c>
      <c r="AY288" s="190" t="s">
        <v>139</v>
      </c>
    </row>
    <row r="289" spans="1:65" s="95" customFormat="1" ht="24">
      <c r="A289" s="91"/>
      <c r="B289" s="92"/>
      <c r="C289" s="217" t="s">
        <v>404</v>
      </c>
      <c r="D289" s="217" t="s">
        <v>251</v>
      </c>
      <c r="E289" s="218" t="s">
        <v>405</v>
      </c>
      <c r="F289" s="219" t="s">
        <v>406</v>
      </c>
      <c r="G289" s="220" t="s">
        <v>297</v>
      </c>
      <c r="H289" s="221">
        <v>2</v>
      </c>
      <c r="I289" s="70"/>
      <c r="J289" s="222">
        <f>ROUND(I289*H289,2)</f>
        <v>0</v>
      </c>
      <c r="K289" s="219" t="s">
        <v>145</v>
      </c>
      <c r="L289" s="223"/>
      <c r="M289" s="224" t="s">
        <v>1</v>
      </c>
      <c r="N289" s="225" t="s">
        <v>44</v>
      </c>
      <c r="O289" s="183">
        <v>0</v>
      </c>
      <c r="P289" s="183">
        <f>O289*H289</f>
        <v>0</v>
      </c>
      <c r="Q289" s="183">
        <v>0.0055</v>
      </c>
      <c r="R289" s="183">
        <f>Q289*H289</f>
        <v>0.011</v>
      </c>
      <c r="S289" s="183">
        <v>0</v>
      </c>
      <c r="T289" s="184">
        <f>S289*H289</f>
        <v>0</v>
      </c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R289" s="185" t="s">
        <v>187</v>
      </c>
      <c r="AT289" s="185" t="s">
        <v>251</v>
      </c>
      <c r="AU289" s="185" t="s">
        <v>87</v>
      </c>
      <c r="AY289" s="83" t="s">
        <v>139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83" t="s">
        <v>85</v>
      </c>
      <c r="BK289" s="186">
        <f>ROUND(I289*H289,2)</f>
        <v>0</v>
      </c>
      <c r="BL289" s="83" t="s">
        <v>146</v>
      </c>
      <c r="BM289" s="185" t="s">
        <v>407</v>
      </c>
    </row>
    <row r="290" spans="1:65" s="95" customFormat="1" ht="48">
      <c r="A290" s="91"/>
      <c r="B290" s="92"/>
      <c r="C290" s="175" t="s">
        <v>408</v>
      </c>
      <c r="D290" s="175" t="s">
        <v>141</v>
      </c>
      <c r="E290" s="176" t="s">
        <v>409</v>
      </c>
      <c r="F290" s="177" t="s">
        <v>410</v>
      </c>
      <c r="G290" s="178" t="s">
        <v>297</v>
      </c>
      <c r="H290" s="179">
        <v>1</v>
      </c>
      <c r="I290" s="69"/>
      <c r="J290" s="180">
        <f>ROUND(I290*H290,2)</f>
        <v>0</v>
      </c>
      <c r="K290" s="177" t="s">
        <v>145</v>
      </c>
      <c r="L290" s="92"/>
      <c r="M290" s="181" t="s">
        <v>1</v>
      </c>
      <c r="N290" s="182" t="s">
        <v>44</v>
      </c>
      <c r="O290" s="183">
        <v>0.778</v>
      </c>
      <c r="P290" s="183">
        <f>O290*H290</f>
        <v>0.778</v>
      </c>
      <c r="Q290" s="183">
        <v>0.00021</v>
      </c>
      <c r="R290" s="183">
        <f>Q290*H290</f>
        <v>0.00021</v>
      </c>
      <c r="S290" s="183">
        <v>0</v>
      </c>
      <c r="T290" s="184">
        <f>S290*H290</f>
        <v>0</v>
      </c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R290" s="185" t="s">
        <v>146</v>
      </c>
      <c r="AT290" s="185" t="s">
        <v>141</v>
      </c>
      <c r="AU290" s="185" t="s">
        <v>87</v>
      </c>
      <c r="AY290" s="83" t="s">
        <v>139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83" t="s">
        <v>85</v>
      </c>
      <c r="BK290" s="186">
        <f>ROUND(I290*H290,2)</f>
        <v>0</v>
      </c>
      <c r="BL290" s="83" t="s">
        <v>146</v>
      </c>
      <c r="BM290" s="185" t="s">
        <v>411</v>
      </c>
    </row>
    <row r="291" spans="1:65" s="95" customFormat="1" ht="24">
      <c r="A291" s="91"/>
      <c r="B291" s="92"/>
      <c r="C291" s="217" t="s">
        <v>412</v>
      </c>
      <c r="D291" s="217" t="s">
        <v>251</v>
      </c>
      <c r="E291" s="218" t="s">
        <v>413</v>
      </c>
      <c r="F291" s="219" t="s">
        <v>414</v>
      </c>
      <c r="G291" s="220" t="s">
        <v>297</v>
      </c>
      <c r="H291" s="221">
        <v>1</v>
      </c>
      <c r="I291" s="70"/>
      <c r="J291" s="222">
        <f>ROUND(I291*H291,2)</f>
        <v>0</v>
      </c>
      <c r="K291" s="219" t="s">
        <v>145</v>
      </c>
      <c r="L291" s="223"/>
      <c r="M291" s="224" t="s">
        <v>1</v>
      </c>
      <c r="N291" s="225" t="s">
        <v>44</v>
      </c>
      <c r="O291" s="183">
        <v>0</v>
      </c>
      <c r="P291" s="183">
        <f>O291*H291</f>
        <v>0</v>
      </c>
      <c r="Q291" s="183">
        <v>0.0094</v>
      </c>
      <c r="R291" s="183">
        <f>Q291*H291</f>
        <v>0.0094</v>
      </c>
      <c r="S291" s="183">
        <v>0</v>
      </c>
      <c r="T291" s="184">
        <f>S291*H291</f>
        <v>0</v>
      </c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R291" s="185" t="s">
        <v>187</v>
      </c>
      <c r="AT291" s="185" t="s">
        <v>251</v>
      </c>
      <c r="AU291" s="185" t="s">
        <v>87</v>
      </c>
      <c r="AY291" s="83" t="s">
        <v>139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83" t="s">
        <v>85</v>
      </c>
      <c r="BK291" s="186">
        <f>ROUND(I291*H291,2)</f>
        <v>0</v>
      </c>
      <c r="BL291" s="83" t="s">
        <v>146</v>
      </c>
      <c r="BM291" s="185" t="s">
        <v>415</v>
      </c>
    </row>
    <row r="292" spans="1:65" s="95" customFormat="1" ht="36">
      <c r="A292" s="91"/>
      <c r="B292" s="92"/>
      <c r="C292" s="175" t="s">
        <v>416</v>
      </c>
      <c r="D292" s="175" t="s">
        <v>141</v>
      </c>
      <c r="E292" s="176" t="s">
        <v>417</v>
      </c>
      <c r="F292" s="177" t="s">
        <v>418</v>
      </c>
      <c r="G292" s="178" t="s">
        <v>171</v>
      </c>
      <c r="H292" s="179">
        <v>8</v>
      </c>
      <c r="I292" s="69"/>
      <c r="J292" s="180">
        <f>ROUND(I292*H292,2)</f>
        <v>0</v>
      </c>
      <c r="K292" s="177" t="s">
        <v>145</v>
      </c>
      <c r="L292" s="92"/>
      <c r="M292" s="181" t="s">
        <v>1</v>
      </c>
      <c r="N292" s="182" t="s">
        <v>44</v>
      </c>
      <c r="O292" s="183">
        <v>0.171</v>
      </c>
      <c r="P292" s="183">
        <f>O292*H292</f>
        <v>1.368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R292" s="185" t="s">
        <v>146</v>
      </c>
      <c r="AT292" s="185" t="s">
        <v>141</v>
      </c>
      <c r="AU292" s="185" t="s">
        <v>87</v>
      </c>
      <c r="AY292" s="83" t="s">
        <v>139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83" t="s">
        <v>85</v>
      </c>
      <c r="BK292" s="186">
        <f>ROUND(I292*H292,2)</f>
        <v>0</v>
      </c>
      <c r="BL292" s="83" t="s">
        <v>146</v>
      </c>
      <c r="BM292" s="185" t="s">
        <v>419</v>
      </c>
    </row>
    <row r="293" spans="2:51" s="201" customFormat="1" ht="12">
      <c r="B293" s="202"/>
      <c r="D293" s="189" t="s">
        <v>148</v>
      </c>
      <c r="E293" s="203" t="s">
        <v>1</v>
      </c>
      <c r="F293" s="204" t="s">
        <v>307</v>
      </c>
      <c r="H293" s="203" t="s">
        <v>1</v>
      </c>
      <c r="I293" s="235"/>
      <c r="L293" s="202"/>
      <c r="M293" s="205"/>
      <c r="N293" s="206"/>
      <c r="O293" s="206"/>
      <c r="P293" s="206"/>
      <c r="Q293" s="206"/>
      <c r="R293" s="206"/>
      <c r="S293" s="206"/>
      <c r="T293" s="207"/>
      <c r="AT293" s="203" t="s">
        <v>148</v>
      </c>
      <c r="AU293" s="203" t="s">
        <v>87</v>
      </c>
      <c r="AV293" s="201" t="s">
        <v>85</v>
      </c>
      <c r="AW293" s="201" t="s">
        <v>34</v>
      </c>
      <c r="AX293" s="201" t="s">
        <v>78</v>
      </c>
      <c r="AY293" s="203" t="s">
        <v>139</v>
      </c>
    </row>
    <row r="294" spans="2:51" s="187" customFormat="1" ht="12">
      <c r="B294" s="188"/>
      <c r="D294" s="189" t="s">
        <v>148</v>
      </c>
      <c r="E294" s="190" t="s">
        <v>1</v>
      </c>
      <c r="F294" s="191" t="s">
        <v>420</v>
      </c>
      <c r="H294" s="192">
        <v>8</v>
      </c>
      <c r="I294" s="233"/>
      <c r="L294" s="188"/>
      <c r="M294" s="193"/>
      <c r="N294" s="194"/>
      <c r="O294" s="194"/>
      <c r="P294" s="194"/>
      <c r="Q294" s="194"/>
      <c r="R294" s="194"/>
      <c r="S294" s="194"/>
      <c r="T294" s="195"/>
      <c r="AT294" s="190" t="s">
        <v>148</v>
      </c>
      <c r="AU294" s="190" t="s">
        <v>87</v>
      </c>
      <c r="AV294" s="187" t="s">
        <v>87</v>
      </c>
      <c r="AW294" s="187" t="s">
        <v>34</v>
      </c>
      <c r="AX294" s="187" t="s">
        <v>85</v>
      </c>
      <c r="AY294" s="190" t="s">
        <v>139</v>
      </c>
    </row>
    <row r="295" spans="1:65" s="95" customFormat="1" ht="16.5" customHeight="1">
      <c r="A295" s="91"/>
      <c r="B295" s="92"/>
      <c r="C295" s="217" t="s">
        <v>421</v>
      </c>
      <c r="D295" s="217" t="s">
        <v>251</v>
      </c>
      <c r="E295" s="218" t="s">
        <v>422</v>
      </c>
      <c r="F295" s="219" t="s">
        <v>423</v>
      </c>
      <c r="G295" s="220" t="s">
        <v>171</v>
      </c>
      <c r="H295" s="221">
        <v>8</v>
      </c>
      <c r="I295" s="70"/>
      <c r="J295" s="222">
        <f>ROUND(I295*H295,2)</f>
        <v>0</v>
      </c>
      <c r="K295" s="219" t="s">
        <v>1</v>
      </c>
      <c r="L295" s="223"/>
      <c r="M295" s="224" t="s">
        <v>1</v>
      </c>
      <c r="N295" s="225" t="s">
        <v>44</v>
      </c>
      <c r="O295" s="183">
        <v>0</v>
      </c>
      <c r="P295" s="183">
        <f>O295*H295</f>
        <v>0</v>
      </c>
      <c r="Q295" s="183">
        <v>0.00028</v>
      </c>
      <c r="R295" s="183">
        <f>Q295*H295</f>
        <v>0.00224</v>
      </c>
      <c r="S295" s="183">
        <v>0</v>
      </c>
      <c r="T295" s="184">
        <f>S295*H295</f>
        <v>0</v>
      </c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R295" s="185" t="s">
        <v>187</v>
      </c>
      <c r="AT295" s="185" t="s">
        <v>251</v>
      </c>
      <c r="AU295" s="185" t="s">
        <v>87</v>
      </c>
      <c r="AY295" s="83" t="s">
        <v>139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83" t="s">
        <v>85</v>
      </c>
      <c r="BK295" s="186">
        <f>ROUND(I295*H295,2)</f>
        <v>0</v>
      </c>
      <c r="BL295" s="83" t="s">
        <v>146</v>
      </c>
      <c r="BM295" s="185" t="s">
        <v>424</v>
      </c>
    </row>
    <row r="296" spans="2:51" s="201" customFormat="1" ht="12">
      <c r="B296" s="202"/>
      <c r="D296" s="189" t="s">
        <v>148</v>
      </c>
      <c r="E296" s="203" t="s">
        <v>1</v>
      </c>
      <c r="F296" s="204" t="s">
        <v>361</v>
      </c>
      <c r="H296" s="203" t="s">
        <v>1</v>
      </c>
      <c r="I296" s="235"/>
      <c r="L296" s="202"/>
      <c r="M296" s="205"/>
      <c r="N296" s="206"/>
      <c r="O296" s="206"/>
      <c r="P296" s="206"/>
      <c r="Q296" s="206"/>
      <c r="R296" s="206"/>
      <c r="S296" s="206"/>
      <c r="T296" s="207"/>
      <c r="AT296" s="203" t="s">
        <v>148</v>
      </c>
      <c r="AU296" s="203" t="s">
        <v>87</v>
      </c>
      <c r="AV296" s="201" t="s">
        <v>85</v>
      </c>
      <c r="AW296" s="201" t="s">
        <v>34</v>
      </c>
      <c r="AX296" s="201" t="s">
        <v>78</v>
      </c>
      <c r="AY296" s="203" t="s">
        <v>139</v>
      </c>
    </row>
    <row r="297" spans="2:51" s="187" customFormat="1" ht="12">
      <c r="B297" s="188"/>
      <c r="D297" s="189" t="s">
        <v>148</v>
      </c>
      <c r="E297" s="190" t="s">
        <v>1</v>
      </c>
      <c r="F297" s="191" t="s">
        <v>420</v>
      </c>
      <c r="H297" s="192">
        <v>8</v>
      </c>
      <c r="I297" s="233"/>
      <c r="L297" s="188"/>
      <c r="M297" s="193"/>
      <c r="N297" s="194"/>
      <c r="O297" s="194"/>
      <c r="P297" s="194"/>
      <c r="Q297" s="194"/>
      <c r="R297" s="194"/>
      <c r="S297" s="194"/>
      <c r="T297" s="195"/>
      <c r="AT297" s="190" t="s">
        <v>148</v>
      </c>
      <c r="AU297" s="190" t="s">
        <v>87</v>
      </c>
      <c r="AV297" s="187" t="s">
        <v>87</v>
      </c>
      <c r="AW297" s="187" t="s">
        <v>34</v>
      </c>
      <c r="AX297" s="187" t="s">
        <v>85</v>
      </c>
      <c r="AY297" s="190" t="s">
        <v>139</v>
      </c>
    </row>
    <row r="298" spans="1:65" s="95" customFormat="1" ht="36">
      <c r="A298" s="91"/>
      <c r="B298" s="92"/>
      <c r="C298" s="175" t="s">
        <v>425</v>
      </c>
      <c r="D298" s="175" t="s">
        <v>141</v>
      </c>
      <c r="E298" s="176" t="s">
        <v>426</v>
      </c>
      <c r="F298" s="177" t="s">
        <v>427</v>
      </c>
      <c r="G298" s="178" t="s">
        <v>171</v>
      </c>
      <c r="H298" s="179">
        <v>4</v>
      </c>
      <c r="I298" s="69"/>
      <c r="J298" s="180">
        <f>ROUND(I298*H298,2)</f>
        <v>0</v>
      </c>
      <c r="K298" s="177" t="s">
        <v>145</v>
      </c>
      <c r="L298" s="92"/>
      <c r="M298" s="181" t="s">
        <v>1</v>
      </c>
      <c r="N298" s="182" t="s">
        <v>44</v>
      </c>
      <c r="O298" s="183">
        <v>0.248</v>
      </c>
      <c r="P298" s="183">
        <f>O298*H298</f>
        <v>0.992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R298" s="185" t="s">
        <v>146</v>
      </c>
      <c r="AT298" s="185" t="s">
        <v>141</v>
      </c>
      <c r="AU298" s="185" t="s">
        <v>87</v>
      </c>
      <c r="AY298" s="83" t="s">
        <v>139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83" t="s">
        <v>85</v>
      </c>
      <c r="BK298" s="186">
        <f>ROUND(I298*H298,2)</f>
        <v>0</v>
      </c>
      <c r="BL298" s="83" t="s">
        <v>146</v>
      </c>
      <c r="BM298" s="185" t="s">
        <v>428</v>
      </c>
    </row>
    <row r="299" spans="2:51" s="201" customFormat="1" ht="12">
      <c r="B299" s="202"/>
      <c r="D299" s="189" t="s">
        <v>148</v>
      </c>
      <c r="E299" s="203" t="s">
        <v>1</v>
      </c>
      <c r="F299" s="204" t="s">
        <v>429</v>
      </c>
      <c r="H299" s="203" t="s">
        <v>1</v>
      </c>
      <c r="I299" s="235"/>
      <c r="L299" s="202"/>
      <c r="M299" s="205"/>
      <c r="N299" s="206"/>
      <c r="O299" s="206"/>
      <c r="P299" s="206"/>
      <c r="Q299" s="206"/>
      <c r="R299" s="206"/>
      <c r="S299" s="206"/>
      <c r="T299" s="207"/>
      <c r="AT299" s="203" t="s">
        <v>148</v>
      </c>
      <c r="AU299" s="203" t="s">
        <v>87</v>
      </c>
      <c r="AV299" s="201" t="s">
        <v>85</v>
      </c>
      <c r="AW299" s="201" t="s">
        <v>34</v>
      </c>
      <c r="AX299" s="201" t="s">
        <v>78</v>
      </c>
      <c r="AY299" s="203" t="s">
        <v>139</v>
      </c>
    </row>
    <row r="300" spans="2:51" s="187" customFormat="1" ht="12">
      <c r="B300" s="188"/>
      <c r="D300" s="189" t="s">
        <v>148</v>
      </c>
      <c r="E300" s="190" t="s">
        <v>1</v>
      </c>
      <c r="F300" s="191" t="s">
        <v>430</v>
      </c>
      <c r="H300" s="192">
        <v>4</v>
      </c>
      <c r="I300" s="233"/>
      <c r="L300" s="188"/>
      <c r="M300" s="193"/>
      <c r="N300" s="194"/>
      <c r="O300" s="194"/>
      <c r="P300" s="194"/>
      <c r="Q300" s="194"/>
      <c r="R300" s="194"/>
      <c r="S300" s="194"/>
      <c r="T300" s="195"/>
      <c r="AT300" s="190" t="s">
        <v>148</v>
      </c>
      <c r="AU300" s="190" t="s">
        <v>87</v>
      </c>
      <c r="AV300" s="187" t="s">
        <v>87</v>
      </c>
      <c r="AW300" s="187" t="s">
        <v>34</v>
      </c>
      <c r="AX300" s="187" t="s">
        <v>85</v>
      </c>
      <c r="AY300" s="190" t="s">
        <v>139</v>
      </c>
    </row>
    <row r="301" spans="1:65" s="95" customFormat="1" ht="24">
      <c r="A301" s="91"/>
      <c r="B301" s="92"/>
      <c r="C301" s="217" t="s">
        <v>431</v>
      </c>
      <c r="D301" s="217" t="s">
        <v>251</v>
      </c>
      <c r="E301" s="218" t="s">
        <v>432</v>
      </c>
      <c r="F301" s="219" t="s">
        <v>433</v>
      </c>
      <c r="G301" s="220" t="s">
        <v>171</v>
      </c>
      <c r="H301" s="221">
        <v>4</v>
      </c>
      <c r="I301" s="70"/>
      <c r="J301" s="222">
        <f>ROUND(I301*H301,2)</f>
        <v>0</v>
      </c>
      <c r="K301" s="219" t="s">
        <v>145</v>
      </c>
      <c r="L301" s="223"/>
      <c r="M301" s="224" t="s">
        <v>1</v>
      </c>
      <c r="N301" s="225" t="s">
        <v>44</v>
      </c>
      <c r="O301" s="183">
        <v>0</v>
      </c>
      <c r="P301" s="183">
        <f>O301*H301</f>
        <v>0</v>
      </c>
      <c r="Q301" s="183">
        <v>0.0015</v>
      </c>
      <c r="R301" s="183">
        <f>Q301*H301</f>
        <v>0.006</v>
      </c>
      <c r="S301" s="183">
        <v>0</v>
      </c>
      <c r="T301" s="184">
        <f>S301*H301</f>
        <v>0</v>
      </c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R301" s="185" t="s">
        <v>187</v>
      </c>
      <c r="AT301" s="185" t="s">
        <v>251</v>
      </c>
      <c r="AU301" s="185" t="s">
        <v>87</v>
      </c>
      <c r="AY301" s="83" t="s">
        <v>139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83" t="s">
        <v>85</v>
      </c>
      <c r="BK301" s="186">
        <f>ROUND(I301*H301,2)</f>
        <v>0</v>
      </c>
      <c r="BL301" s="83" t="s">
        <v>146</v>
      </c>
      <c r="BM301" s="185" t="s">
        <v>434</v>
      </c>
    </row>
    <row r="302" spans="1:65" s="95" customFormat="1" ht="16.5" customHeight="1">
      <c r="A302" s="91"/>
      <c r="B302" s="92"/>
      <c r="C302" s="175" t="s">
        <v>435</v>
      </c>
      <c r="D302" s="175" t="s">
        <v>141</v>
      </c>
      <c r="E302" s="176" t="s">
        <v>436</v>
      </c>
      <c r="F302" s="177" t="s">
        <v>437</v>
      </c>
      <c r="G302" s="178" t="s">
        <v>438</v>
      </c>
      <c r="H302" s="179">
        <v>4</v>
      </c>
      <c r="I302" s="69"/>
      <c r="J302" s="180">
        <f>ROUND(I302*H302,2)</f>
        <v>0</v>
      </c>
      <c r="K302" s="177" t="s">
        <v>1</v>
      </c>
      <c r="L302" s="92"/>
      <c r="M302" s="181" t="s">
        <v>1</v>
      </c>
      <c r="N302" s="182" t="s">
        <v>44</v>
      </c>
      <c r="O302" s="183">
        <v>0.258</v>
      </c>
      <c r="P302" s="183">
        <f>O302*H302</f>
        <v>1.032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R302" s="185" t="s">
        <v>146</v>
      </c>
      <c r="AT302" s="185" t="s">
        <v>141</v>
      </c>
      <c r="AU302" s="185" t="s">
        <v>87</v>
      </c>
      <c r="AY302" s="83" t="s">
        <v>139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83" t="s">
        <v>85</v>
      </c>
      <c r="BK302" s="186">
        <f>ROUND(I302*H302,2)</f>
        <v>0</v>
      </c>
      <c r="BL302" s="83" t="s">
        <v>146</v>
      </c>
      <c r="BM302" s="185" t="s">
        <v>439</v>
      </c>
    </row>
    <row r="303" spans="2:51" s="201" customFormat="1" ht="12">
      <c r="B303" s="202"/>
      <c r="D303" s="189" t="s">
        <v>148</v>
      </c>
      <c r="E303" s="203" t="s">
        <v>1</v>
      </c>
      <c r="F303" s="204" t="s">
        <v>440</v>
      </c>
      <c r="H303" s="203" t="s">
        <v>1</v>
      </c>
      <c r="I303" s="235"/>
      <c r="L303" s="202"/>
      <c r="M303" s="205"/>
      <c r="N303" s="206"/>
      <c r="O303" s="206"/>
      <c r="P303" s="206"/>
      <c r="Q303" s="206"/>
      <c r="R303" s="206"/>
      <c r="S303" s="206"/>
      <c r="T303" s="207"/>
      <c r="AT303" s="203" t="s">
        <v>148</v>
      </c>
      <c r="AU303" s="203" t="s">
        <v>87</v>
      </c>
      <c r="AV303" s="201" t="s">
        <v>85</v>
      </c>
      <c r="AW303" s="201" t="s">
        <v>34</v>
      </c>
      <c r="AX303" s="201" t="s">
        <v>78</v>
      </c>
      <c r="AY303" s="203" t="s">
        <v>139</v>
      </c>
    </row>
    <row r="304" spans="2:51" s="201" customFormat="1" ht="12">
      <c r="B304" s="202"/>
      <c r="D304" s="189" t="s">
        <v>148</v>
      </c>
      <c r="E304" s="203" t="s">
        <v>1</v>
      </c>
      <c r="F304" s="204" t="s">
        <v>441</v>
      </c>
      <c r="H304" s="203" t="s">
        <v>1</v>
      </c>
      <c r="I304" s="235"/>
      <c r="L304" s="202"/>
      <c r="M304" s="205"/>
      <c r="N304" s="206"/>
      <c r="O304" s="206"/>
      <c r="P304" s="206"/>
      <c r="Q304" s="206"/>
      <c r="R304" s="206"/>
      <c r="S304" s="206"/>
      <c r="T304" s="207"/>
      <c r="AT304" s="203" t="s">
        <v>148</v>
      </c>
      <c r="AU304" s="203" t="s">
        <v>87</v>
      </c>
      <c r="AV304" s="201" t="s">
        <v>85</v>
      </c>
      <c r="AW304" s="201" t="s">
        <v>34</v>
      </c>
      <c r="AX304" s="201" t="s">
        <v>78</v>
      </c>
      <c r="AY304" s="203" t="s">
        <v>139</v>
      </c>
    </row>
    <row r="305" spans="2:51" s="187" customFormat="1" ht="12">
      <c r="B305" s="188"/>
      <c r="D305" s="189" t="s">
        <v>148</v>
      </c>
      <c r="E305" s="190" t="s">
        <v>1</v>
      </c>
      <c r="F305" s="191" t="s">
        <v>146</v>
      </c>
      <c r="H305" s="192">
        <v>4</v>
      </c>
      <c r="I305" s="233"/>
      <c r="L305" s="188"/>
      <c r="M305" s="193"/>
      <c r="N305" s="194"/>
      <c r="O305" s="194"/>
      <c r="P305" s="194"/>
      <c r="Q305" s="194"/>
      <c r="R305" s="194"/>
      <c r="S305" s="194"/>
      <c r="T305" s="195"/>
      <c r="AT305" s="190" t="s">
        <v>148</v>
      </c>
      <c r="AU305" s="190" t="s">
        <v>87</v>
      </c>
      <c r="AV305" s="187" t="s">
        <v>87</v>
      </c>
      <c r="AW305" s="187" t="s">
        <v>34</v>
      </c>
      <c r="AX305" s="187" t="s">
        <v>85</v>
      </c>
      <c r="AY305" s="190" t="s">
        <v>139</v>
      </c>
    </row>
    <row r="306" spans="1:65" s="95" customFormat="1" ht="24">
      <c r="A306" s="91"/>
      <c r="B306" s="92"/>
      <c r="C306" s="175" t="s">
        <v>442</v>
      </c>
      <c r="D306" s="175" t="s">
        <v>141</v>
      </c>
      <c r="E306" s="176" t="s">
        <v>443</v>
      </c>
      <c r="F306" s="177" t="s">
        <v>444</v>
      </c>
      <c r="G306" s="178" t="s">
        <v>194</v>
      </c>
      <c r="H306" s="179">
        <v>0.64</v>
      </c>
      <c r="I306" s="69"/>
      <c r="J306" s="180">
        <f>ROUND(I306*H306,2)</f>
        <v>0</v>
      </c>
      <c r="K306" s="177" t="s">
        <v>145</v>
      </c>
      <c r="L306" s="92"/>
      <c r="M306" s="181" t="s">
        <v>1</v>
      </c>
      <c r="N306" s="182" t="s">
        <v>44</v>
      </c>
      <c r="O306" s="183">
        <v>3.81</v>
      </c>
      <c r="P306" s="183">
        <f>O306*H306</f>
        <v>2.4384</v>
      </c>
      <c r="Q306" s="183">
        <v>0</v>
      </c>
      <c r="R306" s="183">
        <f>Q306*H306</f>
        <v>0</v>
      </c>
      <c r="S306" s="183">
        <v>1.92</v>
      </c>
      <c r="T306" s="184">
        <f>S306*H306</f>
        <v>1.2288</v>
      </c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R306" s="185" t="s">
        <v>146</v>
      </c>
      <c r="AT306" s="185" t="s">
        <v>141</v>
      </c>
      <c r="AU306" s="185" t="s">
        <v>87</v>
      </c>
      <c r="AY306" s="83" t="s">
        <v>139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83" t="s">
        <v>85</v>
      </c>
      <c r="BK306" s="186">
        <f>ROUND(I306*H306,2)</f>
        <v>0</v>
      </c>
      <c r="BL306" s="83" t="s">
        <v>146</v>
      </c>
      <c r="BM306" s="185" t="s">
        <v>445</v>
      </c>
    </row>
    <row r="307" spans="1:47" s="95" customFormat="1" ht="19.5">
      <c r="A307" s="91"/>
      <c r="B307" s="92"/>
      <c r="C307" s="91"/>
      <c r="D307" s="189" t="s">
        <v>153</v>
      </c>
      <c r="E307" s="91"/>
      <c r="F307" s="196" t="s">
        <v>446</v>
      </c>
      <c r="G307" s="91"/>
      <c r="H307" s="91"/>
      <c r="I307" s="234"/>
      <c r="J307" s="91"/>
      <c r="K307" s="91"/>
      <c r="L307" s="92"/>
      <c r="M307" s="197"/>
      <c r="N307" s="198"/>
      <c r="O307" s="199"/>
      <c r="P307" s="199"/>
      <c r="Q307" s="199"/>
      <c r="R307" s="199"/>
      <c r="S307" s="199"/>
      <c r="T307" s="200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T307" s="83" t="s">
        <v>153</v>
      </c>
      <c r="AU307" s="83" t="s">
        <v>87</v>
      </c>
    </row>
    <row r="308" spans="2:51" s="201" customFormat="1" ht="12">
      <c r="B308" s="202"/>
      <c r="D308" s="189" t="s">
        <v>148</v>
      </c>
      <c r="E308" s="203" t="s">
        <v>1</v>
      </c>
      <c r="F308" s="204" t="s">
        <v>447</v>
      </c>
      <c r="H308" s="203" t="s">
        <v>1</v>
      </c>
      <c r="I308" s="235"/>
      <c r="L308" s="202"/>
      <c r="M308" s="205"/>
      <c r="N308" s="206"/>
      <c r="O308" s="206"/>
      <c r="P308" s="206"/>
      <c r="Q308" s="206"/>
      <c r="R308" s="206"/>
      <c r="S308" s="206"/>
      <c r="T308" s="207"/>
      <c r="AT308" s="203" t="s">
        <v>148</v>
      </c>
      <c r="AU308" s="203" t="s">
        <v>87</v>
      </c>
      <c r="AV308" s="201" t="s">
        <v>85</v>
      </c>
      <c r="AW308" s="201" t="s">
        <v>34</v>
      </c>
      <c r="AX308" s="201" t="s">
        <v>78</v>
      </c>
      <c r="AY308" s="203" t="s">
        <v>139</v>
      </c>
    </row>
    <row r="309" spans="2:51" s="187" customFormat="1" ht="12">
      <c r="B309" s="188"/>
      <c r="D309" s="189" t="s">
        <v>148</v>
      </c>
      <c r="E309" s="190" t="s">
        <v>1</v>
      </c>
      <c r="F309" s="191" t="s">
        <v>448</v>
      </c>
      <c r="H309" s="192">
        <v>0.64</v>
      </c>
      <c r="I309" s="233"/>
      <c r="L309" s="188"/>
      <c r="M309" s="193"/>
      <c r="N309" s="194"/>
      <c r="O309" s="194"/>
      <c r="P309" s="194"/>
      <c r="Q309" s="194"/>
      <c r="R309" s="194"/>
      <c r="S309" s="194"/>
      <c r="T309" s="195"/>
      <c r="AT309" s="190" t="s">
        <v>148</v>
      </c>
      <c r="AU309" s="190" t="s">
        <v>87</v>
      </c>
      <c r="AV309" s="187" t="s">
        <v>87</v>
      </c>
      <c r="AW309" s="187" t="s">
        <v>34</v>
      </c>
      <c r="AX309" s="187" t="s">
        <v>85</v>
      </c>
      <c r="AY309" s="190" t="s">
        <v>139</v>
      </c>
    </row>
    <row r="310" spans="1:65" s="95" customFormat="1" ht="24">
      <c r="A310" s="91"/>
      <c r="B310" s="92"/>
      <c r="C310" s="175" t="s">
        <v>449</v>
      </c>
      <c r="D310" s="175" t="s">
        <v>141</v>
      </c>
      <c r="E310" s="176" t="s">
        <v>450</v>
      </c>
      <c r="F310" s="177" t="s">
        <v>451</v>
      </c>
      <c r="G310" s="178" t="s">
        <v>297</v>
      </c>
      <c r="H310" s="179">
        <v>4</v>
      </c>
      <c r="I310" s="69"/>
      <c r="J310" s="180">
        <f>ROUND(I310*H310,2)</f>
        <v>0</v>
      </c>
      <c r="K310" s="177" t="s">
        <v>145</v>
      </c>
      <c r="L310" s="92"/>
      <c r="M310" s="181" t="s">
        <v>1</v>
      </c>
      <c r="N310" s="182" t="s">
        <v>44</v>
      </c>
      <c r="O310" s="183">
        <v>0.432</v>
      </c>
      <c r="P310" s="183">
        <f>O310*H310</f>
        <v>1.728</v>
      </c>
      <c r="Q310" s="183">
        <v>2E-05</v>
      </c>
      <c r="R310" s="183">
        <f>Q310*H310</f>
        <v>8E-05</v>
      </c>
      <c r="S310" s="183">
        <v>0</v>
      </c>
      <c r="T310" s="184">
        <f>S310*H310</f>
        <v>0</v>
      </c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R310" s="185" t="s">
        <v>146</v>
      </c>
      <c r="AT310" s="185" t="s">
        <v>141</v>
      </c>
      <c r="AU310" s="185" t="s">
        <v>87</v>
      </c>
      <c r="AY310" s="83" t="s">
        <v>139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83" t="s">
        <v>85</v>
      </c>
      <c r="BK310" s="186">
        <f>ROUND(I310*H310,2)</f>
        <v>0</v>
      </c>
      <c r="BL310" s="83" t="s">
        <v>146</v>
      </c>
      <c r="BM310" s="185" t="s">
        <v>452</v>
      </c>
    </row>
    <row r="311" spans="2:51" s="201" customFormat="1" ht="12">
      <c r="B311" s="202"/>
      <c r="D311" s="189" t="s">
        <v>148</v>
      </c>
      <c r="E311" s="203" t="s">
        <v>1</v>
      </c>
      <c r="F311" s="204" t="s">
        <v>307</v>
      </c>
      <c r="H311" s="203" t="s">
        <v>1</v>
      </c>
      <c r="I311" s="235"/>
      <c r="L311" s="202"/>
      <c r="M311" s="205"/>
      <c r="N311" s="206"/>
      <c r="O311" s="206"/>
      <c r="P311" s="206"/>
      <c r="Q311" s="206"/>
      <c r="R311" s="206"/>
      <c r="S311" s="206"/>
      <c r="T311" s="207"/>
      <c r="AT311" s="203" t="s">
        <v>148</v>
      </c>
      <c r="AU311" s="203" t="s">
        <v>87</v>
      </c>
      <c r="AV311" s="201" t="s">
        <v>85</v>
      </c>
      <c r="AW311" s="201" t="s">
        <v>34</v>
      </c>
      <c r="AX311" s="201" t="s">
        <v>78</v>
      </c>
      <c r="AY311" s="203" t="s">
        <v>139</v>
      </c>
    </row>
    <row r="312" spans="2:51" s="187" customFormat="1" ht="12">
      <c r="B312" s="188"/>
      <c r="D312" s="189" t="s">
        <v>148</v>
      </c>
      <c r="E312" s="190" t="s">
        <v>1</v>
      </c>
      <c r="F312" s="191" t="s">
        <v>146</v>
      </c>
      <c r="H312" s="192">
        <v>4</v>
      </c>
      <c r="I312" s="233"/>
      <c r="L312" s="188"/>
      <c r="M312" s="193"/>
      <c r="N312" s="194"/>
      <c r="O312" s="194"/>
      <c r="P312" s="194"/>
      <c r="Q312" s="194"/>
      <c r="R312" s="194"/>
      <c r="S312" s="194"/>
      <c r="T312" s="195"/>
      <c r="AT312" s="190" t="s">
        <v>148</v>
      </c>
      <c r="AU312" s="190" t="s">
        <v>87</v>
      </c>
      <c r="AV312" s="187" t="s">
        <v>87</v>
      </c>
      <c r="AW312" s="187" t="s">
        <v>34</v>
      </c>
      <c r="AX312" s="187" t="s">
        <v>85</v>
      </c>
      <c r="AY312" s="190" t="s">
        <v>139</v>
      </c>
    </row>
    <row r="313" spans="1:65" s="95" customFormat="1" ht="16.5" customHeight="1">
      <c r="A313" s="91"/>
      <c r="B313" s="92"/>
      <c r="C313" s="217" t="s">
        <v>453</v>
      </c>
      <c r="D313" s="217" t="s">
        <v>251</v>
      </c>
      <c r="E313" s="218" t="s">
        <v>454</v>
      </c>
      <c r="F313" s="228" t="s">
        <v>455</v>
      </c>
      <c r="G313" s="220" t="s">
        <v>297</v>
      </c>
      <c r="H313" s="221">
        <v>4</v>
      </c>
      <c r="I313" s="70"/>
      <c r="J313" s="222">
        <f>ROUND(I313*H313,2)</f>
        <v>0</v>
      </c>
      <c r="K313" s="219" t="s">
        <v>1</v>
      </c>
      <c r="L313" s="223"/>
      <c r="M313" s="224" t="s">
        <v>1</v>
      </c>
      <c r="N313" s="225" t="s">
        <v>44</v>
      </c>
      <c r="O313" s="183">
        <v>0</v>
      </c>
      <c r="P313" s="183">
        <f>O313*H313</f>
        <v>0</v>
      </c>
      <c r="Q313" s="183">
        <v>0.00364</v>
      </c>
      <c r="R313" s="183">
        <f>Q313*H313</f>
        <v>0.01456</v>
      </c>
      <c r="S313" s="183">
        <v>0</v>
      </c>
      <c r="T313" s="184">
        <f>S313*H313</f>
        <v>0</v>
      </c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R313" s="185" t="s">
        <v>187</v>
      </c>
      <c r="AT313" s="185" t="s">
        <v>251</v>
      </c>
      <c r="AU313" s="185" t="s">
        <v>87</v>
      </c>
      <c r="AY313" s="83" t="s">
        <v>139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83" t="s">
        <v>85</v>
      </c>
      <c r="BK313" s="186">
        <f>ROUND(I313*H313,2)</f>
        <v>0</v>
      </c>
      <c r="BL313" s="83" t="s">
        <v>146</v>
      </c>
      <c r="BM313" s="185" t="s">
        <v>456</v>
      </c>
    </row>
    <row r="314" spans="1:65" s="95" customFormat="1" ht="21.75" customHeight="1">
      <c r="A314" s="91"/>
      <c r="B314" s="92"/>
      <c r="C314" s="217" t="s">
        <v>457</v>
      </c>
      <c r="D314" s="217" t="s">
        <v>251</v>
      </c>
      <c r="E314" s="218" t="s">
        <v>458</v>
      </c>
      <c r="F314" s="228" t="s">
        <v>459</v>
      </c>
      <c r="G314" s="220" t="s">
        <v>460</v>
      </c>
      <c r="H314" s="221">
        <v>4</v>
      </c>
      <c r="I314" s="70"/>
      <c r="J314" s="222">
        <f>ROUND(I314*H314,2)</f>
        <v>0</v>
      </c>
      <c r="K314" s="219" t="s">
        <v>1</v>
      </c>
      <c r="L314" s="223"/>
      <c r="M314" s="224" t="s">
        <v>1</v>
      </c>
      <c r="N314" s="225" t="s">
        <v>44</v>
      </c>
      <c r="O314" s="183">
        <v>0</v>
      </c>
      <c r="P314" s="183">
        <f>O314*H314</f>
        <v>0</v>
      </c>
      <c r="Q314" s="183">
        <v>0.0033</v>
      </c>
      <c r="R314" s="183">
        <f>Q314*H314</f>
        <v>0.0132</v>
      </c>
      <c r="S314" s="183">
        <v>0</v>
      </c>
      <c r="T314" s="184">
        <f>S314*H314</f>
        <v>0</v>
      </c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R314" s="185" t="s">
        <v>187</v>
      </c>
      <c r="AT314" s="185" t="s">
        <v>251</v>
      </c>
      <c r="AU314" s="185" t="s">
        <v>87</v>
      </c>
      <c r="AY314" s="83" t="s">
        <v>139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83" t="s">
        <v>85</v>
      </c>
      <c r="BK314" s="186">
        <f>ROUND(I314*H314,2)</f>
        <v>0</v>
      </c>
      <c r="BL314" s="83" t="s">
        <v>146</v>
      </c>
      <c r="BM314" s="185" t="s">
        <v>461</v>
      </c>
    </row>
    <row r="315" spans="1:65" s="95" customFormat="1" ht="24">
      <c r="A315" s="91"/>
      <c r="B315" s="92"/>
      <c r="C315" s="175" t="s">
        <v>462</v>
      </c>
      <c r="D315" s="175" t="s">
        <v>141</v>
      </c>
      <c r="E315" s="176" t="s">
        <v>463</v>
      </c>
      <c r="F315" s="177" t="s">
        <v>464</v>
      </c>
      <c r="G315" s="178" t="s">
        <v>297</v>
      </c>
      <c r="H315" s="179">
        <v>4</v>
      </c>
      <c r="I315" s="69"/>
      <c r="J315" s="180">
        <f>ROUND(I315*H315,2)</f>
        <v>0</v>
      </c>
      <c r="K315" s="177" t="s">
        <v>1</v>
      </c>
      <c r="L315" s="92"/>
      <c r="M315" s="181" t="s">
        <v>1</v>
      </c>
      <c r="N315" s="182" t="s">
        <v>44</v>
      </c>
      <c r="O315" s="183">
        <v>0.432</v>
      </c>
      <c r="P315" s="183">
        <f>O315*H315</f>
        <v>1.728</v>
      </c>
      <c r="Q315" s="183">
        <v>2E-05</v>
      </c>
      <c r="R315" s="183">
        <f>Q315*H315</f>
        <v>8E-05</v>
      </c>
      <c r="S315" s="183">
        <v>0</v>
      </c>
      <c r="T315" s="184">
        <f>S315*H315</f>
        <v>0</v>
      </c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R315" s="185" t="s">
        <v>146</v>
      </c>
      <c r="AT315" s="185" t="s">
        <v>141</v>
      </c>
      <c r="AU315" s="185" t="s">
        <v>87</v>
      </c>
      <c r="AY315" s="83" t="s">
        <v>139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83" t="s">
        <v>85</v>
      </c>
      <c r="BK315" s="186">
        <f>ROUND(I315*H315,2)</f>
        <v>0</v>
      </c>
      <c r="BL315" s="83" t="s">
        <v>146</v>
      </c>
      <c r="BM315" s="185" t="s">
        <v>465</v>
      </c>
    </row>
    <row r="316" spans="1:65" s="95" customFormat="1" ht="16.5" customHeight="1">
      <c r="A316" s="91"/>
      <c r="B316" s="92"/>
      <c r="C316" s="217" t="s">
        <v>466</v>
      </c>
      <c r="D316" s="217" t="s">
        <v>251</v>
      </c>
      <c r="E316" s="218" t="s">
        <v>467</v>
      </c>
      <c r="F316" s="219" t="s">
        <v>468</v>
      </c>
      <c r="G316" s="220" t="s">
        <v>438</v>
      </c>
      <c r="H316" s="221">
        <v>4</v>
      </c>
      <c r="I316" s="70"/>
      <c r="J316" s="222">
        <f>ROUND(I316*H316,2)</f>
        <v>0</v>
      </c>
      <c r="K316" s="219" t="s">
        <v>1</v>
      </c>
      <c r="L316" s="223"/>
      <c r="M316" s="224" t="s">
        <v>1</v>
      </c>
      <c r="N316" s="225" t="s">
        <v>44</v>
      </c>
      <c r="O316" s="183">
        <v>0</v>
      </c>
      <c r="P316" s="183">
        <f>O316*H316</f>
        <v>0</v>
      </c>
      <c r="Q316" s="183">
        <v>0.00043</v>
      </c>
      <c r="R316" s="183">
        <f>Q316*H316</f>
        <v>0.00172</v>
      </c>
      <c r="S316" s="183">
        <v>0</v>
      </c>
      <c r="T316" s="184">
        <f>S316*H316</f>
        <v>0</v>
      </c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R316" s="185" t="s">
        <v>187</v>
      </c>
      <c r="AT316" s="185" t="s">
        <v>251</v>
      </c>
      <c r="AU316" s="185" t="s">
        <v>87</v>
      </c>
      <c r="AY316" s="83" t="s">
        <v>139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83" t="s">
        <v>85</v>
      </c>
      <c r="BK316" s="186">
        <f>ROUND(I316*H316,2)</f>
        <v>0</v>
      </c>
      <c r="BL316" s="83" t="s">
        <v>146</v>
      </c>
      <c r="BM316" s="185" t="s">
        <v>469</v>
      </c>
    </row>
    <row r="317" spans="1:65" s="95" customFormat="1" ht="22.5" customHeight="1">
      <c r="A317" s="91"/>
      <c r="B317" s="92"/>
      <c r="C317" s="217" t="s">
        <v>1563</v>
      </c>
      <c r="D317" s="217" t="s">
        <v>251</v>
      </c>
      <c r="E317" s="218"/>
      <c r="F317" s="219" t="s">
        <v>1558</v>
      </c>
      <c r="G317" s="220" t="s">
        <v>438</v>
      </c>
      <c r="H317" s="221">
        <v>12</v>
      </c>
      <c r="I317" s="70"/>
      <c r="J317" s="222">
        <f aca="true" t="shared" si="0" ref="J317">ROUND(I317*H317,2)</f>
        <v>0</v>
      </c>
      <c r="K317" s="219" t="s">
        <v>1</v>
      </c>
      <c r="L317" s="223"/>
      <c r="M317" s="224" t="s">
        <v>1</v>
      </c>
      <c r="N317" s="225" t="s">
        <v>44</v>
      </c>
      <c r="O317" s="183">
        <v>0</v>
      </c>
      <c r="P317" s="183">
        <f aca="true" t="shared" si="1" ref="P317">O317*H317</f>
        <v>0</v>
      </c>
      <c r="Q317" s="183">
        <v>0.00043</v>
      </c>
      <c r="R317" s="183">
        <f aca="true" t="shared" si="2" ref="R317">Q317*H317</f>
        <v>0.00516</v>
      </c>
      <c r="S317" s="183">
        <v>0</v>
      </c>
      <c r="T317" s="184">
        <f aca="true" t="shared" si="3" ref="T317">S317*H317</f>
        <v>0</v>
      </c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R317" s="185" t="s">
        <v>187</v>
      </c>
      <c r="AT317" s="185" t="s">
        <v>251</v>
      </c>
      <c r="AU317" s="185" t="s">
        <v>87</v>
      </c>
      <c r="AY317" s="83" t="s">
        <v>139</v>
      </c>
      <c r="BE317" s="186">
        <f aca="true" t="shared" si="4" ref="BE317">IF(N317="základní",J317,0)</f>
        <v>0</v>
      </c>
      <c r="BF317" s="186">
        <f aca="true" t="shared" si="5" ref="BF317">IF(N317="snížená",J317,0)</f>
        <v>0</v>
      </c>
      <c r="BG317" s="186">
        <f aca="true" t="shared" si="6" ref="BG317">IF(N317="zákl. přenesená",J317,0)</f>
        <v>0</v>
      </c>
      <c r="BH317" s="186">
        <f aca="true" t="shared" si="7" ref="BH317">IF(N317="sníž. přenesená",J317,0)</f>
        <v>0</v>
      </c>
      <c r="BI317" s="186">
        <f aca="true" t="shared" si="8" ref="BI317">IF(N317="nulová",J317,0)</f>
        <v>0</v>
      </c>
      <c r="BJ317" s="83" t="s">
        <v>85</v>
      </c>
      <c r="BK317" s="186">
        <f aca="true" t="shared" si="9" ref="BK317">ROUND(I317*H317,2)</f>
        <v>0</v>
      </c>
      <c r="BL317" s="83" t="s">
        <v>146</v>
      </c>
      <c r="BM317" s="185" t="s">
        <v>1422</v>
      </c>
    </row>
    <row r="318" spans="1:65" s="95" customFormat="1" ht="36">
      <c r="A318" s="91"/>
      <c r="B318" s="92"/>
      <c r="C318" s="175" t="s">
        <v>470</v>
      </c>
      <c r="D318" s="175" t="s">
        <v>141</v>
      </c>
      <c r="E318" s="176" t="s">
        <v>471</v>
      </c>
      <c r="F318" s="177" t="s">
        <v>472</v>
      </c>
      <c r="G318" s="178" t="s">
        <v>297</v>
      </c>
      <c r="H318" s="179">
        <v>4</v>
      </c>
      <c r="I318" s="69"/>
      <c r="J318" s="180">
        <f>ROUND(I318*H318,2)</f>
        <v>0</v>
      </c>
      <c r="K318" s="177" t="s">
        <v>145</v>
      </c>
      <c r="L318" s="92"/>
      <c r="M318" s="181" t="s">
        <v>1</v>
      </c>
      <c r="N318" s="182" t="s">
        <v>44</v>
      </c>
      <c r="O318" s="183">
        <v>1.359</v>
      </c>
      <c r="P318" s="183">
        <f>O318*H318</f>
        <v>5.436</v>
      </c>
      <c r="Q318" s="183">
        <v>0</v>
      </c>
      <c r="R318" s="183">
        <f>Q318*H318</f>
        <v>0</v>
      </c>
      <c r="S318" s="183">
        <v>0.00768</v>
      </c>
      <c r="T318" s="184">
        <f>S318*H318</f>
        <v>0.03072</v>
      </c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R318" s="185" t="s">
        <v>146</v>
      </c>
      <c r="AT318" s="185" t="s">
        <v>141</v>
      </c>
      <c r="AU318" s="185" t="s">
        <v>87</v>
      </c>
      <c r="AY318" s="83" t="s">
        <v>139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83" t="s">
        <v>85</v>
      </c>
      <c r="BK318" s="186">
        <f>ROUND(I318*H318,2)</f>
        <v>0</v>
      </c>
      <c r="BL318" s="83" t="s">
        <v>146</v>
      </c>
      <c r="BM318" s="185" t="s">
        <v>473</v>
      </c>
    </row>
    <row r="319" spans="2:51" s="201" customFormat="1" ht="22.5">
      <c r="B319" s="202"/>
      <c r="D319" s="189" t="s">
        <v>148</v>
      </c>
      <c r="E319" s="203" t="s">
        <v>1</v>
      </c>
      <c r="F319" s="204" t="s">
        <v>474</v>
      </c>
      <c r="H319" s="203" t="s">
        <v>1</v>
      </c>
      <c r="I319" s="235"/>
      <c r="L319" s="202"/>
      <c r="M319" s="205"/>
      <c r="N319" s="206"/>
      <c r="O319" s="206"/>
      <c r="P319" s="206"/>
      <c r="Q319" s="206"/>
      <c r="R319" s="206"/>
      <c r="S319" s="206"/>
      <c r="T319" s="207"/>
      <c r="AT319" s="203" t="s">
        <v>148</v>
      </c>
      <c r="AU319" s="203" t="s">
        <v>87</v>
      </c>
      <c r="AV319" s="201" t="s">
        <v>85</v>
      </c>
      <c r="AW319" s="201" t="s">
        <v>34</v>
      </c>
      <c r="AX319" s="201" t="s">
        <v>78</v>
      </c>
      <c r="AY319" s="203" t="s">
        <v>139</v>
      </c>
    </row>
    <row r="320" spans="2:51" s="187" customFormat="1" ht="12">
      <c r="B320" s="188"/>
      <c r="D320" s="189" t="s">
        <v>148</v>
      </c>
      <c r="E320" s="190" t="s">
        <v>1</v>
      </c>
      <c r="F320" s="191" t="s">
        <v>146</v>
      </c>
      <c r="H320" s="192">
        <v>4</v>
      </c>
      <c r="I320" s="233"/>
      <c r="L320" s="188"/>
      <c r="M320" s="193"/>
      <c r="N320" s="194"/>
      <c r="O320" s="194"/>
      <c r="P320" s="194"/>
      <c r="Q320" s="194"/>
      <c r="R320" s="194"/>
      <c r="S320" s="194"/>
      <c r="T320" s="195"/>
      <c r="AT320" s="190" t="s">
        <v>148</v>
      </c>
      <c r="AU320" s="190" t="s">
        <v>87</v>
      </c>
      <c r="AV320" s="187" t="s">
        <v>87</v>
      </c>
      <c r="AW320" s="187" t="s">
        <v>34</v>
      </c>
      <c r="AX320" s="187" t="s">
        <v>85</v>
      </c>
      <c r="AY320" s="190" t="s">
        <v>139</v>
      </c>
    </row>
    <row r="321" spans="1:65" s="95" customFormat="1" ht="44.25" customHeight="1">
      <c r="A321" s="91"/>
      <c r="B321" s="92"/>
      <c r="C321" s="175" t="s">
        <v>475</v>
      </c>
      <c r="D321" s="175" t="s">
        <v>141</v>
      </c>
      <c r="E321" s="176" t="s">
        <v>476</v>
      </c>
      <c r="F321" s="177" t="s">
        <v>477</v>
      </c>
      <c r="G321" s="178" t="s">
        <v>297</v>
      </c>
      <c r="H321" s="179">
        <v>2</v>
      </c>
      <c r="I321" s="69"/>
      <c r="J321" s="180">
        <f>ROUND(I321*H321,2)</f>
        <v>0</v>
      </c>
      <c r="K321" s="177" t="s">
        <v>145</v>
      </c>
      <c r="L321" s="92"/>
      <c r="M321" s="181" t="s">
        <v>1</v>
      </c>
      <c r="N321" s="182" t="s">
        <v>44</v>
      </c>
      <c r="O321" s="183">
        <v>1.554</v>
      </c>
      <c r="P321" s="183">
        <f>O321*H321</f>
        <v>3.108</v>
      </c>
      <c r="Q321" s="183">
        <v>0.00162</v>
      </c>
      <c r="R321" s="183">
        <f>Q321*H321</f>
        <v>0.00324</v>
      </c>
      <c r="S321" s="183">
        <v>0</v>
      </c>
      <c r="T321" s="184">
        <f>S321*H321</f>
        <v>0</v>
      </c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R321" s="185" t="s">
        <v>146</v>
      </c>
      <c r="AT321" s="185" t="s">
        <v>141</v>
      </c>
      <c r="AU321" s="185" t="s">
        <v>87</v>
      </c>
      <c r="AY321" s="83" t="s">
        <v>139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83" t="s">
        <v>85</v>
      </c>
      <c r="BK321" s="186">
        <f>ROUND(I321*H321,2)</f>
        <v>0</v>
      </c>
      <c r="BL321" s="83" t="s">
        <v>146</v>
      </c>
      <c r="BM321" s="185" t="s">
        <v>478</v>
      </c>
    </row>
    <row r="322" spans="2:51" s="201" customFormat="1" ht="12">
      <c r="B322" s="202"/>
      <c r="D322" s="189" t="s">
        <v>148</v>
      </c>
      <c r="E322" s="203" t="s">
        <v>1</v>
      </c>
      <c r="F322" s="204" t="s">
        <v>307</v>
      </c>
      <c r="H322" s="203" t="s">
        <v>1</v>
      </c>
      <c r="I322" s="235"/>
      <c r="L322" s="202"/>
      <c r="M322" s="205"/>
      <c r="N322" s="206"/>
      <c r="O322" s="206"/>
      <c r="P322" s="206"/>
      <c r="Q322" s="206"/>
      <c r="R322" s="206"/>
      <c r="S322" s="206"/>
      <c r="T322" s="207"/>
      <c r="AT322" s="203" t="s">
        <v>148</v>
      </c>
      <c r="AU322" s="203" t="s">
        <v>87</v>
      </c>
      <c r="AV322" s="201" t="s">
        <v>85</v>
      </c>
      <c r="AW322" s="201" t="s">
        <v>34</v>
      </c>
      <c r="AX322" s="201" t="s">
        <v>78</v>
      </c>
      <c r="AY322" s="203" t="s">
        <v>139</v>
      </c>
    </row>
    <row r="323" spans="2:51" s="187" customFormat="1" ht="12">
      <c r="B323" s="188"/>
      <c r="D323" s="189" t="s">
        <v>148</v>
      </c>
      <c r="E323" s="190" t="s">
        <v>1</v>
      </c>
      <c r="F323" s="191" t="s">
        <v>87</v>
      </c>
      <c r="H323" s="192">
        <v>2</v>
      </c>
      <c r="I323" s="233"/>
      <c r="L323" s="188"/>
      <c r="M323" s="193"/>
      <c r="N323" s="194"/>
      <c r="O323" s="194"/>
      <c r="P323" s="194"/>
      <c r="Q323" s="194"/>
      <c r="R323" s="194"/>
      <c r="S323" s="194"/>
      <c r="T323" s="195"/>
      <c r="AT323" s="190" t="s">
        <v>148</v>
      </c>
      <c r="AU323" s="190" t="s">
        <v>87</v>
      </c>
      <c r="AV323" s="187" t="s">
        <v>87</v>
      </c>
      <c r="AW323" s="187" t="s">
        <v>34</v>
      </c>
      <c r="AX323" s="187" t="s">
        <v>85</v>
      </c>
      <c r="AY323" s="190" t="s">
        <v>139</v>
      </c>
    </row>
    <row r="324" spans="1:65" s="95" customFormat="1" ht="24">
      <c r="A324" s="91"/>
      <c r="B324" s="92"/>
      <c r="C324" s="217" t="s">
        <v>479</v>
      </c>
      <c r="D324" s="217" t="s">
        <v>251</v>
      </c>
      <c r="E324" s="218" t="s">
        <v>480</v>
      </c>
      <c r="F324" s="228" t="s">
        <v>481</v>
      </c>
      <c r="G324" s="220" t="s">
        <v>460</v>
      </c>
      <c r="H324" s="221">
        <v>2</v>
      </c>
      <c r="I324" s="70"/>
      <c r="J324" s="222">
        <f>ROUND(I324*H324,2)</f>
        <v>0</v>
      </c>
      <c r="K324" s="219" t="s">
        <v>1</v>
      </c>
      <c r="L324" s="223"/>
      <c r="M324" s="224" t="s">
        <v>1</v>
      </c>
      <c r="N324" s="225" t="s">
        <v>44</v>
      </c>
      <c r="O324" s="183">
        <v>0</v>
      </c>
      <c r="P324" s="183">
        <f>O324*H324</f>
        <v>0</v>
      </c>
      <c r="Q324" s="183">
        <v>0.00654</v>
      </c>
      <c r="R324" s="183">
        <f>Q324*H324</f>
        <v>0.01308</v>
      </c>
      <c r="S324" s="183">
        <v>0</v>
      </c>
      <c r="T324" s="184">
        <f>S324*H324</f>
        <v>0</v>
      </c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R324" s="185" t="s">
        <v>187</v>
      </c>
      <c r="AT324" s="185" t="s">
        <v>251</v>
      </c>
      <c r="AU324" s="185" t="s">
        <v>87</v>
      </c>
      <c r="AY324" s="83" t="s">
        <v>139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83" t="s">
        <v>85</v>
      </c>
      <c r="BK324" s="186">
        <f>ROUND(I324*H324,2)</f>
        <v>0</v>
      </c>
      <c r="BL324" s="83" t="s">
        <v>146</v>
      </c>
      <c r="BM324" s="185" t="s">
        <v>482</v>
      </c>
    </row>
    <row r="325" spans="1:65" s="95" customFormat="1" ht="16.5" customHeight="1">
      <c r="A325" s="91"/>
      <c r="B325" s="92"/>
      <c r="C325" s="217" t="s">
        <v>483</v>
      </c>
      <c r="D325" s="217" t="s">
        <v>251</v>
      </c>
      <c r="E325" s="218" t="s">
        <v>484</v>
      </c>
      <c r="F325" s="228" t="s">
        <v>485</v>
      </c>
      <c r="G325" s="220" t="s">
        <v>460</v>
      </c>
      <c r="H325" s="221">
        <v>2</v>
      </c>
      <c r="I325" s="70"/>
      <c r="J325" s="222">
        <f>ROUND(I325*H325,2)</f>
        <v>0</v>
      </c>
      <c r="K325" s="219" t="s">
        <v>1</v>
      </c>
      <c r="L325" s="223"/>
      <c r="M325" s="224" t="s">
        <v>1</v>
      </c>
      <c r="N325" s="225" t="s">
        <v>44</v>
      </c>
      <c r="O325" s="183">
        <v>0</v>
      </c>
      <c r="P325" s="183">
        <f>O325*H325</f>
        <v>0</v>
      </c>
      <c r="Q325" s="183">
        <v>0.0147</v>
      </c>
      <c r="R325" s="183">
        <f>Q325*H325</f>
        <v>0.0294</v>
      </c>
      <c r="S325" s="183">
        <v>0</v>
      </c>
      <c r="T325" s="184">
        <f>S325*H325</f>
        <v>0</v>
      </c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R325" s="185" t="s">
        <v>187</v>
      </c>
      <c r="AT325" s="185" t="s">
        <v>251</v>
      </c>
      <c r="AU325" s="185" t="s">
        <v>87</v>
      </c>
      <c r="AY325" s="83" t="s">
        <v>139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83" t="s">
        <v>85</v>
      </c>
      <c r="BK325" s="186">
        <f>ROUND(I325*H325,2)</f>
        <v>0</v>
      </c>
      <c r="BL325" s="83" t="s">
        <v>146</v>
      </c>
      <c r="BM325" s="185" t="s">
        <v>486</v>
      </c>
    </row>
    <row r="326" spans="1:65" s="95" customFormat="1" ht="36">
      <c r="A326" s="91"/>
      <c r="B326" s="92"/>
      <c r="C326" s="175" t="s">
        <v>487</v>
      </c>
      <c r="D326" s="175" t="s">
        <v>141</v>
      </c>
      <c r="E326" s="176" t="s">
        <v>488</v>
      </c>
      <c r="F326" s="177" t="s">
        <v>489</v>
      </c>
      <c r="G326" s="178" t="s">
        <v>297</v>
      </c>
      <c r="H326" s="179">
        <v>3</v>
      </c>
      <c r="I326" s="69"/>
      <c r="J326" s="180">
        <f>ROUND(I326*H326,2)</f>
        <v>0</v>
      </c>
      <c r="K326" s="177" t="s">
        <v>1</v>
      </c>
      <c r="L326" s="92"/>
      <c r="M326" s="181" t="s">
        <v>1</v>
      </c>
      <c r="N326" s="182" t="s">
        <v>44</v>
      </c>
      <c r="O326" s="183">
        <v>1.787</v>
      </c>
      <c r="P326" s="183">
        <f>O326*H326</f>
        <v>5.361</v>
      </c>
      <c r="Q326" s="183">
        <v>0</v>
      </c>
      <c r="R326" s="183">
        <f>Q326*H326</f>
        <v>0</v>
      </c>
      <c r="S326" s="183">
        <v>0.0173</v>
      </c>
      <c r="T326" s="184">
        <f>S326*H326</f>
        <v>0.0519</v>
      </c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R326" s="185" t="s">
        <v>146</v>
      </c>
      <c r="AT326" s="185" t="s">
        <v>141</v>
      </c>
      <c r="AU326" s="185" t="s">
        <v>87</v>
      </c>
      <c r="AY326" s="83" t="s">
        <v>139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83" t="s">
        <v>85</v>
      </c>
      <c r="BK326" s="186">
        <f>ROUND(I326*H326,2)</f>
        <v>0</v>
      </c>
      <c r="BL326" s="83" t="s">
        <v>146</v>
      </c>
      <c r="BM326" s="185" t="s">
        <v>490</v>
      </c>
    </row>
    <row r="327" spans="2:51" s="187" customFormat="1" ht="12">
      <c r="B327" s="188"/>
      <c r="D327" s="189" t="s">
        <v>148</v>
      </c>
      <c r="E327" s="190" t="s">
        <v>1</v>
      </c>
      <c r="F327" s="191" t="s">
        <v>491</v>
      </c>
      <c r="H327" s="192">
        <v>2</v>
      </c>
      <c r="I327" s="233"/>
      <c r="L327" s="188"/>
      <c r="M327" s="193"/>
      <c r="N327" s="194"/>
      <c r="O327" s="194"/>
      <c r="P327" s="194"/>
      <c r="Q327" s="194"/>
      <c r="R327" s="194"/>
      <c r="S327" s="194"/>
      <c r="T327" s="195"/>
      <c r="AT327" s="190" t="s">
        <v>148</v>
      </c>
      <c r="AU327" s="190" t="s">
        <v>87</v>
      </c>
      <c r="AV327" s="187" t="s">
        <v>87</v>
      </c>
      <c r="AW327" s="187" t="s">
        <v>34</v>
      </c>
      <c r="AX327" s="187" t="s">
        <v>78</v>
      </c>
      <c r="AY327" s="190" t="s">
        <v>139</v>
      </c>
    </row>
    <row r="328" spans="2:51" s="187" customFormat="1" ht="12">
      <c r="B328" s="188"/>
      <c r="D328" s="189" t="s">
        <v>148</v>
      </c>
      <c r="E328" s="190" t="s">
        <v>1</v>
      </c>
      <c r="F328" s="191" t="s">
        <v>492</v>
      </c>
      <c r="H328" s="192">
        <v>1</v>
      </c>
      <c r="I328" s="233"/>
      <c r="L328" s="188"/>
      <c r="M328" s="193"/>
      <c r="N328" s="194"/>
      <c r="O328" s="194"/>
      <c r="P328" s="194"/>
      <c r="Q328" s="194"/>
      <c r="R328" s="194"/>
      <c r="S328" s="194"/>
      <c r="T328" s="195"/>
      <c r="AT328" s="190" t="s">
        <v>148</v>
      </c>
      <c r="AU328" s="190" t="s">
        <v>87</v>
      </c>
      <c r="AV328" s="187" t="s">
        <v>87</v>
      </c>
      <c r="AW328" s="187" t="s">
        <v>34</v>
      </c>
      <c r="AX328" s="187" t="s">
        <v>78</v>
      </c>
      <c r="AY328" s="190" t="s">
        <v>139</v>
      </c>
    </row>
    <row r="329" spans="2:51" s="208" customFormat="1" ht="12">
      <c r="B329" s="209"/>
      <c r="D329" s="189" t="s">
        <v>148</v>
      </c>
      <c r="E329" s="210" t="s">
        <v>1</v>
      </c>
      <c r="F329" s="211" t="s">
        <v>159</v>
      </c>
      <c r="H329" s="212">
        <v>3</v>
      </c>
      <c r="I329" s="236"/>
      <c r="L329" s="209"/>
      <c r="M329" s="213"/>
      <c r="N329" s="214"/>
      <c r="O329" s="214"/>
      <c r="P329" s="214"/>
      <c r="Q329" s="214"/>
      <c r="R329" s="214"/>
      <c r="S329" s="214"/>
      <c r="T329" s="215"/>
      <c r="AT329" s="210" t="s">
        <v>148</v>
      </c>
      <c r="AU329" s="210" t="s">
        <v>87</v>
      </c>
      <c r="AV329" s="208" t="s">
        <v>146</v>
      </c>
      <c r="AW329" s="208" t="s">
        <v>34</v>
      </c>
      <c r="AX329" s="208" t="s">
        <v>85</v>
      </c>
      <c r="AY329" s="210" t="s">
        <v>139</v>
      </c>
    </row>
    <row r="330" spans="1:65" s="95" customFormat="1" ht="44.25" customHeight="1">
      <c r="A330" s="91"/>
      <c r="B330" s="92"/>
      <c r="C330" s="175" t="s">
        <v>493</v>
      </c>
      <c r="D330" s="175" t="s">
        <v>141</v>
      </c>
      <c r="E330" s="176" t="s">
        <v>494</v>
      </c>
      <c r="F330" s="177" t="s">
        <v>495</v>
      </c>
      <c r="G330" s="178" t="s">
        <v>297</v>
      </c>
      <c r="H330" s="179">
        <v>1</v>
      </c>
      <c r="I330" s="69"/>
      <c r="J330" s="180">
        <f>ROUND(I330*H330,2)</f>
        <v>0</v>
      </c>
      <c r="K330" s="177" t="s">
        <v>145</v>
      </c>
      <c r="L330" s="92"/>
      <c r="M330" s="181" t="s">
        <v>1</v>
      </c>
      <c r="N330" s="182" t="s">
        <v>44</v>
      </c>
      <c r="O330" s="183">
        <v>0.78</v>
      </c>
      <c r="P330" s="183">
        <f>O330*H330</f>
        <v>0.78</v>
      </c>
      <c r="Q330" s="183">
        <v>0.00156</v>
      </c>
      <c r="R330" s="183">
        <f>Q330*H330</f>
        <v>0.00156</v>
      </c>
      <c r="S330" s="183">
        <v>0</v>
      </c>
      <c r="T330" s="184">
        <f>S330*H330</f>
        <v>0</v>
      </c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R330" s="185" t="s">
        <v>146</v>
      </c>
      <c r="AT330" s="185" t="s">
        <v>141</v>
      </c>
      <c r="AU330" s="185" t="s">
        <v>87</v>
      </c>
      <c r="AY330" s="83" t="s">
        <v>139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83" t="s">
        <v>85</v>
      </c>
      <c r="BK330" s="186">
        <f>ROUND(I330*H330,2)</f>
        <v>0</v>
      </c>
      <c r="BL330" s="83" t="s">
        <v>146</v>
      </c>
      <c r="BM330" s="185" t="s">
        <v>496</v>
      </c>
    </row>
    <row r="331" spans="1:65" s="95" customFormat="1" ht="24">
      <c r="A331" s="91"/>
      <c r="B331" s="92"/>
      <c r="C331" s="217" t="s">
        <v>497</v>
      </c>
      <c r="D331" s="217" t="s">
        <v>251</v>
      </c>
      <c r="E331" s="218" t="s">
        <v>498</v>
      </c>
      <c r="F331" s="228" t="s">
        <v>499</v>
      </c>
      <c r="G331" s="220" t="s">
        <v>297</v>
      </c>
      <c r="H331" s="221">
        <v>1</v>
      </c>
      <c r="I331" s="70"/>
      <c r="J331" s="222">
        <f>ROUND(I331*H331,2)</f>
        <v>0</v>
      </c>
      <c r="K331" s="219" t="s">
        <v>1</v>
      </c>
      <c r="L331" s="223"/>
      <c r="M331" s="224" t="s">
        <v>1</v>
      </c>
      <c r="N331" s="225" t="s">
        <v>44</v>
      </c>
      <c r="O331" s="183">
        <v>0</v>
      </c>
      <c r="P331" s="183">
        <f>O331*H331</f>
        <v>0</v>
      </c>
      <c r="Q331" s="183">
        <v>0.0171</v>
      </c>
      <c r="R331" s="183">
        <f>Q331*H331</f>
        <v>0.0171</v>
      </c>
      <c r="S331" s="183">
        <v>0</v>
      </c>
      <c r="T331" s="184">
        <f>S331*H331</f>
        <v>0</v>
      </c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R331" s="185" t="s">
        <v>187</v>
      </c>
      <c r="AT331" s="185" t="s">
        <v>251</v>
      </c>
      <c r="AU331" s="185" t="s">
        <v>87</v>
      </c>
      <c r="AY331" s="83" t="s">
        <v>139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83" t="s">
        <v>85</v>
      </c>
      <c r="BK331" s="186">
        <f>ROUND(I331*H331,2)</f>
        <v>0</v>
      </c>
      <c r="BL331" s="83" t="s">
        <v>146</v>
      </c>
      <c r="BM331" s="185" t="s">
        <v>500</v>
      </c>
    </row>
    <row r="332" spans="1:65" s="95" customFormat="1" ht="24">
      <c r="A332" s="91"/>
      <c r="B332" s="92"/>
      <c r="C332" s="175" t="s">
        <v>501</v>
      </c>
      <c r="D332" s="175" t="s">
        <v>141</v>
      </c>
      <c r="E332" s="176" t="s">
        <v>502</v>
      </c>
      <c r="F332" s="177" t="s">
        <v>503</v>
      </c>
      <c r="G332" s="178" t="s">
        <v>297</v>
      </c>
      <c r="H332" s="179">
        <v>1</v>
      </c>
      <c r="I332" s="69"/>
      <c r="J332" s="180">
        <f>ROUND(I332*H332,2)</f>
        <v>0</v>
      </c>
      <c r="K332" s="177" t="s">
        <v>504</v>
      </c>
      <c r="L332" s="92"/>
      <c r="M332" s="181" t="s">
        <v>1</v>
      </c>
      <c r="N332" s="182" t="s">
        <v>44</v>
      </c>
      <c r="O332" s="183">
        <v>0.708</v>
      </c>
      <c r="P332" s="183">
        <f>O332*H332</f>
        <v>0.708</v>
      </c>
      <c r="Q332" s="183">
        <v>0.00034</v>
      </c>
      <c r="R332" s="183">
        <f>Q332*H332</f>
        <v>0.00034</v>
      </c>
      <c r="S332" s="183">
        <v>0</v>
      </c>
      <c r="T332" s="184">
        <f>S332*H332</f>
        <v>0</v>
      </c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R332" s="185" t="s">
        <v>146</v>
      </c>
      <c r="AT332" s="185" t="s">
        <v>141</v>
      </c>
      <c r="AU332" s="185" t="s">
        <v>87</v>
      </c>
      <c r="AY332" s="83" t="s">
        <v>139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83" t="s">
        <v>85</v>
      </c>
      <c r="BK332" s="186">
        <f>ROUND(I332*H332,2)</f>
        <v>0</v>
      </c>
      <c r="BL332" s="83" t="s">
        <v>146</v>
      </c>
      <c r="BM332" s="185" t="s">
        <v>505</v>
      </c>
    </row>
    <row r="333" spans="2:51" s="201" customFormat="1" ht="12">
      <c r="B333" s="202"/>
      <c r="D333" s="189" t="s">
        <v>148</v>
      </c>
      <c r="E333" s="203" t="s">
        <v>1</v>
      </c>
      <c r="F333" s="204" t="s">
        <v>506</v>
      </c>
      <c r="H333" s="203" t="s">
        <v>1</v>
      </c>
      <c r="I333" s="235"/>
      <c r="L333" s="202"/>
      <c r="M333" s="205"/>
      <c r="N333" s="206"/>
      <c r="O333" s="206"/>
      <c r="P333" s="206"/>
      <c r="Q333" s="206"/>
      <c r="R333" s="206"/>
      <c r="S333" s="206"/>
      <c r="T333" s="207"/>
      <c r="AT333" s="203" t="s">
        <v>148</v>
      </c>
      <c r="AU333" s="203" t="s">
        <v>87</v>
      </c>
      <c r="AV333" s="201" t="s">
        <v>85</v>
      </c>
      <c r="AW333" s="201" t="s">
        <v>34</v>
      </c>
      <c r="AX333" s="201" t="s">
        <v>78</v>
      </c>
      <c r="AY333" s="203" t="s">
        <v>139</v>
      </c>
    </row>
    <row r="334" spans="2:51" s="201" customFormat="1" ht="12">
      <c r="B334" s="202"/>
      <c r="D334" s="189" t="s">
        <v>148</v>
      </c>
      <c r="E334" s="203" t="s">
        <v>1</v>
      </c>
      <c r="F334" s="204" t="s">
        <v>507</v>
      </c>
      <c r="H334" s="203" t="s">
        <v>1</v>
      </c>
      <c r="I334" s="235"/>
      <c r="L334" s="202"/>
      <c r="M334" s="205"/>
      <c r="N334" s="206"/>
      <c r="O334" s="206"/>
      <c r="P334" s="206"/>
      <c r="Q334" s="206"/>
      <c r="R334" s="206"/>
      <c r="S334" s="206"/>
      <c r="T334" s="207"/>
      <c r="AT334" s="203" t="s">
        <v>148</v>
      </c>
      <c r="AU334" s="203" t="s">
        <v>87</v>
      </c>
      <c r="AV334" s="201" t="s">
        <v>85</v>
      </c>
      <c r="AW334" s="201" t="s">
        <v>34</v>
      </c>
      <c r="AX334" s="201" t="s">
        <v>78</v>
      </c>
      <c r="AY334" s="203" t="s">
        <v>139</v>
      </c>
    </row>
    <row r="335" spans="2:51" s="187" customFormat="1" ht="12">
      <c r="B335" s="188"/>
      <c r="D335" s="189" t="s">
        <v>148</v>
      </c>
      <c r="E335" s="190" t="s">
        <v>1</v>
      </c>
      <c r="F335" s="191" t="s">
        <v>85</v>
      </c>
      <c r="H335" s="192">
        <v>1</v>
      </c>
      <c r="I335" s="233"/>
      <c r="L335" s="188"/>
      <c r="M335" s="193"/>
      <c r="N335" s="194"/>
      <c r="O335" s="194"/>
      <c r="P335" s="194"/>
      <c r="Q335" s="194"/>
      <c r="R335" s="194"/>
      <c r="S335" s="194"/>
      <c r="T335" s="195"/>
      <c r="AT335" s="190" t="s">
        <v>148</v>
      </c>
      <c r="AU335" s="190" t="s">
        <v>87</v>
      </c>
      <c r="AV335" s="187" t="s">
        <v>87</v>
      </c>
      <c r="AW335" s="187" t="s">
        <v>34</v>
      </c>
      <c r="AX335" s="187" t="s">
        <v>85</v>
      </c>
      <c r="AY335" s="190" t="s">
        <v>139</v>
      </c>
    </row>
    <row r="336" spans="1:65" s="95" customFormat="1" ht="24">
      <c r="A336" s="91"/>
      <c r="B336" s="92"/>
      <c r="C336" s="217" t="s">
        <v>508</v>
      </c>
      <c r="D336" s="217" t="s">
        <v>251</v>
      </c>
      <c r="E336" s="218" t="s">
        <v>509</v>
      </c>
      <c r="F336" s="228" t="s">
        <v>510</v>
      </c>
      <c r="G336" s="220" t="s">
        <v>297</v>
      </c>
      <c r="H336" s="221">
        <v>1</v>
      </c>
      <c r="I336" s="70"/>
      <c r="J336" s="222">
        <f>ROUND(I336*H336,2)</f>
        <v>0</v>
      </c>
      <c r="K336" s="219" t="s">
        <v>145</v>
      </c>
      <c r="L336" s="223"/>
      <c r="M336" s="224" t="s">
        <v>1</v>
      </c>
      <c r="N336" s="225" t="s">
        <v>44</v>
      </c>
      <c r="O336" s="183">
        <v>0</v>
      </c>
      <c r="P336" s="183">
        <f>O336*H336</f>
        <v>0</v>
      </c>
      <c r="Q336" s="183">
        <v>0.0325</v>
      </c>
      <c r="R336" s="183">
        <f>Q336*H336</f>
        <v>0.0325</v>
      </c>
      <c r="S336" s="183">
        <v>0</v>
      </c>
      <c r="T336" s="184">
        <f>S336*H336</f>
        <v>0</v>
      </c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R336" s="185" t="s">
        <v>187</v>
      </c>
      <c r="AT336" s="185" t="s">
        <v>251</v>
      </c>
      <c r="AU336" s="185" t="s">
        <v>87</v>
      </c>
      <c r="AY336" s="83" t="s">
        <v>139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83" t="s">
        <v>85</v>
      </c>
      <c r="BK336" s="186">
        <f>ROUND(I336*H336,2)</f>
        <v>0</v>
      </c>
      <c r="BL336" s="83" t="s">
        <v>146</v>
      </c>
      <c r="BM336" s="185" t="s">
        <v>511</v>
      </c>
    </row>
    <row r="337" spans="1:65" s="95" customFormat="1" ht="44.25" customHeight="1">
      <c r="A337" s="91"/>
      <c r="B337" s="92"/>
      <c r="C337" s="175" t="s">
        <v>512</v>
      </c>
      <c r="D337" s="175" t="s">
        <v>141</v>
      </c>
      <c r="E337" s="176" t="s">
        <v>513</v>
      </c>
      <c r="F337" s="177" t="s">
        <v>514</v>
      </c>
      <c r="G337" s="178" t="s">
        <v>297</v>
      </c>
      <c r="H337" s="179">
        <v>4</v>
      </c>
      <c r="I337" s="69"/>
      <c r="J337" s="180">
        <f>ROUND(I337*H337,2)</f>
        <v>0</v>
      </c>
      <c r="K337" s="177" t="s">
        <v>145</v>
      </c>
      <c r="L337" s="92"/>
      <c r="M337" s="181" t="s">
        <v>1</v>
      </c>
      <c r="N337" s="182" t="s">
        <v>44</v>
      </c>
      <c r="O337" s="183">
        <v>3.474</v>
      </c>
      <c r="P337" s="183">
        <f>O337*H337</f>
        <v>13.896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R337" s="185" t="s">
        <v>146</v>
      </c>
      <c r="AT337" s="185" t="s">
        <v>141</v>
      </c>
      <c r="AU337" s="185" t="s">
        <v>87</v>
      </c>
      <c r="AY337" s="83" t="s">
        <v>139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83" t="s">
        <v>85</v>
      </c>
      <c r="BK337" s="186">
        <f>ROUND(I337*H337,2)</f>
        <v>0</v>
      </c>
      <c r="BL337" s="83" t="s">
        <v>146</v>
      </c>
      <c r="BM337" s="185" t="s">
        <v>515</v>
      </c>
    </row>
    <row r="338" spans="2:51" s="201" customFormat="1" ht="12">
      <c r="B338" s="202"/>
      <c r="D338" s="189" t="s">
        <v>148</v>
      </c>
      <c r="E338" s="203" t="s">
        <v>1</v>
      </c>
      <c r="F338" s="204" t="s">
        <v>307</v>
      </c>
      <c r="H338" s="203" t="s">
        <v>1</v>
      </c>
      <c r="I338" s="235"/>
      <c r="L338" s="202"/>
      <c r="M338" s="205"/>
      <c r="N338" s="206"/>
      <c r="O338" s="206"/>
      <c r="P338" s="206"/>
      <c r="Q338" s="206"/>
      <c r="R338" s="206"/>
      <c r="S338" s="206"/>
      <c r="T338" s="207"/>
      <c r="AT338" s="203" t="s">
        <v>148</v>
      </c>
      <c r="AU338" s="203" t="s">
        <v>87</v>
      </c>
      <c r="AV338" s="201" t="s">
        <v>85</v>
      </c>
      <c r="AW338" s="201" t="s">
        <v>34</v>
      </c>
      <c r="AX338" s="201" t="s">
        <v>78</v>
      </c>
      <c r="AY338" s="203" t="s">
        <v>139</v>
      </c>
    </row>
    <row r="339" spans="2:51" s="187" customFormat="1" ht="12">
      <c r="B339" s="188"/>
      <c r="D339" s="189" t="s">
        <v>148</v>
      </c>
      <c r="E339" s="190" t="s">
        <v>1</v>
      </c>
      <c r="F339" s="191" t="s">
        <v>146</v>
      </c>
      <c r="H339" s="192">
        <v>4</v>
      </c>
      <c r="I339" s="233"/>
      <c r="L339" s="188"/>
      <c r="M339" s="193"/>
      <c r="N339" s="194"/>
      <c r="O339" s="194"/>
      <c r="P339" s="194"/>
      <c r="Q339" s="194"/>
      <c r="R339" s="194"/>
      <c r="S339" s="194"/>
      <c r="T339" s="195"/>
      <c r="AT339" s="190" t="s">
        <v>148</v>
      </c>
      <c r="AU339" s="190" t="s">
        <v>87</v>
      </c>
      <c r="AV339" s="187" t="s">
        <v>87</v>
      </c>
      <c r="AW339" s="187" t="s">
        <v>34</v>
      </c>
      <c r="AX339" s="187" t="s">
        <v>85</v>
      </c>
      <c r="AY339" s="190" t="s">
        <v>139</v>
      </c>
    </row>
    <row r="340" spans="1:65" s="95" customFormat="1" ht="24">
      <c r="A340" s="91"/>
      <c r="B340" s="92"/>
      <c r="C340" s="217" t="s">
        <v>516</v>
      </c>
      <c r="D340" s="217" t="s">
        <v>251</v>
      </c>
      <c r="E340" s="218" t="s">
        <v>517</v>
      </c>
      <c r="F340" s="228" t="s">
        <v>518</v>
      </c>
      <c r="G340" s="220" t="s">
        <v>297</v>
      </c>
      <c r="H340" s="221">
        <v>4</v>
      </c>
      <c r="I340" s="70"/>
      <c r="J340" s="222">
        <f>ROUND(I340*H340,2)</f>
        <v>0</v>
      </c>
      <c r="K340" s="219" t="s">
        <v>145</v>
      </c>
      <c r="L340" s="223"/>
      <c r="M340" s="224" t="s">
        <v>1</v>
      </c>
      <c r="N340" s="225" t="s">
        <v>44</v>
      </c>
      <c r="O340" s="183">
        <v>0</v>
      </c>
      <c r="P340" s="183">
        <f>O340*H340</f>
        <v>0</v>
      </c>
      <c r="Q340" s="183">
        <v>0.0019</v>
      </c>
      <c r="R340" s="183">
        <f>Q340*H340</f>
        <v>0.0076</v>
      </c>
      <c r="S340" s="183">
        <v>0</v>
      </c>
      <c r="T340" s="184">
        <f>S340*H340</f>
        <v>0</v>
      </c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R340" s="185" t="s">
        <v>187</v>
      </c>
      <c r="AT340" s="185" t="s">
        <v>251</v>
      </c>
      <c r="AU340" s="185" t="s">
        <v>87</v>
      </c>
      <c r="AY340" s="83" t="s">
        <v>139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83" t="s">
        <v>85</v>
      </c>
      <c r="BK340" s="186">
        <f>ROUND(I340*H340,2)</f>
        <v>0</v>
      </c>
      <c r="BL340" s="83" t="s">
        <v>146</v>
      </c>
      <c r="BM340" s="185" t="s">
        <v>519</v>
      </c>
    </row>
    <row r="341" spans="1:65" s="95" customFormat="1" ht="24">
      <c r="A341" s="91"/>
      <c r="B341" s="92"/>
      <c r="C341" s="175" t="s">
        <v>520</v>
      </c>
      <c r="D341" s="175" t="s">
        <v>141</v>
      </c>
      <c r="E341" s="176" t="s">
        <v>521</v>
      </c>
      <c r="F341" s="177" t="s">
        <v>522</v>
      </c>
      <c r="G341" s="178" t="s">
        <v>171</v>
      </c>
      <c r="H341" s="179">
        <v>251.58</v>
      </c>
      <c r="I341" s="69"/>
      <c r="J341" s="180">
        <f>ROUND(I341*H341,2)</f>
        <v>0</v>
      </c>
      <c r="K341" s="177" t="s">
        <v>145</v>
      </c>
      <c r="L341" s="92"/>
      <c r="M341" s="181" t="s">
        <v>1</v>
      </c>
      <c r="N341" s="182" t="s">
        <v>44</v>
      </c>
      <c r="O341" s="183">
        <v>0.079</v>
      </c>
      <c r="P341" s="183">
        <f>O341*H341</f>
        <v>19.87482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R341" s="185" t="s">
        <v>146</v>
      </c>
      <c r="AT341" s="185" t="s">
        <v>141</v>
      </c>
      <c r="AU341" s="185" t="s">
        <v>87</v>
      </c>
      <c r="AY341" s="83" t="s">
        <v>139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83" t="s">
        <v>85</v>
      </c>
      <c r="BK341" s="186">
        <f>ROUND(I341*H341,2)</f>
        <v>0</v>
      </c>
      <c r="BL341" s="83" t="s">
        <v>146</v>
      </c>
      <c r="BM341" s="185" t="s">
        <v>523</v>
      </c>
    </row>
    <row r="342" spans="2:51" s="187" customFormat="1" ht="12">
      <c r="B342" s="188"/>
      <c r="D342" s="189" t="s">
        <v>148</v>
      </c>
      <c r="E342" s="190" t="s">
        <v>1</v>
      </c>
      <c r="F342" s="191" t="s">
        <v>356</v>
      </c>
      <c r="H342" s="192">
        <v>251.58</v>
      </c>
      <c r="I342" s="233"/>
      <c r="L342" s="188"/>
      <c r="M342" s="193"/>
      <c r="N342" s="194"/>
      <c r="O342" s="194"/>
      <c r="P342" s="194"/>
      <c r="Q342" s="194"/>
      <c r="R342" s="194"/>
      <c r="S342" s="194"/>
      <c r="T342" s="195"/>
      <c r="AT342" s="190" t="s">
        <v>148</v>
      </c>
      <c r="AU342" s="190" t="s">
        <v>87</v>
      </c>
      <c r="AV342" s="187" t="s">
        <v>87</v>
      </c>
      <c r="AW342" s="187" t="s">
        <v>34</v>
      </c>
      <c r="AX342" s="187" t="s">
        <v>85</v>
      </c>
      <c r="AY342" s="190" t="s">
        <v>139</v>
      </c>
    </row>
    <row r="343" spans="1:65" s="95" customFormat="1" ht="24">
      <c r="A343" s="91"/>
      <c r="B343" s="92"/>
      <c r="C343" s="175" t="s">
        <v>524</v>
      </c>
      <c r="D343" s="175" t="s">
        <v>141</v>
      </c>
      <c r="E343" s="176" t="s">
        <v>525</v>
      </c>
      <c r="F343" s="177" t="s">
        <v>526</v>
      </c>
      <c r="G343" s="178" t="s">
        <v>297</v>
      </c>
      <c r="H343" s="179">
        <v>6</v>
      </c>
      <c r="I343" s="69"/>
      <c r="J343" s="180">
        <f>ROUND(I343*H343,2)</f>
        <v>0</v>
      </c>
      <c r="K343" s="177" t="s">
        <v>145</v>
      </c>
      <c r="L343" s="92"/>
      <c r="M343" s="181" t="s">
        <v>1</v>
      </c>
      <c r="N343" s="182" t="s">
        <v>44</v>
      </c>
      <c r="O343" s="183">
        <v>10.3</v>
      </c>
      <c r="P343" s="183">
        <f>O343*H343</f>
        <v>61.800000000000004</v>
      </c>
      <c r="Q343" s="183">
        <v>0.46009</v>
      </c>
      <c r="R343" s="183">
        <f>Q343*H343</f>
        <v>2.7605399999999998</v>
      </c>
      <c r="S343" s="183">
        <v>0</v>
      </c>
      <c r="T343" s="184">
        <f>S343*H343</f>
        <v>0</v>
      </c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R343" s="185" t="s">
        <v>146</v>
      </c>
      <c r="AT343" s="185" t="s">
        <v>141</v>
      </c>
      <c r="AU343" s="185" t="s">
        <v>87</v>
      </c>
      <c r="AY343" s="83" t="s">
        <v>139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83" t="s">
        <v>85</v>
      </c>
      <c r="BK343" s="186">
        <f>ROUND(I343*H343,2)</f>
        <v>0</v>
      </c>
      <c r="BL343" s="83" t="s">
        <v>146</v>
      </c>
      <c r="BM343" s="185" t="s">
        <v>527</v>
      </c>
    </row>
    <row r="344" spans="1:65" s="95" customFormat="1" ht="16.5" customHeight="1">
      <c r="A344" s="91"/>
      <c r="B344" s="92"/>
      <c r="C344" s="175" t="s">
        <v>528</v>
      </c>
      <c r="D344" s="175" t="s">
        <v>141</v>
      </c>
      <c r="E344" s="176" t="s">
        <v>529</v>
      </c>
      <c r="F344" s="177" t="s">
        <v>530</v>
      </c>
      <c r="G344" s="178" t="s">
        <v>297</v>
      </c>
      <c r="H344" s="179">
        <v>6</v>
      </c>
      <c r="I344" s="69"/>
      <c r="J344" s="180">
        <f>ROUND(I344*H344,2)</f>
        <v>0</v>
      </c>
      <c r="K344" s="177" t="s">
        <v>145</v>
      </c>
      <c r="L344" s="92"/>
      <c r="M344" s="181" t="s">
        <v>1</v>
      </c>
      <c r="N344" s="182" t="s">
        <v>44</v>
      </c>
      <c r="O344" s="183">
        <v>0.863</v>
      </c>
      <c r="P344" s="183">
        <f>O344*H344</f>
        <v>5.178</v>
      </c>
      <c r="Q344" s="183">
        <v>0.12303</v>
      </c>
      <c r="R344" s="183">
        <f>Q344*H344</f>
        <v>0.7381800000000001</v>
      </c>
      <c r="S344" s="183">
        <v>0</v>
      </c>
      <c r="T344" s="184">
        <f>S344*H344</f>
        <v>0</v>
      </c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R344" s="185" t="s">
        <v>146</v>
      </c>
      <c r="AT344" s="185" t="s">
        <v>141</v>
      </c>
      <c r="AU344" s="185" t="s">
        <v>87</v>
      </c>
      <c r="AY344" s="83" t="s">
        <v>139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83" t="s">
        <v>85</v>
      </c>
      <c r="BK344" s="186">
        <f>ROUND(I344*H344,2)</f>
        <v>0</v>
      </c>
      <c r="BL344" s="83" t="s">
        <v>146</v>
      </c>
      <c r="BM344" s="185" t="s">
        <v>531</v>
      </c>
    </row>
    <row r="345" spans="2:51" s="201" customFormat="1" ht="12">
      <c r="B345" s="202"/>
      <c r="D345" s="189" t="s">
        <v>148</v>
      </c>
      <c r="E345" s="203" t="s">
        <v>1</v>
      </c>
      <c r="F345" s="204" t="s">
        <v>307</v>
      </c>
      <c r="H345" s="203" t="s">
        <v>1</v>
      </c>
      <c r="I345" s="235"/>
      <c r="L345" s="202"/>
      <c r="M345" s="205"/>
      <c r="N345" s="206"/>
      <c r="O345" s="206"/>
      <c r="P345" s="206"/>
      <c r="Q345" s="206"/>
      <c r="R345" s="206"/>
      <c r="S345" s="206"/>
      <c r="T345" s="207"/>
      <c r="AT345" s="203" t="s">
        <v>148</v>
      </c>
      <c r="AU345" s="203" t="s">
        <v>87</v>
      </c>
      <c r="AV345" s="201" t="s">
        <v>85</v>
      </c>
      <c r="AW345" s="201" t="s">
        <v>34</v>
      </c>
      <c r="AX345" s="201" t="s">
        <v>78</v>
      </c>
      <c r="AY345" s="203" t="s">
        <v>139</v>
      </c>
    </row>
    <row r="346" spans="2:51" s="187" customFormat="1" ht="12">
      <c r="B346" s="188"/>
      <c r="D346" s="189" t="s">
        <v>148</v>
      </c>
      <c r="E346" s="190" t="s">
        <v>1</v>
      </c>
      <c r="F346" s="191" t="s">
        <v>174</v>
      </c>
      <c r="H346" s="192">
        <v>6</v>
      </c>
      <c r="I346" s="233"/>
      <c r="L346" s="188"/>
      <c r="M346" s="193"/>
      <c r="N346" s="194"/>
      <c r="O346" s="194"/>
      <c r="P346" s="194"/>
      <c r="Q346" s="194"/>
      <c r="R346" s="194"/>
      <c r="S346" s="194"/>
      <c r="T346" s="195"/>
      <c r="AT346" s="190" t="s">
        <v>148</v>
      </c>
      <c r="AU346" s="190" t="s">
        <v>87</v>
      </c>
      <c r="AV346" s="187" t="s">
        <v>87</v>
      </c>
      <c r="AW346" s="187" t="s">
        <v>34</v>
      </c>
      <c r="AX346" s="187" t="s">
        <v>85</v>
      </c>
      <c r="AY346" s="190" t="s">
        <v>139</v>
      </c>
    </row>
    <row r="347" spans="1:65" s="95" customFormat="1" ht="24.2" customHeight="1">
      <c r="A347" s="91"/>
      <c r="B347" s="92"/>
      <c r="C347" s="217" t="s">
        <v>532</v>
      </c>
      <c r="D347" s="217" t="s">
        <v>251</v>
      </c>
      <c r="E347" s="218" t="s">
        <v>533</v>
      </c>
      <c r="F347" s="228" t="s">
        <v>534</v>
      </c>
      <c r="G347" s="220" t="s">
        <v>460</v>
      </c>
      <c r="H347" s="221">
        <v>6</v>
      </c>
      <c r="I347" s="70"/>
      <c r="J347" s="222">
        <f>ROUND(I347*H347,2)</f>
        <v>0</v>
      </c>
      <c r="K347" s="219" t="s">
        <v>1</v>
      </c>
      <c r="L347" s="223"/>
      <c r="M347" s="224" t="s">
        <v>1</v>
      </c>
      <c r="N347" s="225" t="s">
        <v>44</v>
      </c>
      <c r="O347" s="183">
        <v>0</v>
      </c>
      <c r="P347" s="183">
        <f>O347*H347</f>
        <v>0</v>
      </c>
      <c r="Q347" s="183">
        <v>0.0071</v>
      </c>
      <c r="R347" s="183">
        <f>Q347*H347</f>
        <v>0.0426</v>
      </c>
      <c r="S347" s="183">
        <v>0</v>
      </c>
      <c r="T347" s="184">
        <f>S347*H347</f>
        <v>0</v>
      </c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R347" s="185" t="s">
        <v>187</v>
      </c>
      <c r="AT347" s="185" t="s">
        <v>251</v>
      </c>
      <c r="AU347" s="185" t="s">
        <v>87</v>
      </c>
      <c r="AY347" s="83" t="s">
        <v>139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83" t="s">
        <v>85</v>
      </c>
      <c r="BK347" s="186">
        <f>ROUND(I347*H347,2)</f>
        <v>0</v>
      </c>
      <c r="BL347" s="83" t="s">
        <v>146</v>
      </c>
      <c r="BM347" s="185" t="s">
        <v>535</v>
      </c>
    </row>
    <row r="348" spans="1:65" s="95" customFormat="1" ht="16.5" customHeight="1">
      <c r="A348" s="91"/>
      <c r="B348" s="92"/>
      <c r="C348" s="175" t="s">
        <v>537</v>
      </c>
      <c r="D348" s="175" t="s">
        <v>141</v>
      </c>
      <c r="E348" s="176" t="s">
        <v>538</v>
      </c>
      <c r="F348" s="177" t="s">
        <v>539</v>
      </c>
      <c r="G348" s="178" t="s">
        <v>297</v>
      </c>
      <c r="H348" s="179">
        <v>2</v>
      </c>
      <c r="I348" s="69"/>
      <c r="J348" s="180">
        <f>ROUND(I348*H348,2)</f>
        <v>0</v>
      </c>
      <c r="K348" s="177" t="s">
        <v>145</v>
      </c>
      <c r="L348" s="92"/>
      <c r="M348" s="181" t="s">
        <v>1</v>
      </c>
      <c r="N348" s="182" t="s">
        <v>44</v>
      </c>
      <c r="O348" s="183">
        <v>1.182</v>
      </c>
      <c r="P348" s="183">
        <f>O348*H348</f>
        <v>2.364</v>
      </c>
      <c r="Q348" s="183">
        <v>0.32906</v>
      </c>
      <c r="R348" s="183">
        <f>Q348*H348</f>
        <v>0.65812</v>
      </c>
      <c r="S348" s="183">
        <v>0</v>
      </c>
      <c r="T348" s="184">
        <f>S348*H348</f>
        <v>0</v>
      </c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R348" s="185" t="s">
        <v>146</v>
      </c>
      <c r="AT348" s="185" t="s">
        <v>141</v>
      </c>
      <c r="AU348" s="185" t="s">
        <v>87</v>
      </c>
      <c r="AY348" s="83" t="s">
        <v>139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83" t="s">
        <v>85</v>
      </c>
      <c r="BK348" s="186">
        <f>ROUND(I348*H348,2)</f>
        <v>0</v>
      </c>
      <c r="BL348" s="83" t="s">
        <v>146</v>
      </c>
      <c r="BM348" s="185" t="s">
        <v>540</v>
      </c>
    </row>
    <row r="349" spans="2:51" s="201" customFormat="1" ht="22.5">
      <c r="B349" s="202"/>
      <c r="D349" s="189" t="s">
        <v>148</v>
      </c>
      <c r="E349" s="203" t="s">
        <v>1</v>
      </c>
      <c r="F349" s="204" t="s">
        <v>541</v>
      </c>
      <c r="H349" s="203" t="s">
        <v>1</v>
      </c>
      <c r="I349" s="235"/>
      <c r="L349" s="202"/>
      <c r="M349" s="205"/>
      <c r="N349" s="206"/>
      <c r="O349" s="206"/>
      <c r="P349" s="206"/>
      <c r="Q349" s="206"/>
      <c r="R349" s="206"/>
      <c r="S349" s="206"/>
      <c r="T349" s="207"/>
      <c r="AT349" s="203" t="s">
        <v>148</v>
      </c>
      <c r="AU349" s="203" t="s">
        <v>87</v>
      </c>
      <c r="AV349" s="201" t="s">
        <v>85</v>
      </c>
      <c r="AW349" s="201" t="s">
        <v>34</v>
      </c>
      <c r="AX349" s="201" t="s">
        <v>78</v>
      </c>
      <c r="AY349" s="203" t="s">
        <v>139</v>
      </c>
    </row>
    <row r="350" spans="2:51" s="187" customFormat="1" ht="12">
      <c r="B350" s="188"/>
      <c r="D350" s="189" t="s">
        <v>148</v>
      </c>
      <c r="E350" s="190" t="s">
        <v>1</v>
      </c>
      <c r="F350" s="191" t="s">
        <v>87</v>
      </c>
      <c r="H350" s="192">
        <v>2</v>
      </c>
      <c r="I350" s="233"/>
      <c r="L350" s="188"/>
      <c r="M350" s="193"/>
      <c r="N350" s="194"/>
      <c r="O350" s="194"/>
      <c r="P350" s="194"/>
      <c r="Q350" s="194"/>
      <c r="R350" s="194"/>
      <c r="S350" s="194"/>
      <c r="T350" s="195"/>
      <c r="AT350" s="190" t="s">
        <v>148</v>
      </c>
      <c r="AU350" s="190" t="s">
        <v>87</v>
      </c>
      <c r="AV350" s="187" t="s">
        <v>87</v>
      </c>
      <c r="AW350" s="187" t="s">
        <v>34</v>
      </c>
      <c r="AX350" s="187" t="s">
        <v>85</v>
      </c>
      <c r="AY350" s="190" t="s">
        <v>139</v>
      </c>
    </row>
    <row r="351" spans="1:65" s="95" customFormat="1" ht="16.5" customHeight="1">
      <c r="A351" s="91"/>
      <c r="B351" s="92"/>
      <c r="C351" s="217" t="s">
        <v>542</v>
      </c>
      <c r="D351" s="217" t="s">
        <v>251</v>
      </c>
      <c r="E351" s="218" t="s">
        <v>543</v>
      </c>
      <c r="F351" s="228" t="s">
        <v>1504</v>
      </c>
      <c r="G351" s="220" t="s">
        <v>297</v>
      </c>
      <c r="H351" s="221">
        <v>1</v>
      </c>
      <c r="I351" s="70"/>
      <c r="J351" s="222">
        <f>ROUND(I351*H351,2)</f>
        <v>0</v>
      </c>
      <c r="K351" s="219" t="s">
        <v>1</v>
      </c>
      <c r="L351" s="223"/>
      <c r="M351" s="224" t="s">
        <v>1</v>
      </c>
      <c r="N351" s="225" t="s">
        <v>44</v>
      </c>
      <c r="O351" s="183">
        <v>0</v>
      </c>
      <c r="P351" s="183">
        <f>O351*H351</f>
        <v>0</v>
      </c>
      <c r="Q351" s="183">
        <v>0.0238</v>
      </c>
      <c r="R351" s="183">
        <f>Q351*H351</f>
        <v>0.0238</v>
      </c>
      <c r="S351" s="183">
        <v>0</v>
      </c>
      <c r="T351" s="184">
        <f>S351*H351</f>
        <v>0</v>
      </c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R351" s="185" t="s">
        <v>187</v>
      </c>
      <c r="AT351" s="185" t="s">
        <v>251</v>
      </c>
      <c r="AU351" s="185" t="s">
        <v>87</v>
      </c>
      <c r="AY351" s="83" t="s">
        <v>139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83" t="s">
        <v>85</v>
      </c>
      <c r="BK351" s="186">
        <f>ROUND(I351*H351,2)</f>
        <v>0</v>
      </c>
      <c r="BL351" s="83" t="s">
        <v>146</v>
      </c>
      <c r="BM351" s="185" t="s">
        <v>544</v>
      </c>
    </row>
    <row r="352" spans="1:65" s="95" customFormat="1" ht="24.2" customHeight="1">
      <c r="A352" s="91"/>
      <c r="B352" s="92"/>
      <c r="C352" s="217" t="s">
        <v>545</v>
      </c>
      <c r="D352" s="217" t="s">
        <v>251</v>
      </c>
      <c r="E352" s="218" t="s">
        <v>546</v>
      </c>
      <c r="F352" s="228" t="s">
        <v>547</v>
      </c>
      <c r="G352" s="220" t="s">
        <v>297</v>
      </c>
      <c r="H352" s="221">
        <v>2</v>
      </c>
      <c r="I352" s="70"/>
      <c r="J352" s="222">
        <f>ROUND(I352*H352,2)</f>
        <v>0</v>
      </c>
      <c r="K352" s="219" t="s">
        <v>1</v>
      </c>
      <c r="L352" s="223"/>
      <c r="M352" s="224" t="s">
        <v>1</v>
      </c>
      <c r="N352" s="225" t="s">
        <v>44</v>
      </c>
      <c r="O352" s="183">
        <v>0</v>
      </c>
      <c r="P352" s="183">
        <f>O352*H352</f>
        <v>0</v>
      </c>
      <c r="Q352" s="183">
        <v>0.001</v>
      </c>
      <c r="R352" s="183">
        <f>Q352*H352</f>
        <v>0.002</v>
      </c>
      <c r="S352" s="183">
        <v>0</v>
      </c>
      <c r="T352" s="184">
        <f>S352*H352</f>
        <v>0</v>
      </c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R352" s="185" t="s">
        <v>187</v>
      </c>
      <c r="AT352" s="185" t="s">
        <v>251</v>
      </c>
      <c r="AU352" s="185" t="s">
        <v>87</v>
      </c>
      <c r="AY352" s="83" t="s">
        <v>139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83" t="s">
        <v>85</v>
      </c>
      <c r="BK352" s="186">
        <f>ROUND(I352*H352,2)</f>
        <v>0</v>
      </c>
      <c r="BL352" s="83" t="s">
        <v>146</v>
      </c>
      <c r="BM352" s="185" t="s">
        <v>548</v>
      </c>
    </row>
    <row r="353" spans="1:65" s="95" customFormat="1" ht="24.2" customHeight="1">
      <c r="A353" s="91"/>
      <c r="B353" s="92"/>
      <c r="C353" s="217" t="s">
        <v>549</v>
      </c>
      <c r="D353" s="217" t="s">
        <v>251</v>
      </c>
      <c r="E353" s="218" t="s">
        <v>550</v>
      </c>
      <c r="F353" s="228" t="s">
        <v>551</v>
      </c>
      <c r="G353" s="220" t="s">
        <v>297</v>
      </c>
      <c r="H353" s="221">
        <v>1</v>
      </c>
      <c r="I353" s="70"/>
      <c r="J353" s="222">
        <f>ROUND(I353*H353,2)</f>
        <v>0</v>
      </c>
      <c r="K353" s="219" t="s">
        <v>1</v>
      </c>
      <c r="L353" s="223"/>
      <c r="M353" s="224" t="s">
        <v>1</v>
      </c>
      <c r="N353" s="225" t="s">
        <v>44</v>
      </c>
      <c r="O353" s="183">
        <v>0</v>
      </c>
      <c r="P353" s="183">
        <f>O353*H353</f>
        <v>0</v>
      </c>
      <c r="Q353" s="183">
        <v>0.0415</v>
      </c>
      <c r="R353" s="183">
        <f>Q353*H353</f>
        <v>0.0415</v>
      </c>
      <c r="S353" s="183">
        <v>0</v>
      </c>
      <c r="T353" s="184">
        <f>S353*H353</f>
        <v>0</v>
      </c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R353" s="185" t="s">
        <v>187</v>
      </c>
      <c r="AT353" s="185" t="s">
        <v>251</v>
      </c>
      <c r="AU353" s="185" t="s">
        <v>87</v>
      </c>
      <c r="AY353" s="83" t="s">
        <v>139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83" t="s">
        <v>85</v>
      </c>
      <c r="BK353" s="186">
        <f>ROUND(I353*H353,2)</f>
        <v>0</v>
      </c>
      <c r="BL353" s="83" t="s">
        <v>146</v>
      </c>
      <c r="BM353" s="185" t="s">
        <v>552</v>
      </c>
    </row>
    <row r="354" spans="1:65" s="95" customFormat="1" ht="21.75" customHeight="1">
      <c r="A354" s="91"/>
      <c r="B354" s="92"/>
      <c r="C354" s="175" t="s">
        <v>553</v>
      </c>
      <c r="D354" s="175" t="s">
        <v>141</v>
      </c>
      <c r="E354" s="176" t="s">
        <v>554</v>
      </c>
      <c r="F354" s="177" t="s">
        <v>555</v>
      </c>
      <c r="G354" s="178" t="s">
        <v>171</v>
      </c>
      <c r="H354" s="179">
        <v>251.58</v>
      </c>
      <c r="I354" s="69"/>
      <c r="J354" s="180">
        <f>ROUND(I354*H354,2)</f>
        <v>0</v>
      </c>
      <c r="K354" s="177" t="s">
        <v>145</v>
      </c>
      <c r="L354" s="92"/>
      <c r="M354" s="181" t="s">
        <v>1</v>
      </c>
      <c r="N354" s="182" t="s">
        <v>44</v>
      </c>
      <c r="O354" s="183">
        <v>0.025</v>
      </c>
      <c r="P354" s="183">
        <f>O354*H354</f>
        <v>6.2895</v>
      </c>
      <c r="Q354" s="183">
        <v>9E-05</v>
      </c>
      <c r="R354" s="183">
        <f>Q354*H354</f>
        <v>0.0226422</v>
      </c>
      <c r="S354" s="183">
        <v>0</v>
      </c>
      <c r="T354" s="184">
        <f>S354*H354</f>
        <v>0</v>
      </c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R354" s="185" t="s">
        <v>146</v>
      </c>
      <c r="AT354" s="185" t="s">
        <v>141</v>
      </c>
      <c r="AU354" s="185" t="s">
        <v>87</v>
      </c>
      <c r="AY354" s="83" t="s">
        <v>139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83" t="s">
        <v>85</v>
      </c>
      <c r="BK354" s="186">
        <f>ROUND(I354*H354,2)</f>
        <v>0</v>
      </c>
      <c r="BL354" s="83" t="s">
        <v>146</v>
      </c>
      <c r="BM354" s="185" t="s">
        <v>556</v>
      </c>
    </row>
    <row r="355" spans="2:51" s="187" customFormat="1" ht="12">
      <c r="B355" s="188"/>
      <c r="D355" s="189" t="s">
        <v>148</v>
      </c>
      <c r="E355" s="190" t="s">
        <v>1</v>
      </c>
      <c r="F355" s="191" t="s">
        <v>356</v>
      </c>
      <c r="H355" s="192">
        <v>251.58</v>
      </c>
      <c r="I355" s="233"/>
      <c r="L355" s="188"/>
      <c r="M355" s="193"/>
      <c r="N355" s="194"/>
      <c r="O355" s="194"/>
      <c r="P355" s="194"/>
      <c r="Q355" s="194"/>
      <c r="R355" s="194"/>
      <c r="S355" s="194"/>
      <c r="T355" s="195"/>
      <c r="AT355" s="190" t="s">
        <v>148</v>
      </c>
      <c r="AU355" s="190" t="s">
        <v>87</v>
      </c>
      <c r="AV355" s="187" t="s">
        <v>87</v>
      </c>
      <c r="AW355" s="187" t="s">
        <v>34</v>
      </c>
      <c r="AX355" s="187" t="s">
        <v>85</v>
      </c>
      <c r="AY355" s="190" t="s">
        <v>139</v>
      </c>
    </row>
    <row r="356" spans="1:65" s="95" customFormat="1" ht="24">
      <c r="A356" s="91"/>
      <c r="B356" s="92"/>
      <c r="C356" s="175" t="s">
        <v>557</v>
      </c>
      <c r="D356" s="175" t="s">
        <v>141</v>
      </c>
      <c r="E356" s="176" t="s">
        <v>558</v>
      </c>
      <c r="F356" s="177" t="s">
        <v>559</v>
      </c>
      <c r="G356" s="178" t="s">
        <v>297</v>
      </c>
      <c r="H356" s="179">
        <v>11</v>
      </c>
      <c r="I356" s="69"/>
      <c r="J356" s="180">
        <f>ROUND(I356*H356,2)</f>
        <v>0</v>
      </c>
      <c r="K356" s="177" t="s">
        <v>1</v>
      </c>
      <c r="L356" s="92"/>
      <c r="M356" s="181" t="s">
        <v>1</v>
      </c>
      <c r="N356" s="182" t="s">
        <v>44</v>
      </c>
      <c r="O356" s="183">
        <v>0.033</v>
      </c>
      <c r="P356" s="183">
        <f>O356*H356</f>
        <v>0.363</v>
      </c>
      <c r="Q356" s="183">
        <v>0.00015</v>
      </c>
      <c r="R356" s="183">
        <f>Q356*H356</f>
        <v>0.0016499999999999998</v>
      </c>
      <c r="S356" s="183">
        <v>0</v>
      </c>
      <c r="T356" s="184">
        <f>S356*H356</f>
        <v>0</v>
      </c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R356" s="185" t="s">
        <v>146</v>
      </c>
      <c r="AT356" s="185" t="s">
        <v>141</v>
      </c>
      <c r="AU356" s="185" t="s">
        <v>87</v>
      </c>
      <c r="AY356" s="83" t="s">
        <v>139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83" t="s">
        <v>85</v>
      </c>
      <c r="BK356" s="186">
        <f>ROUND(I356*H356,2)</f>
        <v>0</v>
      </c>
      <c r="BL356" s="83" t="s">
        <v>146</v>
      </c>
      <c r="BM356" s="185" t="s">
        <v>560</v>
      </c>
    </row>
    <row r="357" spans="2:51" s="201" customFormat="1" ht="12">
      <c r="B357" s="202"/>
      <c r="D357" s="189" t="s">
        <v>148</v>
      </c>
      <c r="E357" s="203" t="s">
        <v>1</v>
      </c>
      <c r="F357" s="204" t="s">
        <v>561</v>
      </c>
      <c r="H357" s="203" t="s">
        <v>1</v>
      </c>
      <c r="I357" s="235"/>
      <c r="L357" s="202"/>
      <c r="M357" s="205"/>
      <c r="N357" s="206"/>
      <c r="O357" s="206"/>
      <c r="P357" s="206"/>
      <c r="Q357" s="206"/>
      <c r="R357" s="206"/>
      <c r="S357" s="206"/>
      <c r="T357" s="207"/>
      <c r="AT357" s="203" t="s">
        <v>148</v>
      </c>
      <c r="AU357" s="203" t="s">
        <v>87</v>
      </c>
      <c r="AV357" s="201" t="s">
        <v>85</v>
      </c>
      <c r="AW357" s="201" t="s">
        <v>34</v>
      </c>
      <c r="AX357" s="201" t="s">
        <v>78</v>
      </c>
      <c r="AY357" s="203" t="s">
        <v>139</v>
      </c>
    </row>
    <row r="358" spans="2:51" s="187" customFormat="1" ht="12">
      <c r="B358" s="188"/>
      <c r="D358" s="189" t="s">
        <v>148</v>
      </c>
      <c r="E358" s="190" t="s">
        <v>1</v>
      </c>
      <c r="F358" s="191" t="s">
        <v>202</v>
      </c>
      <c r="H358" s="192">
        <v>11</v>
      </c>
      <c r="I358" s="233"/>
      <c r="L358" s="188"/>
      <c r="M358" s="193"/>
      <c r="N358" s="194"/>
      <c r="O358" s="194"/>
      <c r="P358" s="194"/>
      <c r="Q358" s="194"/>
      <c r="R358" s="194"/>
      <c r="S358" s="194"/>
      <c r="T358" s="195"/>
      <c r="AT358" s="190" t="s">
        <v>148</v>
      </c>
      <c r="AU358" s="190" t="s">
        <v>87</v>
      </c>
      <c r="AV358" s="187" t="s">
        <v>87</v>
      </c>
      <c r="AW358" s="187" t="s">
        <v>34</v>
      </c>
      <c r="AX358" s="187" t="s">
        <v>85</v>
      </c>
      <c r="AY358" s="190" t="s">
        <v>139</v>
      </c>
    </row>
    <row r="359" spans="2:63" s="162" customFormat="1" ht="22.9" customHeight="1">
      <c r="B359" s="163"/>
      <c r="D359" s="164" t="s">
        <v>77</v>
      </c>
      <c r="E359" s="173" t="s">
        <v>191</v>
      </c>
      <c r="F359" s="173" t="s">
        <v>562</v>
      </c>
      <c r="I359" s="237"/>
      <c r="J359" s="174">
        <f>SUM(J360:J362)</f>
        <v>0</v>
      </c>
      <c r="L359" s="163"/>
      <c r="M359" s="167"/>
      <c r="N359" s="168"/>
      <c r="O359" s="168"/>
      <c r="P359" s="169">
        <f>SUM(P360:P363)</f>
        <v>8.81004</v>
      </c>
      <c r="Q359" s="168"/>
      <c r="R359" s="169">
        <f>SUM(R360:R363)</f>
        <v>3.9122412</v>
      </c>
      <c r="S359" s="168"/>
      <c r="T359" s="170">
        <f>SUM(T360:T363)</f>
        <v>0</v>
      </c>
      <c r="AR359" s="164" t="s">
        <v>85</v>
      </c>
      <c r="AT359" s="171" t="s">
        <v>77</v>
      </c>
      <c r="AU359" s="171" t="s">
        <v>85</v>
      </c>
      <c r="AY359" s="164" t="s">
        <v>139</v>
      </c>
      <c r="BK359" s="172">
        <f>SUM(BK360:BK363)</f>
        <v>0</v>
      </c>
    </row>
    <row r="360" spans="1:65" s="95" customFormat="1" ht="48">
      <c r="A360" s="91"/>
      <c r="B360" s="92"/>
      <c r="C360" s="175" t="s">
        <v>563</v>
      </c>
      <c r="D360" s="175" t="s">
        <v>141</v>
      </c>
      <c r="E360" s="176" t="s">
        <v>564</v>
      </c>
      <c r="F360" s="177" t="s">
        <v>565</v>
      </c>
      <c r="G360" s="178" t="s">
        <v>171</v>
      </c>
      <c r="H360" s="179">
        <v>24</v>
      </c>
      <c r="I360" s="69"/>
      <c r="J360" s="180">
        <f>ROUND(I360*H360,2)</f>
        <v>0</v>
      </c>
      <c r="K360" s="177" t="s">
        <v>145</v>
      </c>
      <c r="L360" s="92"/>
      <c r="M360" s="181" t="s">
        <v>1</v>
      </c>
      <c r="N360" s="182" t="s">
        <v>44</v>
      </c>
      <c r="O360" s="183">
        <v>0.216</v>
      </c>
      <c r="P360" s="183">
        <f>O360*H360</f>
        <v>5.184</v>
      </c>
      <c r="Q360" s="183">
        <v>0.1295</v>
      </c>
      <c r="R360" s="183">
        <f>Q360*H360</f>
        <v>3.108</v>
      </c>
      <c r="S360" s="183">
        <v>0</v>
      </c>
      <c r="T360" s="184">
        <f>S360*H360</f>
        <v>0</v>
      </c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R360" s="185" t="s">
        <v>146</v>
      </c>
      <c r="AT360" s="185" t="s">
        <v>141</v>
      </c>
      <c r="AU360" s="185" t="s">
        <v>87</v>
      </c>
      <c r="AY360" s="83" t="s">
        <v>139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83" t="s">
        <v>85</v>
      </c>
      <c r="BK360" s="186">
        <f>ROUND(I360*H360,2)</f>
        <v>0</v>
      </c>
      <c r="BL360" s="83" t="s">
        <v>146</v>
      </c>
      <c r="BM360" s="185" t="s">
        <v>566</v>
      </c>
    </row>
    <row r="361" spans="1:65" s="95" customFormat="1" ht="16.5" customHeight="1">
      <c r="A361" s="91"/>
      <c r="B361" s="92"/>
      <c r="C361" s="217" t="s">
        <v>567</v>
      </c>
      <c r="D361" s="217" t="s">
        <v>251</v>
      </c>
      <c r="E361" s="218" t="s">
        <v>568</v>
      </c>
      <c r="F361" s="219" t="s">
        <v>569</v>
      </c>
      <c r="G361" s="220" t="s">
        <v>171</v>
      </c>
      <c r="H361" s="221">
        <v>24</v>
      </c>
      <c r="I361" s="70"/>
      <c r="J361" s="222">
        <f>ROUND(I361*H361,2)</f>
        <v>0</v>
      </c>
      <c r="K361" s="219" t="s">
        <v>145</v>
      </c>
      <c r="L361" s="223"/>
      <c r="M361" s="224" t="s">
        <v>1</v>
      </c>
      <c r="N361" s="225" t="s">
        <v>44</v>
      </c>
      <c r="O361" s="183">
        <v>0</v>
      </c>
      <c r="P361" s="183">
        <f>O361*H361</f>
        <v>0</v>
      </c>
      <c r="Q361" s="183">
        <v>0.0335</v>
      </c>
      <c r="R361" s="183">
        <f>Q361*H361</f>
        <v>0.804</v>
      </c>
      <c r="S361" s="183">
        <v>0</v>
      </c>
      <c r="T361" s="184">
        <f>S361*H361</f>
        <v>0</v>
      </c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R361" s="185" t="s">
        <v>187</v>
      </c>
      <c r="AT361" s="185" t="s">
        <v>251</v>
      </c>
      <c r="AU361" s="185" t="s">
        <v>87</v>
      </c>
      <c r="AY361" s="83" t="s">
        <v>139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83" t="s">
        <v>85</v>
      </c>
      <c r="BK361" s="186">
        <f>ROUND(I361*H361,2)</f>
        <v>0</v>
      </c>
      <c r="BL361" s="83" t="s">
        <v>146</v>
      </c>
      <c r="BM361" s="185" t="s">
        <v>570</v>
      </c>
    </row>
    <row r="362" spans="1:65" s="95" customFormat="1" ht="24">
      <c r="A362" s="91"/>
      <c r="B362" s="92"/>
      <c r="C362" s="175" t="s">
        <v>571</v>
      </c>
      <c r="D362" s="175" t="s">
        <v>141</v>
      </c>
      <c r="E362" s="176" t="s">
        <v>572</v>
      </c>
      <c r="F362" s="177" t="s">
        <v>573</v>
      </c>
      <c r="G362" s="178" t="s">
        <v>171</v>
      </c>
      <c r="H362" s="179">
        <v>8.04</v>
      </c>
      <c r="I362" s="69"/>
      <c r="J362" s="180">
        <f>ROUND(I362*H362,2)</f>
        <v>0</v>
      </c>
      <c r="K362" s="177" t="s">
        <v>145</v>
      </c>
      <c r="L362" s="92"/>
      <c r="M362" s="181" t="s">
        <v>1</v>
      </c>
      <c r="N362" s="182" t="s">
        <v>44</v>
      </c>
      <c r="O362" s="183">
        <v>0.451</v>
      </c>
      <c r="P362" s="183">
        <f>O362*H362</f>
        <v>3.6260399999999997</v>
      </c>
      <c r="Q362" s="183">
        <v>3E-05</v>
      </c>
      <c r="R362" s="183">
        <f>Q362*H362</f>
        <v>0.00024119999999999998</v>
      </c>
      <c r="S362" s="183">
        <v>0</v>
      </c>
      <c r="T362" s="184">
        <f>S362*H362</f>
        <v>0</v>
      </c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R362" s="185" t="s">
        <v>146</v>
      </c>
      <c r="AT362" s="185" t="s">
        <v>141</v>
      </c>
      <c r="AU362" s="185" t="s">
        <v>87</v>
      </c>
      <c r="AY362" s="83" t="s">
        <v>139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83" t="s">
        <v>85</v>
      </c>
      <c r="BK362" s="186">
        <f>ROUND(I362*H362,2)</f>
        <v>0</v>
      </c>
      <c r="BL362" s="83" t="s">
        <v>146</v>
      </c>
      <c r="BM362" s="185" t="s">
        <v>574</v>
      </c>
    </row>
    <row r="363" spans="2:51" s="187" customFormat="1" ht="12">
      <c r="B363" s="188"/>
      <c r="D363" s="189" t="s">
        <v>148</v>
      </c>
      <c r="E363" s="190" t="s">
        <v>1</v>
      </c>
      <c r="F363" s="191" t="s">
        <v>575</v>
      </c>
      <c r="H363" s="192">
        <v>8.04</v>
      </c>
      <c r="I363" s="233"/>
      <c r="L363" s="188"/>
      <c r="M363" s="193"/>
      <c r="N363" s="194"/>
      <c r="O363" s="194"/>
      <c r="P363" s="194"/>
      <c r="Q363" s="194"/>
      <c r="R363" s="194"/>
      <c r="S363" s="194"/>
      <c r="T363" s="195"/>
      <c r="AT363" s="190" t="s">
        <v>148</v>
      </c>
      <c r="AU363" s="190" t="s">
        <v>87</v>
      </c>
      <c r="AV363" s="187" t="s">
        <v>87</v>
      </c>
      <c r="AW363" s="187" t="s">
        <v>34</v>
      </c>
      <c r="AX363" s="187" t="s">
        <v>85</v>
      </c>
      <c r="AY363" s="190" t="s">
        <v>139</v>
      </c>
    </row>
    <row r="364" spans="2:63" s="162" customFormat="1" ht="22.9" customHeight="1">
      <c r="B364" s="163"/>
      <c r="D364" s="164" t="s">
        <v>77</v>
      </c>
      <c r="E364" s="173" t="s">
        <v>576</v>
      </c>
      <c r="F364" s="173" t="s">
        <v>577</v>
      </c>
      <c r="I364" s="237"/>
      <c r="J364" s="174">
        <f>SUM(J365)</f>
        <v>0</v>
      </c>
      <c r="L364" s="163"/>
      <c r="M364" s="167"/>
      <c r="N364" s="168"/>
      <c r="O364" s="168"/>
      <c r="P364" s="169">
        <f>SUM(P365:P371)</f>
        <v>2.3825664</v>
      </c>
      <c r="Q364" s="168"/>
      <c r="R364" s="169">
        <f>SUM(R365:R371)</f>
        <v>0</v>
      </c>
      <c r="S364" s="168"/>
      <c r="T364" s="170">
        <f>SUM(T365:T371)</f>
        <v>0</v>
      </c>
      <c r="AR364" s="164" t="s">
        <v>85</v>
      </c>
      <c r="AT364" s="171" t="s">
        <v>77</v>
      </c>
      <c r="AU364" s="171" t="s">
        <v>85</v>
      </c>
      <c r="AY364" s="164" t="s">
        <v>139</v>
      </c>
      <c r="BK364" s="172">
        <f>SUM(BK365:BK371)</f>
        <v>0</v>
      </c>
    </row>
    <row r="365" spans="1:65" s="95" customFormat="1" ht="24">
      <c r="A365" s="91"/>
      <c r="B365" s="92"/>
      <c r="C365" s="175" t="s">
        <v>578</v>
      </c>
      <c r="D365" s="175" t="s">
        <v>141</v>
      </c>
      <c r="E365" s="176" t="s">
        <v>579</v>
      </c>
      <c r="F365" s="177" t="s">
        <v>580</v>
      </c>
      <c r="G365" s="178" t="s">
        <v>254</v>
      </c>
      <c r="H365" s="179">
        <f>H371</f>
        <v>79.41888</v>
      </c>
      <c r="I365" s="69"/>
      <c r="J365" s="180">
        <f>ROUND(I365*H365,2)</f>
        <v>0</v>
      </c>
      <c r="K365" s="177" t="s">
        <v>1</v>
      </c>
      <c r="L365" s="92"/>
      <c r="M365" s="181" t="s">
        <v>1</v>
      </c>
      <c r="N365" s="182" t="s">
        <v>44</v>
      </c>
      <c r="O365" s="183">
        <v>0.03</v>
      </c>
      <c r="P365" s="183">
        <f>O365*H365</f>
        <v>2.3825664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R365" s="185" t="s">
        <v>146</v>
      </c>
      <c r="AT365" s="185" t="s">
        <v>141</v>
      </c>
      <c r="AU365" s="185" t="s">
        <v>87</v>
      </c>
      <c r="AY365" s="83" t="s">
        <v>139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83" t="s">
        <v>85</v>
      </c>
      <c r="BK365" s="186">
        <f>ROUND(I365*H365,2)</f>
        <v>0</v>
      </c>
      <c r="BL365" s="83" t="s">
        <v>146</v>
      </c>
      <c r="BM365" s="185" t="s">
        <v>581</v>
      </c>
    </row>
    <row r="366" spans="2:51" s="201" customFormat="1" ht="12">
      <c r="B366" s="202"/>
      <c r="D366" s="189" t="s">
        <v>148</v>
      </c>
      <c r="E366" s="203" t="s">
        <v>1</v>
      </c>
      <c r="F366" s="204" t="s">
        <v>582</v>
      </c>
      <c r="H366" s="203" t="s">
        <v>1</v>
      </c>
      <c r="I366" s="235"/>
      <c r="L366" s="202"/>
      <c r="M366" s="205"/>
      <c r="N366" s="206"/>
      <c r="O366" s="206"/>
      <c r="P366" s="206"/>
      <c r="Q366" s="206"/>
      <c r="R366" s="206"/>
      <c r="S366" s="206"/>
      <c r="T366" s="207"/>
      <c r="AT366" s="203" t="s">
        <v>148</v>
      </c>
      <c r="AU366" s="203" t="s">
        <v>87</v>
      </c>
      <c r="AV366" s="201" t="s">
        <v>85</v>
      </c>
      <c r="AW366" s="201" t="s">
        <v>34</v>
      </c>
      <c r="AX366" s="201" t="s">
        <v>78</v>
      </c>
      <c r="AY366" s="203" t="s">
        <v>139</v>
      </c>
    </row>
    <row r="367" spans="2:51" s="201" customFormat="1" ht="12">
      <c r="B367" s="202"/>
      <c r="D367" s="189" t="s">
        <v>148</v>
      </c>
      <c r="E367" s="203" t="s">
        <v>1</v>
      </c>
      <c r="F367" s="204" t="s">
        <v>583</v>
      </c>
      <c r="H367" s="203" t="s">
        <v>1</v>
      </c>
      <c r="I367" s="235"/>
      <c r="L367" s="202"/>
      <c r="M367" s="205"/>
      <c r="N367" s="206"/>
      <c r="O367" s="206"/>
      <c r="P367" s="206"/>
      <c r="Q367" s="206"/>
      <c r="R367" s="206"/>
      <c r="S367" s="206"/>
      <c r="T367" s="207"/>
      <c r="AT367" s="203" t="s">
        <v>148</v>
      </c>
      <c r="AU367" s="203" t="s">
        <v>87</v>
      </c>
      <c r="AV367" s="201" t="s">
        <v>85</v>
      </c>
      <c r="AW367" s="201" t="s">
        <v>34</v>
      </c>
      <c r="AX367" s="201" t="s">
        <v>78</v>
      </c>
      <c r="AY367" s="203" t="s">
        <v>139</v>
      </c>
    </row>
    <row r="368" spans="2:51" s="201" customFormat="1" ht="12">
      <c r="B368" s="202"/>
      <c r="D368" s="189" t="s">
        <v>148</v>
      </c>
      <c r="E368" s="203" t="s">
        <v>1</v>
      </c>
      <c r="F368" s="204" t="s">
        <v>243</v>
      </c>
      <c r="H368" s="203" t="s">
        <v>1</v>
      </c>
      <c r="I368" s="235"/>
      <c r="L368" s="202"/>
      <c r="M368" s="205"/>
      <c r="N368" s="206"/>
      <c r="O368" s="206"/>
      <c r="P368" s="206"/>
      <c r="Q368" s="206"/>
      <c r="R368" s="206"/>
      <c r="S368" s="206"/>
      <c r="T368" s="207"/>
      <c r="AT368" s="203" t="s">
        <v>148</v>
      </c>
      <c r="AU368" s="203" t="s">
        <v>87</v>
      </c>
      <c r="AV368" s="201" t="s">
        <v>85</v>
      </c>
      <c r="AW368" s="201" t="s">
        <v>34</v>
      </c>
      <c r="AX368" s="201" t="s">
        <v>78</v>
      </c>
      <c r="AY368" s="203" t="s">
        <v>139</v>
      </c>
    </row>
    <row r="369" spans="2:51" s="187" customFormat="1" ht="22.5">
      <c r="B369" s="188"/>
      <c r="D369" s="189" t="s">
        <v>148</v>
      </c>
      <c r="E369" s="190" t="s">
        <v>1</v>
      </c>
      <c r="F369" s="191" t="s">
        <v>1505</v>
      </c>
      <c r="H369" s="192">
        <f>201.12*0.384</f>
        <v>77.23008</v>
      </c>
      <c r="I369" s="233"/>
      <c r="L369" s="188"/>
      <c r="M369" s="193"/>
      <c r="N369" s="194"/>
      <c r="O369" s="194"/>
      <c r="P369" s="194"/>
      <c r="Q369" s="194"/>
      <c r="R369" s="194"/>
      <c r="S369" s="194"/>
      <c r="T369" s="195"/>
      <c r="AT369" s="190" t="s">
        <v>148</v>
      </c>
      <c r="AU369" s="190" t="s">
        <v>87</v>
      </c>
      <c r="AV369" s="187" t="s">
        <v>87</v>
      </c>
      <c r="AW369" s="187" t="s">
        <v>34</v>
      </c>
      <c r="AX369" s="187" t="s">
        <v>78</v>
      </c>
      <c r="AY369" s="190" t="s">
        <v>139</v>
      </c>
    </row>
    <row r="370" spans="2:51" s="187" customFormat="1" ht="12">
      <c r="B370" s="188"/>
      <c r="D370" s="189" t="s">
        <v>148</v>
      </c>
      <c r="E370" s="190" t="s">
        <v>1</v>
      </c>
      <c r="F370" s="191" t="s">
        <v>1506</v>
      </c>
      <c r="H370" s="192">
        <f>T146+T306</f>
        <v>2.1887999999999996</v>
      </c>
      <c r="I370" s="233"/>
      <c r="L370" s="188"/>
      <c r="M370" s="193"/>
      <c r="N370" s="194"/>
      <c r="O370" s="194"/>
      <c r="P370" s="194"/>
      <c r="Q370" s="194"/>
      <c r="R370" s="194"/>
      <c r="S370" s="194"/>
      <c r="T370" s="195"/>
      <c r="AT370" s="190" t="s">
        <v>148</v>
      </c>
      <c r="AU370" s="190" t="s">
        <v>87</v>
      </c>
      <c r="AV370" s="187" t="s">
        <v>87</v>
      </c>
      <c r="AW370" s="187" t="s">
        <v>34</v>
      </c>
      <c r="AX370" s="187" t="s">
        <v>78</v>
      </c>
      <c r="AY370" s="190" t="s">
        <v>139</v>
      </c>
    </row>
    <row r="371" spans="2:51" s="208" customFormat="1" ht="12">
      <c r="B371" s="209"/>
      <c r="D371" s="189" t="s">
        <v>148</v>
      </c>
      <c r="E371" s="210" t="s">
        <v>1</v>
      </c>
      <c r="F371" s="211" t="s">
        <v>159</v>
      </c>
      <c r="H371" s="212">
        <f>SUM(H369:H370)</f>
        <v>79.41888</v>
      </c>
      <c r="I371" s="236"/>
      <c r="L371" s="209"/>
      <c r="M371" s="213"/>
      <c r="N371" s="214"/>
      <c r="O371" s="214"/>
      <c r="P371" s="214"/>
      <c r="Q371" s="214"/>
      <c r="R371" s="214"/>
      <c r="S371" s="214"/>
      <c r="T371" s="215"/>
      <c r="AT371" s="210" t="s">
        <v>148</v>
      </c>
      <c r="AU371" s="210" t="s">
        <v>87</v>
      </c>
      <c r="AV371" s="208" t="s">
        <v>146</v>
      </c>
      <c r="AW371" s="208" t="s">
        <v>34</v>
      </c>
      <c r="AX371" s="208" t="s">
        <v>85</v>
      </c>
      <c r="AY371" s="210" t="s">
        <v>139</v>
      </c>
    </row>
    <row r="372" spans="2:63" s="162" customFormat="1" ht="22.9" customHeight="1">
      <c r="B372" s="163"/>
      <c r="D372" s="164" t="s">
        <v>77</v>
      </c>
      <c r="E372" s="173" t="s">
        <v>584</v>
      </c>
      <c r="F372" s="173" t="s">
        <v>585</v>
      </c>
      <c r="I372" s="237"/>
      <c r="J372" s="174">
        <f>J373</f>
        <v>0</v>
      </c>
      <c r="L372" s="163"/>
      <c r="M372" s="167"/>
      <c r="N372" s="168"/>
      <c r="O372" s="168"/>
      <c r="P372" s="169">
        <f>P373</f>
        <v>10.892339999999999</v>
      </c>
      <c r="Q372" s="168"/>
      <c r="R372" s="169">
        <f>R373</f>
        <v>0</v>
      </c>
      <c r="S372" s="168"/>
      <c r="T372" s="170">
        <f>T373</f>
        <v>0</v>
      </c>
      <c r="AR372" s="164" t="s">
        <v>85</v>
      </c>
      <c r="AT372" s="171" t="s">
        <v>77</v>
      </c>
      <c r="AU372" s="171" t="s">
        <v>85</v>
      </c>
      <c r="AY372" s="164" t="s">
        <v>139</v>
      </c>
      <c r="BK372" s="172">
        <f>BK373</f>
        <v>0</v>
      </c>
    </row>
    <row r="373" spans="1:65" s="95" customFormat="1" ht="36">
      <c r="A373" s="91"/>
      <c r="B373" s="92"/>
      <c r="C373" s="175" t="s">
        <v>586</v>
      </c>
      <c r="D373" s="175" t="s">
        <v>141</v>
      </c>
      <c r="E373" s="176" t="s">
        <v>587</v>
      </c>
      <c r="F373" s="177" t="s">
        <v>588</v>
      </c>
      <c r="G373" s="178" t="s">
        <v>254</v>
      </c>
      <c r="H373" s="179">
        <v>13.155</v>
      </c>
      <c r="I373" s="69"/>
      <c r="J373" s="180">
        <f>ROUND(I373*H373,2)</f>
        <v>0</v>
      </c>
      <c r="K373" s="177" t="s">
        <v>145</v>
      </c>
      <c r="L373" s="92"/>
      <c r="M373" s="181" t="s">
        <v>1</v>
      </c>
      <c r="N373" s="182" t="s">
        <v>44</v>
      </c>
      <c r="O373" s="183">
        <v>0.828</v>
      </c>
      <c r="P373" s="183">
        <f>O373*H373</f>
        <v>10.892339999999999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R373" s="185" t="s">
        <v>146</v>
      </c>
      <c r="AT373" s="185" t="s">
        <v>141</v>
      </c>
      <c r="AU373" s="185" t="s">
        <v>87</v>
      </c>
      <c r="AY373" s="83" t="s">
        <v>139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83" t="s">
        <v>85</v>
      </c>
      <c r="BK373" s="186">
        <f>ROUND(I373*H373,2)</f>
        <v>0</v>
      </c>
      <c r="BL373" s="83" t="s">
        <v>146</v>
      </c>
      <c r="BM373" s="185" t="s">
        <v>589</v>
      </c>
    </row>
    <row r="374" spans="2:63" s="162" customFormat="1" ht="25.9" customHeight="1">
      <c r="B374" s="163"/>
      <c r="D374" s="164" t="s">
        <v>77</v>
      </c>
      <c r="E374" s="165" t="s">
        <v>590</v>
      </c>
      <c r="F374" s="165" t="s">
        <v>591</v>
      </c>
      <c r="I374" s="237"/>
      <c r="J374" s="166">
        <f>SUM(J375:J376)</f>
        <v>0</v>
      </c>
      <c r="L374" s="163"/>
      <c r="M374" s="167"/>
      <c r="N374" s="168"/>
      <c r="O374" s="168"/>
      <c r="P374" s="169">
        <f>SUM(P375:P376)</f>
        <v>0</v>
      </c>
      <c r="Q374" s="168"/>
      <c r="R374" s="169">
        <f>SUM(R375:R376)</f>
        <v>0</v>
      </c>
      <c r="S374" s="168"/>
      <c r="T374" s="170">
        <f>SUM(T375:T376)</f>
        <v>0</v>
      </c>
      <c r="AR374" s="164" t="s">
        <v>146</v>
      </c>
      <c r="AT374" s="171" t="s">
        <v>77</v>
      </c>
      <c r="AU374" s="171" t="s">
        <v>78</v>
      </c>
      <c r="AY374" s="164" t="s">
        <v>139</v>
      </c>
      <c r="BK374" s="172">
        <f>SUM(BK375:BK376)</f>
        <v>0</v>
      </c>
    </row>
    <row r="375" spans="1:65" s="95" customFormat="1" ht="16.5" customHeight="1">
      <c r="A375" s="91"/>
      <c r="B375" s="92"/>
      <c r="C375" s="175" t="s">
        <v>592</v>
      </c>
      <c r="D375" s="175" t="s">
        <v>141</v>
      </c>
      <c r="E375" s="176" t="s">
        <v>593</v>
      </c>
      <c r="F375" s="177" t="s">
        <v>594</v>
      </c>
      <c r="G375" s="178" t="s">
        <v>171</v>
      </c>
      <c r="H375" s="179">
        <v>251.58</v>
      </c>
      <c r="I375" s="69"/>
      <c r="J375" s="180">
        <f>ROUND(I375*H375,2)</f>
        <v>0</v>
      </c>
      <c r="K375" s="177" t="s">
        <v>1</v>
      </c>
      <c r="L375" s="92"/>
      <c r="M375" s="181" t="s">
        <v>1</v>
      </c>
      <c r="N375" s="182" t="s">
        <v>44</v>
      </c>
      <c r="O375" s="183">
        <v>0</v>
      </c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R375" s="185" t="s">
        <v>595</v>
      </c>
      <c r="AT375" s="185" t="s">
        <v>141</v>
      </c>
      <c r="AU375" s="185" t="s">
        <v>85</v>
      </c>
      <c r="AY375" s="83" t="s">
        <v>139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83" t="s">
        <v>85</v>
      </c>
      <c r="BK375" s="186">
        <f>ROUND(I375*H375,2)</f>
        <v>0</v>
      </c>
      <c r="BL375" s="83" t="s">
        <v>595</v>
      </c>
      <c r="BM375" s="185" t="s">
        <v>596</v>
      </c>
    </row>
    <row r="376" spans="1:65" s="95" customFormat="1" ht="16.5" customHeight="1">
      <c r="A376" s="91"/>
      <c r="B376" s="92"/>
      <c r="C376" s="175" t="s">
        <v>597</v>
      </c>
      <c r="D376" s="175" t="s">
        <v>141</v>
      </c>
      <c r="E376" s="176" t="s">
        <v>598</v>
      </c>
      <c r="F376" s="177" t="s">
        <v>599</v>
      </c>
      <c r="G376" s="178" t="s">
        <v>600</v>
      </c>
      <c r="H376" s="179">
        <v>1</v>
      </c>
      <c r="I376" s="69"/>
      <c r="J376" s="180">
        <f>ROUND(I376*H376,2)</f>
        <v>0</v>
      </c>
      <c r="K376" s="177" t="s">
        <v>1</v>
      </c>
      <c r="L376" s="92"/>
      <c r="M376" s="229" t="s">
        <v>1</v>
      </c>
      <c r="N376" s="230" t="s">
        <v>44</v>
      </c>
      <c r="O376" s="231">
        <v>0</v>
      </c>
      <c r="P376" s="231">
        <f>O376*H376</f>
        <v>0</v>
      </c>
      <c r="Q376" s="231">
        <v>0</v>
      </c>
      <c r="R376" s="231">
        <f>Q376*H376</f>
        <v>0</v>
      </c>
      <c r="S376" s="231">
        <v>0</v>
      </c>
      <c r="T376" s="232">
        <f>S376*H376</f>
        <v>0</v>
      </c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R376" s="185" t="s">
        <v>595</v>
      </c>
      <c r="AT376" s="185" t="s">
        <v>141</v>
      </c>
      <c r="AU376" s="185" t="s">
        <v>85</v>
      </c>
      <c r="AY376" s="83" t="s">
        <v>139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83" t="s">
        <v>85</v>
      </c>
      <c r="BK376" s="186">
        <f>ROUND(I376*H376,2)</f>
        <v>0</v>
      </c>
      <c r="BL376" s="83" t="s">
        <v>595</v>
      </c>
      <c r="BM376" s="185" t="s">
        <v>601</v>
      </c>
    </row>
    <row r="377" spans="1:31" s="95" customFormat="1" ht="6.95" customHeight="1">
      <c r="A377" s="91"/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92"/>
      <c r="M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</row>
  </sheetData>
  <sheetProtection password="CC2C" sheet="1" objects="1" scenarios="1"/>
  <autoFilter ref="C128:K376"/>
  <mergeCells count="11">
    <mergeCell ref="E121:H121"/>
    <mergeCell ref="E7:H7"/>
    <mergeCell ref="E9:H9"/>
    <mergeCell ref="E11:H11"/>
    <mergeCell ref="E29:H29"/>
    <mergeCell ref="E85:H85"/>
    <mergeCell ref="L2:V2"/>
    <mergeCell ref="E87:H87"/>
    <mergeCell ref="E89:H89"/>
    <mergeCell ref="E117:H117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15"/>
  <sheetViews>
    <sheetView showGridLines="0" workbookViewId="0" topLeftCell="A78">
      <selection activeCell="F78" sqref="F78"/>
    </sheetView>
  </sheetViews>
  <sheetFormatPr defaultColWidth="9.140625" defaultRowHeight="12"/>
  <cols>
    <col min="1" max="1" width="8.28125" style="68" customWidth="1"/>
    <col min="2" max="2" width="1.1484375" style="68" customWidth="1"/>
    <col min="3" max="3" width="4.140625" style="68" customWidth="1"/>
    <col min="4" max="4" width="4.28125" style="68" customWidth="1"/>
    <col min="5" max="5" width="17.140625" style="68" customWidth="1"/>
    <col min="6" max="6" width="50.8515625" style="68" customWidth="1"/>
    <col min="7" max="7" width="7.421875" style="68" customWidth="1"/>
    <col min="8" max="8" width="14.00390625" style="68" customWidth="1"/>
    <col min="9" max="9" width="15.8515625" style="68" customWidth="1"/>
    <col min="10" max="10" width="22.28125" style="68" customWidth="1"/>
    <col min="11" max="11" width="22.28125" style="68" hidden="1" customWidth="1"/>
    <col min="12" max="12" width="9.28125" style="68" hidden="1" customWidth="1"/>
    <col min="13" max="13" width="10.8515625" style="68" hidden="1" customWidth="1"/>
    <col min="14" max="14" width="9.140625" style="68" hidden="1" customWidth="1"/>
    <col min="15" max="20" width="14.140625" style="68" hidden="1" customWidth="1"/>
    <col min="21" max="21" width="16.28125" style="68" customWidth="1"/>
    <col min="22" max="22" width="12.28125" style="68" customWidth="1"/>
    <col min="23" max="23" width="16.28125" style="68" customWidth="1"/>
    <col min="24" max="24" width="12.28125" style="68" customWidth="1"/>
    <col min="25" max="25" width="15.00390625" style="68" customWidth="1"/>
    <col min="26" max="26" width="11.00390625" style="68" customWidth="1"/>
    <col min="27" max="27" width="15.00390625" style="68" customWidth="1"/>
    <col min="28" max="28" width="16.28125" style="68" customWidth="1"/>
    <col min="29" max="29" width="11.00390625" style="68" customWidth="1"/>
    <col min="30" max="30" width="15.00390625" style="68" customWidth="1"/>
    <col min="31" max="31" width="16.28125" style="68" customWidth="1"/>
    <col min="32" max="43" width="9.28125" style="68" customWidth="1"/>
    <col min="44" max="65" width="9.28125" style="68" hidden="1" customWidth="1"/>
    <col min="66" max="16384" width="9.28125" style="68" customWidth="1"/>
  </cols>
  <sheetData>
    <row r="1" ht="12" hidden="1"/>
    <row r="2" spans="12:46" ht="36.95" customHeight="1" hidden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83" t="s">
        <v>98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89" t="s">
        <v>14</v>
      </c>
      <c r="L6" s="86"/>
    </row>
    <row r="7" spans="2:12" ht="16.5" customHeight="1" hidden="1">
      <c r="B7" s="86"/>
      <c r="E7" s="286" t="str">
        <f>'Rekapitulace stavby'!K6</f>
        <v>Kosmonosy, obnova vodovodu a kanalizace - 3. etapa</v>
      </c>
      <c r="F7" s="289"/>
      <c r="G7" s="289"/>
      <c r="H7" s="289"/>
      <c r="L7" s="86"/>
    </row>
    <row r="8" spans="2:12" ht="12" customHeight="1" hidden="1">
      <c r="B8" s="86"/>
      <c r="D8" s="89" t="s">
        <v>106</v>
      </c>
      <c r="L8" s="86"/>
    </row>
    <row r="9" spans="1:31" s="95" customFormat="1" ht="16.5" customHeight="1" hidden="1">
      <c r="A9" s="91"/>
      <c r="B9" s="92"/>
      <c r="C9" s="91"/>
      <c r="D9" s="91"/>
      <c r="E9" s="286" t="s">
        <v>602</v>
      </c>
      <c r="F9" s="287"/>
      <c r="G9" s="287"/>
      <c r="H9" s="287"/>
      <c r="I9" s="91"/>
      <c r="J9" s="91"/>
      <c r="K9" s="91"/>
      <c r="L9" s="94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5" customFormat="1" ht="12" customHeight="1" hidden="1">
      <c r="A10" s="91"/>
      <c r="B10" s="92"/>
      <c r="C10" s="91"/>
      <c r="D10" s="89" t="s">
        <v>108</v>
      </c>
      <c r="E10" s="91"/>
      <c r="F10" s="91"/>
      <c r="G10" s="91"/>
      <c r="H10" s="91"/>
      <c r="I10" s="91"/>
      <c r="J10" s="91"/>
      <c r="K10" s="91"/>
      <c r="L10" s="94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5" customFormat="1" ht="16.5" customHeight="1" hidden="1">
      <c r="A11" s="91"/>
      <c r="B11" s="92"/>
      <c r="C11" s="91"/>
      <c r="D11" s="91"/>
      <c r="E11" s="288" t="s">
        <v>603</v>
      </c>
      <c r="F11" s="287"/>
      <c r="G11" s="287"/>
      <c r="H11" s="287"/>
      <c r="I11" s="91"/>
      <c r="J11" s="91"/>
      <c r="K11" s="91"/>
      <c r="L11" s="94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5" customFormat="1" ht="12" hidden="1">
      <c r="A12" s="91"/>
      <c r="B12" s="92"/>
      <c r="C12" s="91"/>
      <c r="D12" s="91"/>
      <c r="E12" s="91"/>
      <c r="F12" s="91"/>
      <c r="G12" s="91"/>
      <c r="H12" s="91"/>
      <c r="I12" s="91"/>
      <c r="J12" s="91"/>
      <c r="K12" s="91"/>
      <c r="L12" s="94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5" customFormat="1" ht="12" customHeight="1" hidden="1">
      <c r="A13" s="91"/>
      <c r="B13" s="92"/>
      <c r="C13" s="91"/>
      <c r="D13" s="89" t="s">
        <v>16</v>
      </c>
      <c r="E13" s="91"/>
      <c r="F13" s="96" t="s">
        <v>1</v>
      </c>
      <c r="G13" s="91"/>
      <c r="H13" s="91"/>
      <c r="I13" s="89" t="s">
        <v>17</v>
      </c>
      <c r="J13" s="96" t="s">
        <v>1</v>
      </c>
      <c r="K13" s="91"/>
      <c r="L13" s="94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5" customFormat="1" ht="12" customHeight="1" hidden="1">
      <c r="A14" s="91"/>
      <c r="B14" s="92"/>
      <c r="C14" s="91"/>
      <c r="D14" s="89" t="s">
        <v>18</v>
      </c>
      <c r="E14" s="91"/>
      <c r="F14" s="96" t="s">
        <v>19</v>
      </c>
      <c r="G14" s="91"/>
      <c r="H14" s="91"/>
      <c r="I14" s="89" t="s">
        <v>20</v>
      </c>
      <c r="J14" s="97" t="str">
        <f>'Rekapitulace stavby'!AN8</f>
        <v>2. 3. 2020</v>
      </c>
      <c r="K14" s="91"/>
      <c r="L14" s="94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5" customFormat="1" ht="10.9" customHeight="1" hidden="1">
      <c r="A15" s="91"/>
      <c r="B15" s="92"/>
      <c r="C15" s="91"/>
      <c r="D15" s="91"/>
      <c r="E15" s="91"/>
      <c r="F15" s="91"/>
      <c r="G15" s="91"/>
      <c r="H15" s="91"/>
      <c r="I15" s="91"/>
      <c r="J15" s="91"/>
      <c r="K15" s="91"/>
      <c r="L15" s="94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5" customFormat="1" ht="12" customHeight="1" hidden="1">
      <c r="A16" s="91"/>
      <c r="B16" s="92"/>
      <c r="C16" s="91"/>
      <c r="D16" s="89" t="s">
        <v>22</v>
      </c>
      <c r="E16" s="91"/>
      <c r="F16" s="91"/>
      <c r="G16" s="91"/>
      <c r="H16" s="91"/>
      <c r="I16" s="89" t="s">
        <v>23</v>
      </c>
      <c r="J16" s="96" t="s">
        <v>24</v>
      </c>
      <c r="K16" s="91"/>
      <c r="L16" s="94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5" customFormat="1" ht="18" customHeight="1" hidden="1">
      <c r="A17" s="91"/>
      <c r="B17" s="92"/>
      <c r="C17" s="91"/>
      <c r="D17" s="91"/>
      <c r="E17" s="96" t="s">
        <v>25</v>
      </c>
      <c r="F17" s="91"/>
      <c r="G17" s="91"/>
      <c r="H17" s="91"/>
      <c r="I17" s="89" t="s">
        <v>26</v>
      </c>
      <c r="J17" s="96" t="s">
        <v>27</v>
      </c>
      <c r="K17" s="91"/>
      <c r="L17" s="94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5" customFormat="1" ht="6.95" customHeight="1" hidden="1">
      <c r="A18" s="91"/>
      <c r="B18" s="92"/>
      <c r="C18" s="91"/>
      <c r="D18" s="91"/>
      <c r="E18" s="91"/>
      <c r="F18" s="91"/>
      <c r="G18" s="91"/>
      <c r="H18" s="91"/>
      <c r="I18" s="91"/>
      <c r="J18" s="91"/>
      <c r="K18" s="91"/>
      <c r="L18" s="94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5" customFormat="1" ht="12" customHeight="1" hidden="1">
      <c r="A19" s="91"/>
      <c r="B19" s="92"/>
      <c r="C19" s="91"/>
      <c r="D19" s="89" t="s">
        <v>28</v>
      </c>
      <c r="E19" s="91"/>
      <c r="F19" s="91"/>
      <c r="G19" s="91"/>
      <c r="H19" s="91"/>
      <c r="I19" s="89" t="s">
        <v>23</v>
      </c>
      <c r="J19" s="96" t="s">
        <v>1</v>
      </c>
      <c r="K19" s="91"/>
      <c r="L19" s="94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5" customFormat="1" ht="18" customHeight="1" hidden="1">
      <c r="A20" s="91"/>
      <c r="B20" s="92"/>
      <c r="C20" s="91"/>
      <c r="D20" s="91"/>
      <c r="E20" s="96" t="s">
        <v>29</v>
      </c>
      <c r="F20" s="91"/>
      <c r="G20" s="91"/>
      <c r="H20" s="91"/>
      <c r="I20" s="89" t="s">
        <v>26</v>
      </c>
      <c r="J20" s="96" t="s">
        <v>1</v>
      </c>
      <c r="K20" s="91"/>
      <c r="L20" s="94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5" customFormat="1" ht="6.95" customHeight="1" hidden="1">
      <c r="A21" s="91"/>
      <c r="B21" s="92"/>
      <c r="C21" s="91"/>
      <c r="D21" s="91"/>
      <c r="E21" s="91"/>
      <c r="F21" s="91"/>
      <c r="G21" s="91"/>
      <c r="H21" s="91"/>
      <c r="I21" s="91"/>
      <c r="J21" s="91"/>
      <c r="K21" s="91"/>
      <c r="L21" s="94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5" customFormat="1" ht="12" customHeight="1" hidden="1">
      <c r="A22" s="91"/>
      <c r="B22" s="92"/>
      <c r="C22" s="91"/>
      <c r="D22" s="89" t="s">
        <v>30</v>
      </c>
      <c r="E22" s="91"/>
      <c r="F22" s="91"/>
      <c r="G22" s="91"/>
      <c r="H22" s="91"/>
      <c r="I22" s="89" t="s">
        <v>23</v>
      </c>
      <c r="J22" s="96" t="s">
        <v>31</v>
      </c>
      <c r="K22" s="91"/>
      <c r="L22" s="94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5" customFormat="1" ht="18" customHeight="1" hidden="1">
      <c r="A23" s="91"/>
      <c r="B23" s="92"/>
      <c r="C23" s="91"/>
      <c r="D23" s="91"/>
      <c r="E23" s="96" t="s">
        <v>32</v>
      </c>
      <c r="F23" s="91"/>
      <c r="G23" s="91"/>
      <c r="H23" s="91"/>
      <c r="I23" s="89" t="s">
        <v>26</v>
      </c>
      <c r="J23" s="96" t="s">
        <v>33</v>
      </c>
      <c r="K23" s="91"/>
      <c r="L23" s="94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5" customFormat="1" ht="6.95" customHeight="1" hidden="1">
      <c r="A24" s="91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5" customFormat="1" ht="12" customHeight="1" hidden="1">
      <c r="A25" s="91"/>
      <c r="B25" s="92"/>
      <c r="C25" s="91"/>
      <c r="D25" s="89" t="s">
        <v>35</v>
      </c>
      <c r="E25" s="91"/>
      <c r="F25" s="91"/>
      <c r="G25" s="91"/>
      <c r="H25" s="91"/>
      <c r="I25" s="89" t="s">
        <v>23</v>
      </c>
      <c r="J25" s="96" t="s">
        <v>1</v>
      </c>
      <c r="K25" s="91"/>
      <c r="L25" s="94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5" customFormat="1" ht="18" customHeight="1" hidden="1">
      <c r="A26" s="91"/>
      <c r="B26" s="92"/>
      <c r="C26" s="91"/>
      <c r="D26" s="91"/>
      <c r="E26" s="96" t="s">
        <v>36</v>
      </c>
      <c r="F26" s="91"/>
      <c r="G26" s="91"/>
      <c r="H26" s="91"/>
      <c r="I26" s="89" t="s">
        <v>26</v>
      </c>
      <c r="J26" s="96" t="s">
        <v>1</v>
      </c>
      <c r="K26" s="91"/>
      <c r="L26" s="94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95" customFormat="1" ht="6.95" customHeight="1" hidden="1">
      <c r="A27" s="91"/>
      <c r="B27" s="92"/>
      <c r="C27" s="91"/>
      <c r="D27" s="91"/>
      <c r="E27" s="91"/>
      <c r="F27" s="91"/>
      <c r="G27" s="91"/>
      <c r="H27" s="91"/>
      <c r="I27" s="91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95" customFormat="1" ht="12" customHeight="1" hidden="1">
      <c r="A28" s="91"/>
      <c r="B28" s="92"/>
      <c r="C28" s="91"/>
      <c r="D28" s="89" t="s">
        <v>37</v>
      </c>
      <c r="E28" s="91"/>
      <c r="F28" s="91"/>
      <c r="G28" s="91"/>
      <c r="H28" s="91"/>
      <c r="I28" s="91"/>
      <c r="J28" s="91"/>
      <c r="K28" s="91"/>
      <c r="L28" s="9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101" customFormat="1" ht="16.5" customHeight="1" hidden="1">
      <c r="A29" s="98"/>
      <c r="B29" s="99"/>
      <c r="C29" s="98"/>
      <c r="D29" s="98"/>
      <c r="E29" s="290" t="s">
        <v>1</v>
      </c>
      <c r="F29" s="290"/>
      <c r="G29" s="290"/>
      <c r="H29" s="290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95" customFormat="1" ht="6.95" customHeight="1" hidden="1">
      <c r="A30" s="91"/>
      <c r="B30" s="92"/>
      <c r="C30" s="91"/>
      <c r="D30" s="91"/>
      <c r="E30" s="91"/>
      <c r="F30" s="91"/>
      <c r="G30" s="91"/>
      <c r="H30" s="91"/>
      <c r="I30" s="91"/>
      <c r="J30" s="91"/>
      <c r="K30" s="91"/>
      <c r="L30" s="94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5" customFormat="1" ht="6.95" customHeight="1" hidden="1">
      <c r="A31" s="91"/>
      <c r="B31" s="92"/>
      <c r="C31" s="91"/>
      <c r="D31" s="102"/>
      <c r="E31" s="102"/>
      <c r="F31" s="102"/>
      <c r="G31" s="102"/>
      <c r="H31" s="102"/>
      <c r="I31" s="102"/>
      <c r="J31" s="102"/>
      <c r="K31" s="102"/>
      <c r="L31" s="94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5" customFormat="1" ht="25.35" customHeight="1" hidden="1">
      <c r="A32" s="91"/>
      <c r="B32" s="92"/>
      <c r="C32" s="91"/>
      <c r="D32" s="103" t="s">
        <v>39</v>
      </c>
      <c r="E32" s="91"/>
      <c r="F32" s="91"/>
      <c r="G32" s="91"/>
      <c r="H32" s="91"/>
      <c r="I32" s="91"/>
      <c r="J32" s="104">
        <f>ROUND(J129,2)</f>
        <v>0</v>
      </c>
      <c r="K32" s="91"/>
      <c r="L32" s="94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5" customFormat="1" ht="6.95" customHeight="1" hidden="1">
      <c r="A33" s="91"/>
      <c r="B33" s="92"/>
      <c r="C33" s="91"/>
      <c r="D33" s="102"/>
      <c r="E33" s="102"/>
      <c r="F33" s="102"/>
      <c r="G33" s="102"/>
      <c r="H33" s="102"/>
      <c r="I33" s="102"/>
      <c r="J33" s="102"/>
      <c r="K33" s="102"/>
      <c r="L33" s="94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5" customFormat="1" ht="14.45" customHeight="1" hidden="1">
      <c r="A34" s="91"/>
      <c r="B34" s="92"/>
      <c r="C34" s="91"/>
      <c r="D34" s="91"/>
      <c r="E34" s="91"/>
      <c r="F34" s="105" t="s">
        <v>41</v>
      </c>
      <c r="G34" s="91"/>
      <c r="H34" s="91"/>
      <c r="I34" s="105" t="s">
        <v>40</v>
      </c>
      <c r="J34" s="105" t="s">
        <v>42</v>
      </c>
      <c r="K34" s="91"/>
      <c r="L34" s="94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5" customFormat="1" ht="14.45" customHeight="1" hidden="1">
      <c r="A35" s="91"/>
      <c r="B35" s="92"/>
      <c r="C35" s="91"/>
      <c r="D35" s="106" t="s">
        <v>43</v>
      </c>
      <c r="E35" s="89" t="s">
        <v>44</v>
      </c>
      <c r="F35" s="107">
        <f>ROUND((SUM(BE129:BE414)),2)</f>
        <v>0</v>
      </c>
      <c r="G35" s="91"/>
      <c r="H35" s="91"/>
      <c r="I35" s="108">
        <v>0.21</v>
      </c>
      <c r="J35" s="107">
        <f>ROUND(((SUM(BE129:BE414))*I35),2)</f>
        <v>0</v>
      </c>
      <c r="K35" s="91"/>
      <c r="L35" s="94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5" customFormat="1" ht="14.45" customHeight="1" hidden="1">
      <c r="A36" s="91"/>
      <c r="B36" s="92"/>
      <c r="C36" s="91"/>
      <c r="D36" s="91"/>
      <c r="E36" s="89" t="s">
        <v>45</v>
      </c>
      <c r="F36" s="107">
        <f>ROUND((SUM(BF129:BF414)),2)</f>
        <v>0</v>
      </c>
      <c r="G36" s="91"/>
      <c r="H36" s="91"/>
      <c r="I36" s="108">
        <v>0.15</v>
      </c>
      <c r="J36" s="107">
        <f>ROUND(((SUM(BF129:BF414))*I36),2)</f>
        <v>0</v>
      </c>
      <c r="K36" s="91"/>
      <c r="L36" s="94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5" customFormat="1" ht="14.45" customHeight="1" hidden="1">
      <c r="A37" s="91"/>
      <c r="B37" s="92"/>
      <c r="C37" s="91"/>
      <c r="D37" s="91"/>
      <c r="E37" s="89" t="s">
        <v>46</v>
      </c>
      <c r="F37" s="107">
        <f>ROUND((SUM(BG129:BG414)),2)</f>
        <v>0</v>
      </c>
      <c r="G37" s="91"/>
      <c r="H37" s="91"/>
      <c r="I37" s="108">
        <v>0.21</v>
      </c>
      <c r="J37" s="107">
        <f>0</f>
        <v>0</v>
      </c>
      <c r="K37" s="91"/>
      <c r="L37" s="94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5" customFormat="1" ht="14.45" customHeight="1" hidden="1">
      <c r="A38" s="91"/>
      <c r="B38" s="92"/>
      <c r="C38" s="91"/>
      <c r="D38" s="91"/>
      <c r="E38" s="89" t="s">
        <v>47</v>
      </c>
      <c r="F38" s="107">
        <f>ROUND((SUM(BH129:BH414)),2)</f>
        <v>0</v>
      </c>
      <c r="G38" s="91"/>
      <c r="H38" s="91"/>
      <c r="I38" s="108">
        <v>0.15</v>
      </c>
      <c r="J38" s="107">
        <f>0</f>
        <v>0</v>
      </c>
      <c r="K38" s="91"/>
      <c r="L38" s="94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5" customFormat="1" ht="14.45" customHeight="1" hidden="1">
      <c r="A39" s="91"/>
      <c r="B39" s="92"/>
      <c r="C39" s="91"/>
      <c r="D39" s="91"/>
      <c r="E39" s="89" t="s">
        <v>48</v>
      </c>
      <c r="F39" s="107">
        <f>ROUND((SUM(BI129:BI414)),2)</f>
        <v>0</v>
      </c>
      <c r="G39" s="91"/>
      <c r="H39" s="91"/>
      <c r="I39" s="108">
        <v>0</v>
      </c>
      <c r="J39" s="107">
        <f>0</f>
        <v>0</v>
      </c>
      <c r="K39" s="91"/>
      <c r="L39" s="94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5" customFormat="1" ht="6.95" customHeight="1" hidden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s="95" customFormat="1" ht="25.35" customHeight="1" hidden="1">
      <c r="A41" s="91"/>
      <c r="B41" s="92"/>
      <c r="C41" s="109"/>
      <c r="D41" s="110" t="s">
        <v>49</v>
      </c>
      <c r="E41" s="111"/>
      <c r="F41" s="111"/>
      <c r="G41" s="112" t="s">
        <v>50</v>
      </c>
      <c r="H41" s="113" t="s">
        <v>51</v>
      </c>
      <c r="I41" s="111"/>
      <c r="J41" s="114">
        <f>SUM(J32:J39)</f>
        <v>0</v>
      </c>
      <c r="K41" s="115"/>
      <c r="L41" s="9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s="95" customFormat="1" ht="14.45" customHeight="1" hidden="1">
      <c r="A42" s="91"/>
      <c r="B42" s="92"/>
      <c r="C42" s="91"/>
      <c r="D42" s="91"/>
      <c r="E42" s="91"/>
      <c r="F42" s="91"/>
      <c r="G42" s="91"/>
      <c r="H42" s="91"/>
      <c r="I42" s="91"/>
      <c r="J42" s="91"/>
      <c r="K42" s="91"/>
      <c r="L42" s="9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2:12" ht="14.45" customHeight="1" hidden="1">
      <c r="B43" s="86"/>
      <c r="L43" s="86"/>
    </row>
    <row r="44" spans="2:12" ht="14.45" customHeight="1" hidden="1">
      <c r="B44" s="86"/>
      <c r="L44" s="86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1"/>
      <c r="B61" s="92"/>
      <c r="C61" s="91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1"/>
      <c r="B65" s="92"/>
      <c r="C65" s="91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1"/>
      <c r="B76" s="92"/>
      <c r="C76" s="91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5" customFormat="1" ht="14.45" customHeight="1" hidden="1">
      <c r="A77" s="91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5" customFormat="1" ht="6.95" customHeight="1">
      <c r="A81" s="91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5" customFormat="1" ht="24.95" customHeight="1">
      <c r="A82" s="91"/>
      <c r="B82" s="92"/>
      <c r="C82" s="87" t="s">
        <v>110</v>
      </c>
      <c r="D82" s="91"/>
      <c r="E82" s="91"/>
      <c r="F82" s="91"/>
      <c r="G82" s="91"/>
      <c r="H82" s="91"/>
      <c r="I82" s="91"/>
      <c r="J82" s="91"/>
      <c r="K82" s="91"/>
      <c r="L82" s="94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5" customFormat="1" ht="6.9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4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5" customFormat="1" ht="12" customHeight="1">
      <c r="A84" s="91"/>
      <c r="B84" s="92"/>
      <c r="C84" s="89" t="s">
        <v>14</v>
      </c>
      <c r="D84" s="91"/>
      <c r="E84" s="91"/>
      <c r="F84" s="91"/>
      <c r="G84" s="91"/>
      <c r="H84" s="91"/>
      <c r="I84" s="91"/>
      <c r="J84" s="91"/>
      <c r="K84" s="91"/>
      <c r="L84" s="94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5" customFormat="1" ht="16.5" customHeight="1">
      <c r="A85" s="91"/>
      <c r="B85" s="92"/>
      <c r="C85" s="91"/>
      <c r="D85" s="91"/>
      <c r="E85" s="286" t="str">
        <f>E7</f>
        <v>Kosmonosy, obnova vodovodu a kanalizace - 3. etapa</v>
      </c>
      <c r="F85" s="289"/>
      <c r="G85" s="289"/>
      <c r="H85" s="289"/>
      <c r="I85" s="91"/>
      <c r="J85" s="91"/>
      <c r="K85" s="91"/>
      <c r="L85" s="94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2:12" ht="12" customHeight="1">
      <c r="B86" s="86"/>
      <c r="C86" s="89" t="s">
        <v>106</v>
      </c>
      <c r="L86" s="86"/>
    </row>
    <row r="87" spans="1:31" s="95" customFormat="1" ht="16.5" customHeight="1">
      <c r="A87" s="91"/>
      <c r="B87" s="92"/>
      <c r="C87" s="91"/>
      <c r="D87" s="91"/>
      <c r="E87" s="286" t="s">
        <v>602</v>
      </c>
      <c r="F87" s="287"/>
      <c r="G87" s="287"/>
      <c r="H87" s="287"/>
      <c r="I87" s="91"/>
      <c r="J87" s="91"/>
      <c r="K87" s="91"/>
      <c r="L87" s="94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5" customFormat="1" ht="12" customHeight="1">
      <c r="A88" s="91"/>
      <c r="B88" s="92"/>
      <c r="C88" s="89" t="s">
        <v>108</v>
      </c>
      <c r="D88" s="91"/>
      <c r="E88" s="91"/>
      <c r="F88" s="91"/>
      <c r="G88" s="91"/>
      <c r="H88" s="91"/>
      <c r="I88" s="91"/>
      <c r="J88" s="91"/>
      <c r="K88" s="91"/>
      <c r="L88" s="94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5" customFormat="1" ht="16.5" customHeight="1">
      <c r="A89" s="91"/>
      <c r="B89" s="92"/>
      <c r="C89" s="91"/>
      <c r="D89" s="91"/>
      <c r="E89" s="288" t="str">
        <f>E11</f>
        <v>SO 2.1. - Vodovodní řad 12</v>
      </c>
      <c r="F89" s="287"/>
      <c r="G89" s="287"/>
      <c r="H89" s="287"/>
      <c r="I89" s="91"/>
      <c r="J89" s="91"/>
      <c r="K89" s="91"/>
      <c r="L89" s="94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5" customFormat="1" ht="6.9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4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5" customFormat="1" ht="12" customHeight="1">
      <c r="A91" s="91"/>
      <c r="B91" s="92"/>
      <c r="C91" s="89" t="s">
        <v>18</v>
      </c>
      <c r="D91" s="91"/>
      <c r="E91" s="91"/>
      <c r="F91" s="96" t="str">
        <f>F14</f>
        <v>Kosmonosy</v>
      </c>
      <c r="G91" s="91"/>
      <c r="H91" s="91"/>
      <c r="I91" s="89" t="s">
        <v>20</v>
      </c>
      <c r="J91" s="97" t="str">
        <f>IF(J14="","",J14)</f>
        <v>2. 3. 2020</v>
      </c>
      <c r="K91" s="91"/>
      <c r="L91" s="94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5" customFormat="1" ht="6.95" customHeight="1">
      <c r="A92" s="91"/>
      <c r="B92" s="92"/>
      <c r="C92" s="91"/>
      <c r="D92" s="91"/>
      <c r="E92" s="91"/>
      <c r="F92" s="91"/>
      <c r="G92" s="91"/>
      <c r="H92" s="91"/>
      <c r="I92" s="91"/>
      <c r="J92" s="91"/>
      <c r="K92" s="91"/>
      <c r="L92" s="94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5" customFormat="1" ht="15.2" customHeight="1">
      <c r="A93" s="91"/>
      <c r="B93" s="92"/>
      <c r="C93" s="89" t="s">
        <v>22</v>
      </c>
      <c r="D93" s="91"/>
      <c r="E93" s="91"/>
      <c r="F93" s="96" t="str">
        <f>E17</f>
        <v>Vodovody a kanalizace Mladá Boleslav, a.s.</v>
      </c>
      <c r="G93" s="91"/>
      <c r="H93" s="91"/>
      <c r="I93" s="89" t="s">
        <v>30</v>
      </c>
      <c r="J93" s="127" t="str">
        <f>E23</f>
        <v>ŠINDLAR s.r.o.</v>
      </c>
      <c r="K93" s="91"/>
      <c r="L93" s="94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5" customFormat="1" ht="15.2" customHeight="1">
      <c r="A94" s="91"/>
      <c r="B94" s="92"/>
      <c r="C94" s="89" t="s">
        <v>28</v>
      </c>
      <c r="D94" s="91"/>
      <c r="E94" s="91"/>
      <c r="F94" s="96" t="str">
        <f>IF(E20="","",E20)</f>
        <v>Dle výběrového řízení</v>
      </c>
      <c r="G94" s="91"/>
      <c r="H94" s="91"/>
      <c r="I94" s="89" t="s">
        <v>35</v>
      </c>
      <c r="J94" s="127" t="str">
        <f>E26</f>
        <v>Roman Bárta</v>
      </c>
      <c r="K94" s="91"/>
      <c r="L94" s="94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5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4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31" s="133" customFormat="1" ht="29.25" customHeight="1">
      <c r="A96" s="128"/>
      <c r="B96" s="129"/>
      <c r="C96" s="130" t="s">
        <v>111</v>
      </c>
      <c r="D96" s="128"/>
      <c r="E96" s="128"/>
      <c r="F96" s="128"/>
      <c r="G96" s="128"/>
      <c r="H96" s="128"/>
      <c r="I96" s="128"/>
      <c r="J96" s="131" t="s">
        <v>112</v>
      </c>
      <c r="K96" s="128"/>
      <c r="L96" s="132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</row>
    <row r="97" spans="1:31" s="95" customFormat="1" ht="10.35" customHeight="1">
      <c r="A97" s="91"/>
      <c r="B97" s="92"/>
      <c r="C97" s="91"/>
      <c r="D97" s="91"/>
      <c r="E97" s="91"/>
      <c r="F97" s="91"/>
      <c r="G97" s="91"/>
      <c r="H97" s="91"/>
      <c r="I97" s="91"/>
      <c r="J97" s="91"/>
      <c r="K97" s="91"/>
      <c r="L97" s="94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1:47" s="95" customFormat="1" ht="22.9" customHeight="1">
      <c r="A98" s="91"/>
      <c r="B98" s="92"/>
      <c r="C98" s="134" t="s">
        <v>113</v>
      </c>
      <c r="D98" s="91"/>
      <c r="E98" s="91"/>
      <c r="F98" s="91"/>
      <c r="G98" s="91"/>
      <c r="H98" s="91"/>
      <c r="I98" s="91"/>
      <c r="J98" s="104">
        <f>J99+J107</f>
        <v>0</v>
      </c>
      <c r="K98" s="91"/>
      <c r="L98" s="94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U98" s="83" t="s">
        <v>114</v>
      </c>
    </row>
    <row r="99" spans="2:12" s="135" customFormat="1" ht="24.95" customHeight="1">
      <c r="B99" s="136"/>
      <c r="D99" s="137" t="s">
        <v>115</v>
      </c>
      <c r="E99" s="138"/>
      <c r="F99" s="138"/>
      <c r="G99" s="138"/>
      <c r="H99" s="138"/>
      <c r="I99" s="138"/>
      <c r="J99" s="139">
        <f>SUM(J100:J106)</f>
        <v>0</v>
      </c>
      <c r="L99" s="136"/>
    </row>
    <row r="100" spans="2:12" s="140" customFormat="1" ht="19.9" customHeight="1">
      <c r="B100" s="141"/>
      <c r="D100" s="142" t="s">
        <v>116</v>
      </c>
      <c r="E100" s="143"/>
      <c r="F100" s="143"/>
      <c r="G100" s="143"/>
      <c r="H100" s="143"/>
      <c r="I100" s="143"/>
      <c r="J100" s="144">
        <f>J131</f>
        <v>0</v>
      </c>
      <c r="L100" s="141"/>
    </row>
    <row r="101" spans="2:12" s="140" customFormat="1" ht="19.9" customHeight="1">
      <c r="B101" s="141"/>
      <c r="D101" s="142" t="s">
        <v>117</v>
      </c>
      <c r="E101" s="143"/>
      <c r="F101" s="143"/>
      <c r="G101" s="143"/>
      <c r="H101" s="143"/>
      <c r="I101" s="143"/>
      <c r="J101" s="144">
        <f>J239</f>
        <v>0</v>
      </c>
      <c r="L101" s="141"/>
    </row>
    <row r="102" spans="2:12" s="140" customFormat="1" ht="19.9" customHeight="1">
      <c r="B102" s="141"/>
      <c r="D102" s="142" t="s">
        <v>118</v>
      </c>
      <c r="E102" s="143"/>
      <c r="F102" s="143"/>
      <c r="G102" s="143"/>
      <c r="H102" s="143"/>
      <c r="I102" s="143"/>
      <c r="J102" s="144">
        <f>J250</f>
        <v>0</v>
      </c>
      <c r="L102" s="141"/>
    </row>
    <row r="103" spans="2:12" s="140" customFormat="1" ht="19.9" customHeight="1">
      <c r="B103" s="141"/>
      <c r="D103" s="142" t="s">
        <v>119</v>
      </c>
      <c r="E103" s="143"/>
      <c r="F103" s="143"/>
      <c r="G103" s="143"/>
      <c r="H103" s="143"/>
      <c r="I103" s="143"/>
      <c r="J103" s="144">
        <f>J299</f>
        <v>0</v>
      </c>
      <c r="L103" s="141"/>
    </row>
    <row r="104" spans="2:12" s="140" customFormat="1" ht="19.9" customHeight="1">
      <c r="B104" s="141"/>
      <c r="D104" s="142" t="s">
        <v>120</v>
      </c>
      <c r="E104" s="143"/>
      <c r="F104" s="143"/>
      <c r="G104" s="143"/>
      <c r="H104" s="143"/>
      <c r="I104" s="143"/>
      <c r="J104" s="144">
        <f>J370</f>
        <v>0</v>
      </c>
      <c r="L104" s="141"/>
    </row>
    <row r="105" spans="2:12" s="140" customFormat="1" ht="19.9" customHeight="1">
      <c r="B105" s="141"/>
      <c r="D105" s="142" t="s">
        <v>121</v>
      </c>
      <c r="E105" s="143"/>
      <c r="F105" s="143"/>
      <c r="G105" s="143"/>
      <c r="H105" s="143"/>
      <c r="I105" s="143"/>
      <c r="J105" s="144">
        <f>J402</f>
        <v>0</v>
      </c>
      <c r="L105" s="141"/>
    </row>
    <row r="106" spans="2:12" s="140" customFormat="1" ht="19.9" customHeight="1">
      <c r="B106" s="141"/>
      <c r="D106" s="142" t="s">
        <v>122</v>
      </c>
      <c r="E106" s="143"/>
      <c r="F106" s="143"/>
      <c r="G106" s="143"/>
      <c r="H106" s="143"/>
      <c r="I106" s="143"/>
      <c r="J106" s="144">
        <f>J410</f>
        <v>0</v>
      </c>
      <c r="L106" s="141"/>
    </row>
    <row r="107" spans="2:12" s="135" customFormat="1" ht="24.95" customHeight="1">
      <c r="B107" s="136"/>
      <c r="D107" s="137" t="s">
        <v>123</v>
      </c>
      <c r="E107" s="138"/>
      <c r="F107" s="138"/>
      <c r="G107" s="138"/>
      <c r="H107" s="138"/>
      <c r="I107" s="138"/>
      <c r="J107" s="139">
        <f>J412</f>
        <v>0</v>
      </c>
      <c r="L107" s="136"/>
    </row>
    <row r="108" spans="1:31" s="95" customFormat="1" ht="21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4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5" customFormat="1" ht="6.95" customHeight="1">
      <c r="A109" s="91"/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94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3" spans="1:31" s="95" customFormat="1" ht="6.95" customHeight="1">
      <c r="A113" s="91"/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94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5" customFormat="1" ht="24.95" customHeight="1">
      <c r="A114" s="91"/>
      <c r="B114" s="92"/>
      <c r="C114" s="87" t="s">
        <v>124</v>
      </c>
      <c r="D114" s="91"/>
      <c r="E114" s="91"/>
      <c r="F114" s="91"/>
      <c r="G114" s="91"/>
      <c r="H114" s="91"/>
      <c r="I114" s="91"/>
      <c r="J114" s="91"/>
      <c r="K114" s="91"/>
      <c r="L114" s="94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5" customFormat="1" ht="6.9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4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5" customFormat="1" ht="12" customHeight="1">
      <c r="A116" s="91"/>
      <c r="B116" s="92"/>
      <c r="C116" s="89" t="s">
        <v>14</v>
      </c>
      <c r="D116" s="91"/>
      <c r="E116" s="91"/>
      <c r="F116" s="91"/>
      <c r="G116" s="91"/>
      <c r="H116" s="91"/>
      <c r="I116" s="91"/>
      <c r="J116" s="91"/>
      <c r="K116" s="91"/>
      <c r="L116" s="94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5" customFormat="1" ht="16.5" customHeight="1">
      <c r="A117" s="91"/>
      <c r="B117" s="92"/>
      <c r="C117" s="91"/>
      <c r="D117" s="91"/>
      <c r="E117" s="286" t="str">
        <f>E7</f>
        <v>Kosmonosy, obnova vodovodu a kanalizace - 3. etapa</v>
      </c>
      <c r="F117" s="289"/>
      <c r="G117" s="289"/>
      <c r="H117" s="289"/>
      <c r="I117" s="91"/>
      <c r="J117" s="91"/>
      <c r="K117" s="91"/>
      <c r="L117" s="94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2:12" ht="12" customHeight="1">
      <c r="B118" s="86"/>
      <c r="C118" s="89" t="s">
        <v>106</v>
      </c>
      <c r="L118" s="86"/>
    </row>
    <row r="119" spans="1:31" s="95" customFormat="1" ht="16.5" customHeight="1">
      <c r="A119" s="91"/>
      <c r="B119" s="92"/>
      <c r="C119" s="91"/>
      <c r="D119" s="91"/>
      <c r="E119" s="286" t="s">
        <v>602</v>
      </c>
      <c r="F119" s="287"/>
      <c r="G119" s="287"/>
      <c r="H119" s="287"/>
      <c r="I119" s="91"/>
      <c r="J119" s="91"/>
      <c r="K119" s="91"/>
      <c r="L119" s="94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5" customFormat="1" ht="12" customHeight="1">
      <c r="A120" s="91"/>
      <c r="B120" s="92"/>
      <c r="C120" s="89" t="s">
        <v>108</v>
      </c>
      <c r="D120" s="91"/>
      <c r="E120" s="91"/>
      <c r="F120" s="91"/>
      <c r="G120" s="91"/>
      <c r="H120" s="91"/>
      <c r="I120" s="91"/>
      <c r="J120" s="91"/>
      <c r="K120" s="91"/>
      <c r="L120" s="94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5" customFormat="1" ht="16.5" customHeight="1">
      <c r="A121" s="91"/>
      <c r="B121" s="92"/>
      <c r="C121" s="91"/>
      <c r="D121" s="91"/>
      <c r="E121" s="288" t="str">
        <f>E11</f>
        <v>SO 2.1. - Vodovodní řad 12</v>
      </c>
      <c r="F121" s="287"/>
      <c r="G121" s="287"/>
      <c r="H121" s="287"/>
      <c r="I121" s="91"/>
      <c r="J121" s="91"/>
      <c r="K121" s="91"/>
      <c r="L121" s="94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5" customFormat="1" ht="6.9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4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5" customFormat="1" ht="12" customHeight="1">
      <c r="A123" s="91"/>
      <c r="B123" s="92"/>
      <c r="C123" s="89" t="s">
        <v>18</v>
      </c>
      <c r="D123" s="91"/>
      <c r="E123" s="91"/>
      <c r="F123" s="96" t="str">
        <f>F14</f>
        <v>Kosmonosy</v>
      </c>
      <c r="G123" s="91"/>
      <c r="H123" s="91"/>
      <c r="I123" s="89" t="s">
        <v>20</v>
      </c>
      <c r="J123" s="97" t="str">
        <f>IF(J14="","",J14)</f>
        <v>2. 3. 2020</v>
      </c>
      <c r="K123" s="91"/>
      <c r="L123" s="94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5" customFormat="1" ht="6.9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4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5" customFormat="1" ht="15.2" customHeight="1">
      <c r="A125" s="91"/>
      <c r="B125" s="92"/>
      <c r="C125" s="89" t="s">
        <v>22</v>
      </c>
      <c r="D125" s="91"/>
      <c r="E125" s="91"/>
      <c r="F125" s="96" t="str">
        <f>E17</f>
        <v>Vodovody a kanalizace Mladá Boleslav, a.s.</v>
      </c>
      <c r="G125" s="91"/>
      <c r="H125" s="91"/>
      <c r="I125" s="89" t="s">
        <v>30</v>
      </c>
      <c r="J125" s="127" t="str">
        <f>E23</f>
        <v>ŠINDLAR s.r.o.</v>
      </c>
      <c r="K125" s="91"/>
      <c r="L125" s="94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5" customFormat="1" ht="15.2" customHeight="1">
      <c r="A126" s="91"/>
      <c r="B126" s="92"/>
      <c r="C126" s="89" t="s">
        <v>28</v>
      </c>
      <c r="D126" s="91"/>
      <c r="E126" s="91"/>
      <c r="F126" s="96" t="str">
        <f>IF(E20="","",E20)</f>
        <v>Dle výběrového řízení</v>
      </c>
      <c r="G126" s="91"/>
      <c r="H126" s="91"/>
      <c r="I126" s="89" t="s">
        <v>35</v>
      </c>
      <c r="J126" s="127" t="str">
        <f>E26</f>
        <v>Roman Bárta</v>
      </c>
      <c r="K126" s="91"/>
      <c r="L126" s="94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5" customFormat="1" ht="10.35" customHeight="1">
      <c r="A127" s="91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4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154" customFormat="1" ht="29.25" customHeight="1">
      <c r="A128" s="145"/>
      <c r="B128" s="146"/>
      <c r="C128" s="147" t="s">
        <v>125</v>
      </c>
      <c r="D128" s="148" t="s">
        <v>64</v>
      </c>
      <c r="E128" s="148" t="s">
        <v>60</v>
      </c>
      <c r="F128" s="148" t="s">
        <v>61</v>
      </c>
      <c r="G128" s="148" t="s">
        <v>126</v>
      </c>
      <c r="H128" s="148" t="s">
        <v>127</v>
      </c>
      <c r="I128" s="148" t="s">
        <v>128</v>
      </c>
      <c r="J128" s="148" t="s">
        <v>112</v>
      </c>
      <c r="K128" s="149" t="s">
        <v>129</v>
      </c>
      <c r="L128" s="150"/>
      <c r="M128" s="151" t="s">
        <v>1</v>
      </c>
      <c r="N128" s="152" t="s">
        <v>43</v>
      </c>
      <c r="O128" s="152" t="s">
        <v>130</v>
      </c>
      <c r="P128" s="152" t="s">
        <v>131</v>
      </c>
      <c r="Q128" s="152" t="s">
        <v>132</v>
      </c>
      <c r="R128" s="152" t="s">
        <v>133</v>
      </c>
      <c r="S128" s="152" t="s">
        <v>134</v>
      </c>
      <c r="T128" s="153" t="s">
        <v>135</v>
      </c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63" s="95" customFormat="1" ht="22.9" customHeight="1">
      <c r="A129" s="91"/>
      <c r="B129" s="92"/>
      <c r="C129" s="155" t="s">
        <v>136</v>
      </c>
      <c r="D129" s="91"/>
      <c r="E129" s="91"/>
      <c r="F129" s="91"/>
      <c r="G129" s="91"/>
      <c r="H129" s="91"/>
      <c r="I129" s="91"/>
      <c r="J129" s="156"/>
      <c r="K129" s="91"/>
      <c r="L129" s="92"/>
      <c r="M129" s="157"/>
      <c r="N129" s="158"/>
      <c r="O129" s="102"/>
      <c r="P129" s="159">
        <f>P130+P412</f>
        <v>523.1789510500001</v>
      </c>
      <c r="Q129" s="102"/>
      <c r="R129" s="159">
        <f>R130+R412</f>
        <v>7.2901068</v>
      </c>
      <c r="S129" s="102"/>
      <c r="T129" s="160">
        <f>T130+T412</f>
        <v>45.679500000000004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T129" s="83" t="s">
        <v>77</v>
      </c>
      <c r="AU129" s="83" t="s">
        <v>114</v>
      </c>
      <c r="BK129" s="161">
        <f>BK130+BK412</f>
        <v>0</v>
      </c>
    </row>
    <row r="130" spans="2:63" s="162" customFormat="1" ht="25.9" customHeight="1">
      <c r="B130" s="163"/>
      <c r="D130" s="164" t="s">
        <v>77</v>
      </c>
      <c r="E130" s="165" t="s">
        <v>137</v>
      </c>
      <c r="F130" s="165" t="s">
        <v>138</v>
      </c>
      <c r="J130" s="166"/>
      <c r="L130" s="163"/>
      <c r="M130" s="167"/>
      <c r="N130" s="168"/>
      <c r="O130" s="168"/>
      <c r="P130" s="169">
        <f>P131+P239+P250+P299+P370+P402+P410</f>
        <v>523.1789510500001</v>
      </c>
      <c r="Q130" s="168"/>
      <c r="R130" s="169">
        <f>R131+R239+R250+R299+R370+R402+R410</f>
        <v>7.2901068</v>
      </c>
      <c r="S130" s="168"/>
      <c r="T130" s="170">
        <f>T131+T239+T250+T299+T370+T402+T410</f>
        <v>45.679500000000004</v>
      </c>
      <c r="AR130" s="164" t="s">
        <v>85</v>
      </c>
      <c r="AT130" s="171" t="s">
        <v>77</v>
      </c>
      <c r="AU130" s="171" t="s">
        <v>78</v>
      </c>
      <c r="AY130" s="164" t="s">
        <v>139</v>
      </c>
      <c r="BK130" s="172">
        <f>BK131+BK239+BK250+BK299+BK370+BK402+BK410</f>
        <v>0</v>
      </c>
    </row>
    <row r="131" spans="2:63" s="162" customFormat="1" ht="22.9" customHeight="1">
      <c r="B131" s="163"/>
      <c r="D131" s="164" t="s">
        <v>77</v>
      </c>
      <c r="E131" s="173" t="s">
        <v>85</v>
      </c>
      <c r="F131" s="173" t="s">
        <v>140</v>
      </c>
      <c r="J131" s="174">
        <f>SUM(J132:J236)</f>
        <v>0</v>
      </c>
      <c r="L131" s="163"/>
      <c r="M131" s="167"/>
      <c r="N131" s="168"/>
      <c r="O131" s="168"/>
      <c r="P131" s="169">
        <f>SUM(P132:P238)</f>
        <v>350.3949550000001</v>
      </c>
      <c r="Q131" s="168"/>
      <c r="R131" s="169">
        <f>SUM(R132:R238)</f>
        <v>5.2568817999999995</v>
      </c>
      <c r="S131" s="168"/>
      <c r="T131" s="170">
        <f>SUM(T132:T238)</f>
        <v>40.9088</v>
      </c>
      <c r="AR131" s="164" t="s">
        <v>85</v>
      </c>
      <c r="AT131" s="171" t="s">
        <v>77</v>
      </c>
      <c r="AU131" s="171" t="s">
        <v>85</v>
      </c>
      <c r="AY131" s="164" t="s">
        <v>139</v>
      </c>
      <c r="BK131" s="172">
        <f>SUM(BK132:BK238)</f>
        <v>0</v>
      </c>
    </row>
    <row r="132" spans="1:65" s="95" customFormat="1" ht="66.75" customHeight="1">
      <c r="A132" s="91"/>
      <c r="B132" s="92"/>
      <c r="C132" s="175" t="s">
        <v>85</v>
      </c>
      <c r="D132" s="175" t="s">
        <v>141</v>
      </c>
      <c r="E132" s="176" t="s">
        <v>604</v>
      </c>
      <c r="F132" s="177" t="s">
        <v>605</v>
      </c>
      <c r="G132" s="178" t="s">
        <v>144</v>
      </c>
      <c r="H132" s="179">
        <v>34</v>
      </c>
      <c r="I132" s="69"/>
      <c r="J132" s="180">
        <f>ROUND(I132*H132,2)</f>
        <v>0</v>
      </c>
      <c r="K132" s="177" t="s">
        <v>145</v>
      </c>
      <c r="L132" s="92"/>
      <c r="M132" s="181" t="s">
        <v>1</v>
      </c>
      <c r="N132" s="182" t="s">
        <v>44</v>
      </c>
      <c r="O132" s="183">
        <v>0.232</v>
      </c>
      <c r="P132" s="183">
        <f>O132*H132</f>
        <v>7.888000000000001</v>
      </c>
      <c r="Q132" s="183">
        <v>0</v>
      </c>
      <c r="R132" s="183">
        <f>Q132*H132</f>
        <v>0</v>
      </c>
      <c r="S132" s="183">
        <v>0.58</v>
      </c>
      <c r="T132" s="184">
        <f>S132*H132</f>
        <v>19.72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146</v>
      </c>
      <c r="AT132" s="185" t="s">
        <v>141</v>
      </c>
      <c r="AU132" s="185" t="s">
        <v>87</v>
      </c>
      <c r="AY132" s="83" t="s">
        <v>139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3" t="s">
        <v>85</v>
      </c>
      <c r="BK132" s="186">
        <f>ROUND(I132*H132,2)</f>
        <v>0</v>
      </c>
      <c r="BL132" s="83" t="s">
        <v>146</v>
      </c>
      <c r="BM132" s="185" t="s">
        <v>606</v>
      </c>
    </row>
    <row r="133" spans="1:47" s="95" customFormat="1" ht="19.5">
      <c r="A133" s="91"/>
      <c r="B133" s="92"/>
      <c r="C133" s="91"/>
      <c r="D133" s="189" t="s">
        <v>153</v>
      </c>
      <c r="E133" s="91"/>
      <c r="F133" s="196" t="s">
        <v>154</v>
      </c>
      <c r="G133" s="91"/>
      <c r="H133" s="91"/>
      <c r="I133" s="234"/>
      <c r="J133" s="91"/>
      <c r="K133" s="91"/>
      <c r="L133" s="92"/>
      <c r="M133" s="197"/>
      <c r="N133" s="198"/>
      <c r="O133" s="199"/>
      <c r="P133" s="199"/>
      <c r="Q133" s="199"/>
      <c r="R133" s="199"/>
      <c r="S133" s="199"/>
      <c r="T133" s="200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T133" s="83" t="s">
        <v>153</v>
      </c>
      <c r="AU133" s="83" t="s">
        <v>87</v>
      </c>
    </row>
    <row r="134" spans="2:51" s="201" customFormat="1" ht="12">
      <c r="B134" s="202"/>
      <c r="D134" s="189" t="s">
        <v>148</v>
      </c>
      <c r="E134" s="203" t="s">
        <v>1</v>
      </c>
      <c r="F134" s="204" t="s">
        <v>607</v>
      </c>
      <c r="H134" s="203" t="s">
        <v>1</v>
      </c>
      <c r="I134" s="235"/>
      <c r="L134" s="202"/>
      <c r="M134" s="205"/>
      <c r="N134" s="206"/>
      <c r="O134" s="206"/>
      <c r="P134" s="206"/>
      <c r="Q134" s="206"/>
      <c r="R134" s="206"/>
      <c r="S134" s="206"/>
      <c r="T134" s="207"/>
      <c r="AT134" s="203" t="s">
        <v>148</v>
      </c>
      <c r="AU134" s="203" t="s">
        <v>87</v>
      </c>
      <c r="AV134" s="201" t="s">
        <v>85</v>
      </c>
      <c r="AW134" s="201" t="s">
        <v>34</v>
      </c>
      <c r="AX134" s="201" t="s">
        <v>78</v>
      </c>
      <c r="AY134" s="203" t="s">
        <v>139</v>
      </c>
    </row>
    <row r="135" spans="2:51" s="187" customFormat="1" ht="12">
      <c r="B135" s="188"/>
      <c r="D135" s="189" t="s">
        <v>148</v>
      </c>
      <c r="E135" s="190" t="s">
        <v>1</v>
      </c>
      <c r="F135" s="191" t="s">
        <v>608</v>
      </c>
      <c r="H135" s="192">
        <v>9.75</v>
      </c>
      <c r="I135" s="233"/>
      <c r="L135" s="188"/>
      <c r="M135" s="193"/>
      <c r="N135" s="194"/>
      <c r="O135" s="194"/>
      <c r="P135" s="194"/>
      <c r="Q135" s="194"/>
      <c r="R135" s="194"/>
      <c r="S135" s="194"/>
      <c r="T135" s="195"/>
      <c r="AT135" s="190" t="s">
        <v>148</v>
      </c>
      <c r="AU135" s="190" t="s">
        <v>87</v>
      </c>
      <c r="AV135" s="187" t="s">
        <v>87</v>
      </c>
      <c r="AW135" s="187" t="s">
        <v>34</v>
      </c>
      <c r="AX135" s="187" t="s">
        <v>78</v>
      </c>
      <c r="AY135" s="190" t="s">
        <v>139</v>
      </c>
    </row>
    <row r="136" spans="2:51" s="187" customFormat="1" ht="12">
      <c r="B136" s="188"/>
      <c r="D136" s="189" t="s">
        <v>148</v>
      </c>
      <c r="E136" s="190" t="s">
        <v>1</v>
      </c>
      <c r="F136" s="191" t="s">
        <v>609</v>
      </c>
      <c r="H136" s="192">
        <v>3</v>
      </c>
      <c r="I136" s="233"/>
      <c r="L136" s="188"/>
      <c r="M136" s="193"/>
      <c r="N136" s="194"/>
      <c r="O136" s="194"/>
      <c r="P136" s="194"/>
      <c r="Q136" s="194"/>
      <c r="R136" s="194"/>
      <c r="S136" s="194"/>
      <c r="T136" s="195"/>
      <c r="AT136" s="190" t="s">
        <v>148</v>
      </c>
      <c r="AU136" s="190" t="s">
        <v>87</v>
      </c>
      <c r="AV136" s="187" t="s">
        <v>87</v>
      </c>
      <c r="AW136" s="187" t="s">
        <v>34</v>
      </c>
      <c r="AX136" s="187" t="s">
        <v>78</v>
      </c>
      <c r="AY136" s="190" t="s">
        <v>139</v>
      </c>
    </row>
    <row r="137" spans="2:51" s="187" customFormat="1" ht="12">
      <c r="B137" s="188"/>
      <c r="D137" s="189" t="s">
        <v>148</v>
      </c>
      <c r="E137" s="190" t="s">
        <v>1</v>
      </c>
      <c r="F137" s="191" t="s">
        <v>610</v>
      </c>
      <c r="H137" s="192">
        <v>3.75</v>
      </c>
      <c r="I137" s="233"/>
      <c r="L137" s="188"/>
      <c r="M137" s="193"/>
      <c r="N137" s="194"/>
      <c r="O137" s="194"/>
      <c r="P137" s="194"/>
      <c r="Q137" s="194"/>
      <c r="R137" s="194"/>
      <c r="S137" s="194"/>
      <c r="T137" s="195"/>
      <c r="AT137" s="190" t="s">
        <v>148</v>
      </c>
      <c r="AU137" s="190" t="s">
        <v>87</v>
      </c>
      <c r="AV137" s="187" t="s">
        <v>87</v>
      </c>
      <c r="AW137" s="187" t="s">
        <v>34</v>
      </c>
      <c r="AX137" s="187" t="s">
        <v>78</v>
      </c>
      <c r="AY137" s="190" t="s">
        <v>139</v>
      </c>
    </row>
    <row r="138" spans="2:51" s="187" customFormat="1" ht="12">
      <c r="B138" s="188"/>
      <c r="D138" s="189" t="s">
        <v>148</v>
      </c>
      <c r="E138" s="190" t="s">
        <v>1</v>
      </c>
      <c r="F138" s="191" t="s">
        <v>611</v>
      </c>
      <c r="H138" s="192">
        <v>1</v>
      </c>
      <c r="I138" s="233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0" t="s">
        <v>148</v>
      </c>
      <c r="AU138" s="190" t="s">
        <v>87</v>
      </c>
      <c r="AV138" s="187" t="s">
        <v>87</v>
      </c>
      <c r="AW138" s="187" t="s">
        <v>34</v>
      </c>
      <c r="AX138" s="187" t="s">
        <v>78</v>
      </c>
      <c r="AY138" s="190" t="s">
        <v>139</v>
      </c>
    </row>
    <row r="139" spans="2:51" s="187" customFormat="1" ht="12">
      <c r="B139" s="188"/>
      <c r="D139" s="189" t="s">
        <v>148</v>
      </c>
      <c r="E139" s="190" t="s">
        <v>1</v>
      </c>
      <c r="F139" s="191" t="s">
        <v>612</v>
      </c>
      <c r="H139" s="192">
        <v>16.5</v>
      </c>
      <c r="I139" s="233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0" t="s">
        <v>148</v>
      </c>
      <c r="AU139" s="190" t="s">
        <v>87</v>
      </c>
      <c r="AV139" s="187" t="s">
        <v>87</v>
      </c>
      <c r="AW139" s="187" t="s">
        <v>34</v>
      </c>
      <c r="AX139" s="187" t="s">
        <v>78</v>
      </c>
      <c r="AY139" s="190" t="s">
        <v>139</v>
      </c>
    </row>
    <row r="140" spans="2:51" s="208" customFormat="1" ht="12">
      <c r="B140" s="209"/>
      <c r="D140" s="189" t="s">
        <v>148</v>
      </c>
      <c r="E140" s="210" t="s">
        <v>1</v>
      </c>
      <c r="F140" s="211" t="s">
        <v>159</v>
      </c>
      <c r="H140" s="212">
        <v>34</v>
      </c>
      <c r="I140" s="236"/>
      <c r="L140" s="209"/>
      <c r="M140" s="213"/>
      <c r="N140" s="214"/>
      <c r="O140" s="214"/>
      <c r="P140" s="214"/>
      <c r="Q140" s="214"/>
      <c r="R140" s="214"/>
      <c r="S140" s="214"/>
      <c r="T140" s="215"/>
      <c r="AT140" s="210" t="s">
        <v>148</v>
      </c>
      <c r="AU140" s="210" t="s">
        <v>87</v>
      </c>
      <c r="AV140" s="208" t="s">
        <v>146</v>
      </c>
      <c r="AW140" s="208" t="s">
        <v>34</v>
      </c>
      <c r="AX140" s="208" t="s">
        <v>85</v>
      </c>
      <c r="AY140" s="210" t="s">
        <v>139</v>
      </c>
    </row>
    <row r="141" spans="1:65" s="95" customFormat="1" ht="55.5" customHeight="1">
      <c r="A141" s="91"/>
      <c r="B141" s="92"/>
      <c r="C141" s="175" t="s">
        <v>87</v>
      </c>
      <c r="D141" s="175" t="s">
        <v>141</v>
      </c>
      <c r="E141" s="176" t="s">
        <v>613</v>
      </c>
      <c r="F141" s="177" t="s">
        <v>614</v>
      </c>
      <c r="G141" s="178" t="s">
        <v>144</v>
      </c>
      <c r="H141" s="179">
        <v>34</v>
      </c>
      <c r="I141" s="69"/>
      <c r="J141" s="180">
        <f>ROUND(I141*H141,2)</f>
        <v>0</v>
      </c>
      <c r="K141" s="177" t="s">
        <v>145</v>
      </c>
      <c r="L141" s="92"/>
      <c r="M141" s="181" t="s">
        <v>1</v>
      </c>
      <c r="N141" s="182" t="s">
        <v>44</v>
      </c>
      <c r="O141" s="183">
        <v>0.13</v>
      </c>
      <c r="P141" s="183">
        <f>O141*H141</f>
        <v>4.42</v>
      </c>
      <c r="Q141" s="183">
        <v>0</v>
      </c>
      <c r="R141" s="183">
        <f>Q141*H141</f>
        <v>0</v>
      </c>
      <c r="S141" s="183">
        <v>0.22</v>
      </c>
      <c r="T141" s="184">
        <f>S141*H141</f>
        <v>7.48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146</v>
      </c>
      <c r="AT141" s="185" t="s">
        <v>141</v>
      </c>
      <c r="AU141" s="185" t="s">
        <v>87</v>
      </c>
      <c r="AY141" s="83" t="s">
        <v>139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83" t="s">
        <v>85</v>
      </c>
      <c r="BK141" s="186">
        <f>ROUND(I141*H141,2)</f>
        <v>0</v>
      </c>
      <c r="BL141" s="83" t="s">
        <v>146</v>
      </c>
      <c r="BM141" s="185" t="s">
        <v>615</v>
      </c>
    </row>
    <row r="142" spans="1:47" s="95" customFormat="1" ht="19.5">
      <c r="A142" s="91"/>
      <c r="B142" s="92"/>
      <c r="C142" s="91"/>
      <c r="D142" s="189" t="s">
        <v>153</v>
      </c>
      <c r="E142" s="91"/>
      <c r="F142" s="196" t="s">
        <v>616</v>
      </c>
      <c r="G142" s="91"/>
      <c r="H142" s="91"/>
      <c r="I142" s="234"/>
      <c r="J142" s="91"/>
      <c r="K142" s="91"/>
      <c r="L142" s="92"/>
      <c r="M142" s="197"/>
      <c r="N142" s="198"/>
      <c r="O142" s="199"/>
      <c r="P142" s="199"/>
      <c r="Q142" s="199"/>
      <c r="R142" s="199"/>
      <c r="S142" s="199"/>
      <c r="T142" s="200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T142" s="83" t="s">
        <v>153</v>
      </c>
      <c r="AU142" s="83" t="s">
        <v>87</v>
      </c>
    </row>
    <row r="143" spans="2:51" s="201" customFormat="1" ht="12">
      <c r="B143" s="202"/>
      <c r="D143" s="189" t="s">
        <v>148</v>
      </c>
      <c r="E143" s="203" t="s">
        <v>1</v>
      </c>
      <c r="F143" s="204" t="s">
        <v>607</v>
      </c>
      <c r="H143" s="203" t="s">
        <v>1</v>
      </c>
      <c r="I143" s="235"/>
      <c r="L143" s="202"/>
      <c r="M143" s="205"/>
      <c r="N143" s="206"/>
      <c r="O143" s="206"/>
      <c r="P143" s="206"/>
      <c r="Q143" s="206"/>
      <c r="R143" s="206"/>
      <c r="S143" s="206"/>
      <c r="T143" s="207"/>
      <c r="AT143" s="203" t="s">
        <v>148</v>
      </c>
      <c r="AU143" s="203" t="s">
        <v>87</v>
      </c>
      <c r="AV143" s="201" t="s">
        <v>85</v>
      </c>
      <c r="AW143" s="201" t="s">
        <v>34</v>
      </c>
      <c r="AX143" s="201" t="s">
        <v>78</v>
      </c>
      <c r="AY143" s="203" t="s">
        <v>139</v>
      </c>
    </row>
    <row r="144" spans="2:51" s="187" customFormat="1" ht="12">
      <c r="B144" s="188"/>
      <c r="D144" s="189" t="s">
        <v>148</v>
      </c>
      <c r="E144" s="190" t="s">
        <v>1</v>
      </c>
      <c r="F144" s="191" t="s">
        <v>608</v>
      </c>
      <c r="H144" s="192">
        <v>9.75</v>
      </c>
      <c r="I144" s="233"/>
      <c r="L144" s="188"/>
      <c r="M144" s="193"/>
      <c r="N144" s="194"/>
      <c r="O144" s="194"/>
      <c r="P144" s="194"/>
      <c r="Q144" s="194"/>
      <c r="R144" s="194"/>
      <c r="S144" s="194"/>
      <c r="T144" s="195"/>
      <c r="AT144" s="190" t="s">
        <v>148</v>
      </c>
      <c r="AU144" s="190" t="s">
        <v>87</v>
      </c>
      <c r="AV144" s="187" t="s">
        <v>87</v>
      </c>
      <c r="AW144" s="187" t="s">
        <v>34</v>
      </c>
      <c r="AX144" s="187" t="s">
        <v>78</v>
      </c>
      <c r="AY144" s="190" t="s">
        <v>139</v>
      </c>
    </row>
    <row r="145" spans="2:51" s="187" customFormat="1" ht="12">
      <c r="B145" s="188"/>
      <c r="D145" s="189" t="s">
        <v>148</v>
      </c>
      <c r="E145" s="190" t="s">
        <v>1</v>
      </c>
      <c r="F145" s="191" t="s">
        <v>609</v>
      </c>
      <c r="H145" s="192">
        <v>3</v>
      </c>
      <c r="I145" s="233"/>
      <c r="L145" s="188"/>
      <c r="M145" s="193"/>
      <c r="N145" s="194"/>
      <c r="O145" s="194"/>
      <c r="P145" s="194"/>
      <c r="Q145" s="194"/>
      <c r="R145" s="194"/>
      <c r="S145" s="194"/>
      <c r="T145" s="195"/>
      <c r="AT145" s="190" t="s">
        <v>148</v>
      </c>
      <c r="AU145" s="190" t="s">
        <v>87</v>
      </c>
      <c r="AV145" s="187" t="s">
        <v>87</v>
      </c>
      <c r="AW145" s="187" t="s">
        <v>34</v>
      </c>
      <c r="AX145" s="187" t="s">
        <v>78</v>
      </c>
      <c r="AY145" s="190" t="s">
        <v>139</v>
      </c>
    </row>
    <row r="146" spans="2:51" s="187" customFormat="1" ht="12">
      <c r="B146" s="188"/>
      <c r="D146" s="189" t="s">
        <v>148</v>
      </c>
      <c r="E146" s="190" t="s">
        <v>1</v>
      </c>
      <c r="F146" s="191" t="s">
        <v>610</v>
      </c>
      <c r="H146" s="192">
        <v>3.75</v>
      </c>
      <c r="I146" s="233"/>
      <c r="L146" s="188"/>
      <c r="M146" s="193"/>
      <c r="N146" s="194"/>
      <c r="O146" s="194"/>
      <c r="P146" s="194"/>
      <c r="Q146" s="194"/>
      <c r="R146" s="194"/>
      <c r="S146" s="194"/>
      <c r="T146" s="195"/>
      <c r="AT146" s="190" t="s">
        <v>148</v>
      </c>
      <c r="AU146" s="190" t="s">
        <v>87</v>
      </c>
      <c r="AV146" s="187" t="s">
        <v>87</v>
      </c>
      <c r="AW146" s="187" t="s">
        <v>34</v>
      </c>
      <c r="AX146" s="187" t="s">
        <v>78</v>
      </c>
      <c r="AY146" s="190" t="s">
        <v>139</v>
      </c>
    </row>
    <row r="147" spans="2:51" s="187" customFormat="1" ht="12">
      <c r="B147" s="188"/>
      <c r="D147" s="189" t="s">
        <v>148</v>
      </c>
      <c r="E147" s="190" t="s">
        <v>1</v>
      </c>
      <c r="F147" s="191" t="s">
        <v>611</v>
      </c>
      <c r="H147" s="192">
        <v>1</v>
      </c>
      <c r="I147" s="233"/>
      <c r="L147" s="188"/>
      <c r="M147" s="193"/>
      <c r="N147" s="194"/>
      <c r="O147" s="194"/>
      <c r="P147" s="194"/>
      <c r="Q147" s="194"/>
      <c r="R147" s="194"/>
      <c r="S147" s="194"/>
      <c r="T147" s="195"/>
      <c r="AT147" s="190" t="s">
        <v>148</v>
      </c>
      <c r="AU147" s="190" t="s">
        <v>87</v>
      </c>
      <c r="AV147" s="187" t="s">
        <v>87</v>
      </c>
      <c r="AW147" s="187" t="s">
        <v>34</v>
      </c>
      <c r="AX147" s="187" t="s">
        <v>78</v>
      </c>
      <c r="AY147" s="190" t="s">
        <v>139</v>
      </c>
    </row>
    <row r="148" spans="2:51" s="187" customFormat="1" ht="12">
      <c r="B148" s="188"/>
      <c r="D148" s="189" t="s">
        <v>148</v>
      </c>
      <c r="E148" s="190" t="s">
        <v>1</v>
      </c>
      <c r="F148" s="191" t="s">
        <v>612</v>
      </c>
      <c r="H148" s="192">
        <v>16.5</v>
      </c>
      <c r="I148" s="233"/>
      <c r="L148" s="188"/>
      <c r="M148" s="193"/>
      <c r="N148" s="194"/>
      <c r="O148" s="194"/>
      <c r="P148" s="194"/>
      <c r="Q148" s="194"/>
      <c r="R148" s="194"/>
      <c r="S148" s="194"/>
      <c r="T148" s="195"/>
      <c r="AT148" s="190" t="s">
        <v>148</v>
      </c>
      <c r="AU148" s="190" t="s">
        <v>87</v>
      </c>
      <c r="AV148" s="187" t="s">
        <v>87</v>
      </c>
      <c r="AW148" s="187" t="s">
        <v>34</v>
      </c>
      <c r="AX148" s="187" t="s">
        <v>78</v>
      </c>
      <c r="AY148" s="190" t="s">
        <v>139</v>
      </c>
    </row>
    <row r="149" spans="2:51" s="208" customFormat="1" ht="12">
      <c r="B149" s="209"/>
      <c r="D149" s="189" t="s">
        <v>148</v>
      </c>
      <c r="E149" s="210" t="s">
        <v>1</v>
      </c>
      <c r="F149" s="211" t="s">
        <v>159</v>
      </c>
      <c r="H149" s="212">
        <v>34</v>
      </c>
      <c r="I149" s="236"/>
      <c r="L149" s="209"/>
      <c r="M149" s="213"/>
      <c r="N149" s="214"/>
      <c r="O149" s="214"/>
      <c r="P149" s="214"/>
      <c r="Q149" s="214"/>
      <c r="R149" s="214"/>
      <c r="S149" s="214"/>
      <c r="T149" s="215"/>
      <c r="AT149" s="210" t="s">
        <v>148</v>
      </c>
      <c r="AU149" s="210" t="s">
        <v>87</v>
      </c>
      <c r="AV149" s="208" t="s">
        <v>146</v>
      </c>
      <c r="AW149" s="208" t="s">
        <v>34</v>
      </c>
      <c r="AX149" s="208" t="s">
        <v>85</v>
      </c>
      <c r="AY149" s="210" t="s">
        <v>139</v>
      </c>
    </row>
    <row r="150" spans="1:65" s="95" customFormat="1" ht="44.25" customHeight="1">
      <c r="A150" s="91"/>
      <c r="B150" s="92"/>
      <c r="C150" s="175" t="s">
        <v>160</v>
      </c>
      <c r="D150" s="175" t="s">
        <v>141</v>
      </c>
      <c r="E150" s="176" t="s">
        <v>617</v>
      </c>
      <c r="F150" s="177" t="s">
        <v>618</v>
      </c>
      <c r="G150" s="178" t="s">
        <v>144</v>
      </c>
      <c r="H150" s="179">
        <v>107.1</v>
      </c>
      <c r="I150" s="69"/>
      <c r="J150" s="180">
        <f>ROUND(I150*H150,2)</f>
        <v>0</v>
      </c>
      <c r="K150" s="177" t="s">
        <v>145</v>
      </c>
      <c r="L150" s="92"/>
      <c r="M150" s="181" t="s">
        <v>1</v>
      </c>
      <c r="N150" s="182" t="s">
        <v>44</v>
      </c>
      <c r="O150" s="183">
        <v>0.076</v>
      </c>
      <c r="P150" s="183">
        <f>O150*H150</f>
        <v>8.1396</v>
      </c>
      <c r="Q150" s="183">
        <v>4E-05</v>
      </c>
      <c r="R150" s="183">
        <f>Q150*H150</f>
        <v>0.0042840000000000005</v>
      </c>
      <c r="S150" s="183">
        <v>0.128</v>
      </c>
      <c r="T150" s="184">
        <f>S150*H150</f>
        <v>13.7088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146</v>
      </c>
      <c r="AT150" s="185" t="s">
        <v>141</v>
      </c>
      <c r="AU150" s="185" t="s">
        <v>87</v>
      </c>
      <c r="AY150" s="83" t="s">
        <v>139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83" t="s">
        <v>85</v>
      </c>
      <c r="BK150" s="186">
        <f>ROUND(I150*H150,2)</f>
        <v>0</v>
      </c>
      <c r="BL150" s="83" t="s">
        <v>146</v>
      </c>
      <c r="BM150" s="185" t="s">
        <v>619</v>
      </c>
    </row>
    <row r="151" spans="1:47" s="95" customFormat="1" ht="19.5">
      <c r="A151" s="91"/>
      <c r="B151" s="92"/>
      <c r="C151" s="91"/>
      <c r="D151" s="189" t="s">
        <v>153</v>
      </c>
      <c r="E151" s="91"/>
      <c r="F151" s="196" t="s">
        <v>620</v>
      </c>
      <c r="G151" s="91"/>
      <c r="H151" s="91"/>
      <c r="I151" s="234"/>
      <c r="J151" s="91"/>
      <c r="K151" s="91"/>
      <c r="L151" s="92"/>
      <c r="M151" s="197"/>
      <c r="N151" s="198"/>
      <c r="O151" s="199"/>
      <c r="P151" s="199"/>
      <c r="Q151" s="199"/>
      <c r="R151" s="199"/>
      <c r="S151" s="199"/>
      <c r="T151" s="200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T151" s="83" t="s">
        <v>153</v>
      </c>
      <c r="AU151" s="83" t="s">
        <v>87</v>
      </c>
    </row>
    <row r="152" spans="2:51" s="201" customFormat="1" ht="12">
      <c r="B152" s="202"/>
      <c r="D152" s="189" t="s">
        <v>148</v>
      </c>
      <c r="E152" s="203" t="s">
        <v>1</v>
      </c>
      <c r="F152" s="204" t="s">
        <v>621</v>
      </c>
      <c r="H152" s="203" t="s">
        <v>1</v>
      </c>
      <c r="I152" s="235"/>
      <c r="L152" s="202"/>
      <c r="M152" s="205"/>
      <c r="N152" s="206"/>
      <c r="O152" s="206"/>
      <c r="P152" s="206"/>
      <c r="Q152" s="206"/>
      <c r="R152" s="206"/>
      <c r="S152" s="206"/>
      <c r="T152" s="207"/>
      <c r="AT152" s="203" t="s">
        <v>148</v>
      </c>
      <c r="AU152" s="203" t="s">
        <v>87</v>
      </c>
      <c r="AV152" s="201" t="s">
        <v>85</v>
      </c>
      <c r="AW152" s="201" t="s">
        <v>34</v>
      </c>
      <c r="AX152" s="201" t="s">
        <v>78</v>
      </c>
      <c r="AY152" s="203" t="s">
        <v>139</v>
      </c>
    </row>
    <row r="153" spans="2:51" s="201" customFormat="1" ht="12">
      <c r="B153" s="202"/>
      <c r="D153" s="189" t="s">
        <v>148</v>
      </c>
      <c r="E153" s="203" t="s">
        <v>1</v>
      </c>
      <c r="F153" s="204" t="s">
        <v>622</v>
      </c>
      <c r="H153" s="203" t="s">
        <v>1</v>
      </c>
      <c r="I153" s="235"/>
      <c r="L153" s="202"/>
      <c r="M153" s="205"/>
      <c r="N153" s="206"/>
      <c r="O153" s="206"/>
      <c r="P153" s="206"/>
      <c r="Q153" s="206"/>
      <c r="R153" s="206"/>
      <c r="S153" s="206"/>
      <c r="T153" s="207"/>
      <c r="AT153" s="203" t="s">
        <v>148</v>
      </c>
      <c r="AU153" s="203" t="s">
        <v>87</v>
      </c>
      <c r="AV153" s="201" t="s">
        <v>85</v>
      </c>
      <c r="AW153" s="201" t="s">
        <v>34</v>
      </c>
      <c r="AX153" s="201" t="s">
        <v>78</v>
      </c>
      <c r="AY153" s="203" t="s">
        <v>139</v>
      </c>
    </row>
    <row r="154" spans="2:51" s="187" customFormat="1" ht="12">
      <c r="B154" s="188"/>
      <c r="D154" s="189" t="s">
        <v>148</v>
      </c>
      <c r="E154" s="190" t="s">
        <v>1</v>
      </c>
      <c r="F154" s="191" t="s">
        <v>299</v>
      </c>
      <c r="H154" s="192">
        <v>28</v>
      </c>
      <c r="I154" s="233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 t="s">
        <v>148</v>
      </c>
      <c r="AU154" s="190" t="s">
        <v>87</v>
      </c>
      <c r="AV154" s="187" t="s">
        <v>87</v>
      </c>
      <c r="AW154" s="187" t="s">
        <v>34</v>
      </c>
      <c r="AX154" s="187" t="s">
        <v>78</v>
      </c>
      <c r="AY154" s="190" t="s">
        <v>139</v>
      </c>
    </row>
    <row r="155" spans="2:51" s="187" customFormat="1" ht="12">
      <c r="B155" s="188"/>
      <c r="D155" s="189" t="s">
        <v>148</v>
      </c>
      <c r="E155" s="190" t="s">
        <v>1</v>
      </c>
      <c r="F155" s="191" t="s">
        <v>623</v>
      </c>
      <c r="H155" s="192">
        <v>3.8</v>
      </c>
      <c r="I155" s="233"/>
      <c r="L155" s="188"/>
      <c r="M155" s="193"/>
      <c r="N155" s="194"/>
      <c r="O155" s="194"/>
      <c r="P155" s="194"/>
      <c r="Q155" s="194"/>
      <c r="R155" s="194"/>
      <c r="S155" s="194"/>
      <c r="T155" s="195"/>
      <c r="AT155" s="190" t="s">
        <v>148</v>
      </c>
      <c r="AU155" s="190" t="s">
        <v>87</v>
      </c>
      <c r="AV155" s="187" t="s">
        <v>87</v>
      </c>
      <c r="AW155" s="187" t="s">
        <v>34</v>
      </c>
      <c r="AX155" s="187" t="s">
        <v>78</v>
      </c>
      <c r="AY155" s="190" t="s">
        <v>139</v>
      </c>
    </row>
    <row r="156" spans="2:51" s="187" customFormat="1" ht="12">
      <c r="B156" s="188"/>
      <c r="D156" s="189" t="s">
        <v>148</v>
      </c>
      <c r="E156" s="190" t="s">
        <v>1</v>
      </c>
      <c r="F156" s="191" t="s">
        <v>624</v>
      </c>
      <c r="H156" s="192">
        <v>4.5</v>
      </c>
      <c r="I156" s="233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0" t="s">
        <v>148</v>
      </c>
      <c r="AU156" s="190" t="s">
        <v>87</v>
      </c>
      <c r="AV156" s="187" t="s">
        <v>87</v>
      </c>
      <c r="AW156" s="187" t="s">
        <v>34</v>
      </c>
      <c r="AX156" s="187" t="s">
        <v>78</v>
      </c>
      <c r="AY156" s="190" t="s">
        <v>139</v>
      </c>
    </row>
    <row r="157" spans="2:51" s="187" customFormat="1" ht="12">
      <c r="B157" s="188"/>
      <c r="D157" s="189" t="s">
        <v>148</v>
      </c>
      <c r="E157" s="190" t="s">
        <v>1</v>
      </c>
      <c r="F157" s="191" t="s">
        <v>625</v>
      </c>
      <c r="H157" s="192">
        <v>70.8</v>
      </c>
      <c r="I157" s="233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148</v>
      </c>
      <c r="AU157" s="190" t="s">
        <v>87</v>
      </c>
      <c r="AV157" s="187" t="s">
        <v>87</v>
      </c>
      <c r="AW157" s="187" t="s">
        <v>34</v>
      </c>
      <c r="AX157" s="187" t="s">
        <v>78</v>
      </c>
      <c r="AY157" s="190" t="s">
        <v>139</v>
      </c>
    </row>
    <row r="158" spans="2:51" s="208" customFormat="1" ht="12">
      <c r="B158" s="209"/>
      <c r="D158" s="189" t="s">
        <v>148</v>
      </c>
      <c r="E158" s="210" t="s">
        <v>1</v>
      </c>
      <c r="F158" s="211" t="s">
        <v>159</v>
      </c>
      <c r="H158" s="212">
        <v>107.1</v>
      </c>
      <c r="I158" s="236"/>
      <c r="L158" s="209"/>
      <c r="M158" s="213"/>
      <c r="N158" s="214"/>
      <c r="O158" s="214"/>
      <c r="P158" s="214"/>
      <c r="Q158" s="214"/>
      <c r="R158" s="214"/>
      <c r="S158" s="214"/>
      <c r="T158" s="215"/>
      <c r="AT158" s="210" t="s">
        <v>148</v>
      </c>
      <c r="AU158" s="210" t="s">
        <v>87</v>
      </c>
      <c r="AV158" s="208" t="s">
        <v>146</v>
      </c>
      <c r="AW158" s="208" t="s">
        <v>34</v>
      </c>
      <c r="AX158" s="208" t="s">
        <v>85</v>
      </c>
      <c r="AY158" s="210" t="s">
        <v>139</v>
      </c>
    </row>
    <row r="159" spans="1:65" s="95" customFormat="1" ht="24">
      <c r="A159" s="91"/>
      <c r="B159" s="92"/>
      <c r="C159" s="175" t="s">
        <v>146</v>
      </c>
      <c r="D159" s="175" t="s">
        <v>141</v>
      </c>
      <c r="E159" s="176" t="s">
        <v>175</v>
      </c>
      <c r="F159" s="177" t="s">
        <v>176</v>
      </c>
      <c r="G159" s="178" t="s">
        <v>177</v>
      </c>
      <c r="H159" s="179">
        <v>30</v>
      </c>
      <c r="I159" s="69"/>
      <c r="J159" s="180">
        <f>ROUND(I159*H159,2)</f>
        <v>0</v>
      </c>
      <c r="K159" s="177" t="s">
        <v>145</v>
      </c>
      <c r="L159" s="92"/>
      <c r="M159" s="181" t="s">
        <v>1</v>
      </c>
      <c r="N159" s="182" t="s">
        <v>44</v>
      </c>
      <c r="O159" s="183">
        <v>0.2</v>
      </c>
      <c r="P159" s="183">
        <f>O159*H159</f>
        <v>6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146</v>
      </c>
      <c r="AT159" s="185" t="s">
        <v>141</v>
      </c>
      <c r="AU159" s="185" t="s">
        <v>87</v>
      </c>
      <c r="AY159" s="83" t="s">
        <v>139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3" t="s">
        <v>85</v>
      </c>
      <c r="BK159" s="186">
        <f>ROUND(I159*H159,2)</f>
        <v>0</v>
      </c>
      <c r="BL159" s="83" t="s">
        <v>146</v>
      </c>
      <c r="BM159" s="185" t="s">
        <v>626</v>
      </c>
    </row>
    <row r="160" spans="2:51" s="187" customFormat="1" ht="12">
      <c r="B160" s="188"/>
      <c r="D160" s="189" t="s">
        <v>148</v>
      </c>
      <c r="E160" s="190" t="s">
        <v>1</v>
      </c>
      <c r="F160" s="191" t="s">
        <v>627</v>
      </c>
      <c r="H160" s="192">
        <v>30</v>
      </c>
      <c r="I160" s="233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0" t="s">
        <v>148</v>
      </c>
      <c r="AU160" s="190" t="s">
        <v>87</v>
      </c>
      <c r="AV160" s="187" t="s">
        <v>87</v>
      </c>
      <c r="AW160" s="187" t="s">
        <v>34</v>
      </c>
      <c r="AX160" s="187" t="s">
        <v>85</v>
      </c>
      <c r="AY160" s="190" t="s">
        <v>139</v>
      </c>
    </row>
    <row r="161" spans="1:65" s="95" customFormat="1" ht="66.75" customHeight="1">
      <c r="A161" s="91"/>
      <c r="B161" s="92"/>
      <c r="C161" s="175" t="s">
        <v>168</v>
      </c>
      <c r="D161" s="175" t="s">
        <v>141</v>
      </c>
      <c r="E161" s="176" t="s">
        <v>188</v>
      </c>
      <c r="F161" s="177" t="s">
        <v>183</v>
      </c>
      <c r="G161" s="178" t="s">
        <v>171</v>
      </c>
      <c r="H161" s="179">
        <v>3.3</v>
      </c>
      <c r="I161" s="69"/>
      <c r="J161" s="180">
        <f>ROUND(I161*H161,2)</f>
        <v>0</v>
      </c>
      <c r="K161" s="177" t="s">
        <v>145</v>
      </c>
      <c r="L161" s="92"/>
      <c r="M161" s="181" t="s">
        <v>1</v>
      </c>
      <c r="N161" s="182" t="s">
        <v>44</v>
      </c>
      <c r="O161" s="183">
        <v>0.547</v>
      </c>
      <c r="P161" s="183">
        <f>O161*H161</f>
        <v>1.8051000000000001</v>
      </c>
      <c r="Q161" s="183">
        <v>0.0369</v>
      </c>
      <c r="R161" s="183">
        <f>Q161*H161</f>
        <v>0.12177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146</v>
      </c>
      <c r="AT161" s="185" t="s">
        <v>141</v>
      </c>
      <c r="AU161" s="185" t="s">
        <v>87</v>
      </c>
      <c r="AY161" s="83" t="s">
        <v>139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3" t="s">
        <v>85</v>
      </c>
      <c r="BK161" s="186">
        <f>ROUND(I161*H161,2)</f>
        <v>0</v>
      </c>
      <c r="BL161" s="83" t="s">
        <v>146</v>
      </c>
      <c r="BM161" s="185" t="s">
        <v>628</v>
      </c>
    </row>
    <row r="162" spans="2:51" s="201" customFormat="1" ht="12">
      <c r="B162" s="202"/>
      <c r="D162" s="189" t="s">
        <v>148</v>
      </c>
      <c r="E162" s="203" t="s">
        <v>1</v>
      </c>
      <c r="F162" s="204" t="s">
        <v>629</v>
      </c>
      <c r="H162" s="203" t="s">
        <v>1</v>
      </c>
      <c r="I162" s="235"/>
      <c r="L162" s="202"/>
      <c r="M162" s="205"/>
      <c r="N162" s="206"/>
      <c r="O162" s="206"/>
      <c r="P162" s="206"/>
      <c r="Q162" s="206"/>
      <c r="R162" s="206"/>
      <c r="S162" s="206"/>
      <c r="T162" s="207"/>
      <c r="AT162" s="203" t="s">
        <v>148</v>
      </c>
      <c r="AU162" s="203" t="s">
        <v>87</v>
      </c>
      <c r="AV162" s="201" t="s">
        <v>85</v>
      </c>
      <c r="AW162" s="201" t="s">
        <v>34</v>
      </c>
      <c r="AX162" s="201" t="s">
        <v>78</v>
      </c>
      <c r="AY162" s="203" t="s">
        <v>139</v>
      </c>
    </row>
    <row r="163" spans="2:51" s="187" customFormat="1" ht="12">
      <c r="B163" s="188"/>
      <c r="D163" s="189" t="s">
        <v>148</v>
      </c>
      <c r="E163" s="190" t="s">
        <v>1</v>
      </c>
      <c r="F163" s="191" t="s">
        <v>630</v>
      </c>
      <c r="H163" s="192">
        <v>3.3</v>
      </c>
      <c r="I163" s="233"/>
      <c r="L163" s="188"/>
      <c r="M163" s="193"/>
      <c r="N163" s="194"/>
      <c r="O163" s="194"/>
      <c r="P163" s="194"/>
      <c r="Q163" s="194"/>
      <c r="R163" s="194"/>
      <c r="S163" s="194"/>
      <c r="T163" s="195"/>
      <c r="AT163" s="190" t="s">
        <v>148</v>
      </c>
      <c r="AU163" s="190" t="s">
        <v>87</v>
      </c>
      <c r="AV163" s="187" t="s">
        <v>87</v>
      </c>
      <c r="AW163" s="187" t="s">
        <v>34</v>
      </c>
      <c r="AX163" s="187" t="s">
        <v>85</v>
      </c>
      <c r="AY163" s="190" t="s">
        <v>139</v>
      </c>
    </row>
    <row r="164" spans="1:65" s="95" customFormat="1" ht="36">
      <c r="A164" s="91"/>
      <c r="B164" s="92"/>
      <c r="C164" s="175" t="s">
        <v>174</v>
      </c>
      <c r="D164" s="175" t="s">
        <v>141</v>
      </c>
      <c r="E164" s="176" t="s">
        <v>198</v>
      </c>
      <c r="F164" s="177" t="s">
        <v>199</v>
      </c>
      <c r="G164" s="178" t="s">
        <v>194</v>
      </c>
      <c r="H164" s="179">
        <v>6.105</v>
      </c>
      <c r="I164" s="69"/>
      <c r="J164" s="180">
        <f>ROUND(I164*H164,2)</f>
        <v>0</v>
      </c>
      <c r="K164" s="177" t="s">
        <v>145</v>
      </c>
      <c r="L164" s="92"/>
      <c r="M164" s="181" t="s">
        <v>1</v>
      </c>
      <c r="N164" s="182" t="s">
        <v>44</v>
      </c>
      <c r="O164" s="183">
        <v>1.763</v>
      </c>
      <c r="P164" s="183">
        <f>O164*H164</f>
        <v>10.763115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146</v>
      </c>
      <c r="AT164" s="185" t="s">
        <v>141</v>
      </c>
      <c r="AU164" s="185" t="s">
        <v>87</v>
      </c>
      <c r="AY164" s="83" t="s">
        <v>139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83" t="s">
        <v>85</v>
      </c>
      <c r="BK164" s="186">
        <f>ROUND(I164*H164,2)</f>
        <v>0</v>
      </c>
      <c r="BL164" s="83" t="s">
        <v>146</v>
      </c>
      <c r="BM164" s="185" t="s">
        <v>631</v>
      </c>
    </row>
    <row r="165" spans="2:51" s="187" customFormat="1" ht="12">
      <c r="B165" s="188"/>
      <c r="D165" s="189" t="s">
        <v>148</v>
      </c>
      <c r="E165" s="190" t="s">
        <v>1</v>
      </c>
      <c r="F165" s="191" t="s">
        <v>632</v>
      </c>
      <c r="H165" s="192">
        <v>6.105</v>
      </c>
      <c r="I165" s="233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0" t="s">
        <v>148</v>
      </c>
      <c r="AU165" s="190" t="s">
        <v>87</v>
      </c>
      <c r="AV165" s="187" t="s">
        <v>87</v>
      </c>
      <c r="AW165" s="187" t="s">
        <v>34</v>
      </c>
      <c r="AX165" s="187" t="s">
        <v>85</v>
      </c>
      <c r="AY165" s="190" t="s">
        <v>139</v>
      </c>
    </row>
    <row r="166" spans="1:65" s="95" customFormat="1" ht="44.25" customHeight="1">
      <c r="A166" s="91"/>
      <c r="B166" s="92"/>
      <c r="C166" s="175" t="s">
        <v>181</v>
      </c>
      <c r="D166" s="175" t="s">
        <v>141</v>
      </c>
      <c r="E166" s="176" t="s">
        <v>203</v>
      </c>
      <c r="F166" s="177" t="s">
        <v>204</v>
      </c>
      <c r="G166" s="178" t="s">
        <v>194</v>
      </c>
      <c r="H166" s="179">
        <f>H174</f>
        <v>40.675</v>
      </c>
      <c r="I166" s="69"/>
      <c r="J166" s="180">
        <f>ROUND(I166*H166,2)</f>
        <v>0</v>
      </c>
      <c r="K166" s="177" t="s">
        <v>145</v>
      </c>
      <c r="L166" s="92"/>
      <c r="M166" s="181" t="s">
        <v>1</v>
      </c>
      <c r="N166" s="182" t="s">
        <v>44</v>
      </c>
      <c r="O166" s="183">
        <v>0.189</v>
      </c>
      <c r="P166" s="183">
        <f>O166*H166</f>
        <v>7.687575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85" t="s">
        <v>146</v>
      </c>
      <c r="AT166" s="185" t="s">
        <v>141</v>
      </c>
      <c r="AU166" s="185" t="s">
        <v>87</v>
      </c>
      <c r="AY166" s="83" t="s">
        <v>139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83" t="s">
        <v>85</v>
      </c>
      <c r="BK166" s="186">
        <f>ROUND(I166*H166,2)</f>
        <v>0</v>
      </c>
      <c r="BL166" s="83" t="s">
        <v>146</v>
      </c>
      <c r="BM166" s="185" t="s">
        <v>633</v>
      </c>
    </row>
    <row r="167" spans="2:51" s="201" customFormat="1" ht="12">
      <c r="B167" s="202"/>
      <c r="D167" s="189" t="s">
        <v>148</v>
      </c>
      <c r="E167" s="203" t="s">
        <v>1</v>
      </c>
      <c r="F167" s="204" t="s">
        <v>607</v>
      </c>
      <c r="H167" s="203" t="s">
        <v>1</v>
      </c>
      <c r="I167" s="235"/>
      <c r="L167" s="202"/>
      <c r="M167" s="205"/>
      <c r="N167" s="206"/>
      <c r="O167" s="206"/>
      <c r="P167" s="206"/>
      <c r="Q167" s="206"/>
      <c r="R167" s="206"/>
      <c r="S167" s="206"/>
      <c r="T167" s="207"/>
      <c r="AT167" s="203" t="s">
        <v>148</v>
      </c>
      <c r="AU167" s="203" t="s">
        <v>87</v>
      </c>
      <c r="AV167" s="201" t="s">
        <v>85</v>
      </c>
      <c r="AW167" s="201" t="s">
        <v>34</v>
      </c>
      <c r="AX167" s="201" t="s">
        <v>78</v>
      </c>
      <c r="AY167" s="203" t="s">
        <v>139</v>
      </c>
    </row>
    <row r="168" spans="2:51" s="187" customFormat="1" ht="12">
      <c r="B168" s="188"/>
      <c r="D168" s="189" t="s">
        <v>148</v>
      </c>
      <c r="E168" s="190" t="s">
        <v>1</v>
      </c>
      <c r="F168" s="191" t="s">
        <v>1508</v>
      </c>
      <c r="H168" s="192">
        <f>6.5*1.5*(1.7-0.4-0.15)</f>
        <v>11.212499999999999</v>
      </c>
      <c r="I168" s="233"/>
      <c r="L168" s="188"/>
      <c r="M168" s="193"/>
      <c r="N168" s="194"/>
      <c r="O168" s="194"/>
      <c r="P168" s="194"/>
      <c r="Q168" s="194"/>
      <c r="R168" s="194"/>
      <c r="S168" s="194"/>
      <c r="T168" s="195"/>
      <c r="AT168" s="190" t="s">
        <v>148</v>
      </c>
      <c r="AU168" s="190" t="s">
        <v>87</v>
      </c>
      <c r="AV168" s="187" t="s">
        <v>87</v>
      </c>
      <c r="AW168" s="187" t="s">
        <v>34</v>
      </c>
      <c r="AX168" s="187" t="s">
        <v>78</v>
      </c>
      <c r="AY168" s="190" t="s">
        <v>139</v>
      </c>
    </row>
    <row r="169" spans="2:51" s="187" customFormat="1" ht="12">
      <c r="B169" s="188"/>
      <c r="D169" s="189" t="s">
        <v>148</v>
      </c>
      <c r="E169" s="190" t="s">
        <v>1</v>
      </c>
      <c r="F169" s="191" t="s">
        <v>1509</v>
      </c>
      <c r="H169" s="192">
        <f>2*1*1.5*(1.7-0.4-0.15)</f>
        <v>3.4499999999999997</v>
      </c>
      <c r="I169" s="233"/>
      <c r="L169" s="188"/>
      <c r="M169" s="193"/>
      <c r="N169" s="194"/>
      <c r="O169" s="194"/>
      <c r="P169" s="194"/>
      <c r="Q169" s="194"/>
      <c r="R169" s="194"/>
      <c r="S169" s="194"/>
      <c r="T169" s="195"/>
      <c r="AT169" s="190" t="s">
        <v>148</v>
      </c>
      <c r="AU169" s="190" t="s">
        <v>87</v>
      </c>
      <c r="AV169" s="187" t="s">
        <v>87</v>
      </c>
      <c r="AW169" s="187" t="s">
        <v>34</v>
      </c>
      <c r="AX169" s="187" t="s">
        <v>78</v>
      </c>
      <c r="AY169" s="190" t="s">
        <v>139</v>
      </c>
    </row>
    <row r="170" spans="2:51" s="187" customFormat="1" ht="12">
      <c r="B170" s="188"/>
      <c r="D170" s="189" t="s">
        <v>148</v>
      </c>
      <c r="E170" s="190" t="s">
        <v>1</v>
      </c>
      <c r="F170" s="191" t="s">
        <v>1510</v>
      </c>
      <c r="H170" s="192">
        <f>2.5*1.5*(1.7-0.4-0.15)</f>
        <v>4.3125</v>
      </c>
      <c r="I170" s="233"/>
      <c r="L170" s="188"/>
      <c r="M170" s="193"/>
      <c r="N170" s="194"/>
      <c r="O170" s="194"/>
      <c r="P170" s="194"/>
      <c r="Q170" s="194"/>
      <c r="R170" s="194"/>
      <c r="S170" s="194"/>
      <c r="T170" s="195"/>
      <c r="AT170" s="190" t="s">
        <v>148</v>
      </c>
      <c r="AU170" s="190" t="s">
        <v>87</v>
      </c>
      <c r="AV170" s="187" t="s">
        <v>87</v>
      </c>
      <c r="AW170" s="187" t="s">
        <v>34</v>
      </c>
      <c r="AX170" s="187" t="s">
        <v>78</v>
      </c>
      <c r="AY170" s="190" t="s">
        <v>139</v>
      </c>
    </row>
    <row r="171" spans="2:51" s="187" customFormat="1" ht="12">
      <c r="B171" s="188"/>
      <c r="D171" s="189" t="s">
        <v>148</v>
      </c>
      <c r="E171" s="190" t="s">
        <v>1</v>
      </c>
      <c r="F171" s="191" t="s">
        <v>1511</v>
      </c>
      <c r="H171" s="192">
        <f>1*1*(1.7-0.4-0.15)</f>
        <v>1.15</v>
      </c>
      <c r="I171" s="233"/>
      <c r="L171" s="188"/>
      <c r="M171" s="193"/>
      <c r="N171" s="194"/>
      <c r="O171" s="194"/>
      <c r="P171" s="194"/>
      <c r="Q171" s="194"/>
      <c r="R171" s="194"/>
      <c r="S171" s="194"/>
      <c r="T171" s="195"/>
      <c r="AT171" s="190" t="s">
        <v>148</v>
      </c>
      <c r="AU171" s="190" t="s">
        <v>87</v>
      </c>
      <c r="AV171" s="187" t="s">
        <v>87</v>
      </c>
      <c r="AW171" s="187" t="s">
        <v>34</v>
      </c>
      <c r="AX171" s="187" t="s">
        <v>78</v>
      </c>
      <c r="AY171" s="190" t="s">
        <v>139</v>
      </c>
    </row>
    <row r="172" spans="2:51" s="201" customFormat="1" ht="12">
      <c r="B172" s="202"/>
      <c r="D172" s="189" t="s">
        <v>148</v>
      </c>
      <c r="E172" s="203" t="s">
        <v>1</v>
      </c>
      <c r="F172" s="204" t="s">
        <v>207</v>
      </c>
      <c r="H172" s="203" t="s">
        <v>1</v>
      </c>
      <c r="I172" s="235"/>
      <c r="L172" s="202"/>
      <c r="M172" s="205"/>
      <c r="N172" s="206"/>
      <c r="O172" s="206"/>
      <c r="P172" s="206"/>
      <c r="Q172" s="206"/>
      <c r="R172" s="206"/>
      <c r="S172" s="206"/>
      <c r="T172" s="207"/>
      <c r="AT172" s="203" t="s">
        <v>148</v>
      </c>
      <c r="AU172" s="203" t="s">
        <v>87</v>
      </c>
      <c r="AV172" s="201" t="s">
        <v>85</v>
      </c>
      <c r="AW172" s="201" t="s">
        <v>34</v>
      </c>
      <c r="AX172" s="201" t="s">
        <v>78</v>
      </c>
      <c r="AY172" s="203" t="s">
        <v>139</v>
      </c>
    </row>
    <row r="173" spans="2:51" s="187" customFormat="1" ht="12">
      <c r="B173" s="188"/>
      <c r="D173" s="189" t="s">
        <v>148</v>
      </c>
      <c r="E173" s="190" t="s">
        <v>1</v>
      </c>
      <c r="F173" s="191" t="s">
        <v>634</v>
      </c>
      <c r="H173" s="192">
        <v>20.55</v>
      </c>
      <c r="I173" s="233"/>
      <c r="L173" s="188"/>
      <c r="M173" s="193"/>
      <c r="N173" s="194"/>
      <c r="O173" s="194"/>
      <c r="P173" s="194"/>
      <c r="Q173" s="194"/>
      <c r="R173" s="194"/>
      <c r="S173" s="194"/>
      <c r="T173" s="195"/>
      <c r="AT173" s="190" t="s">
        <v>148</v>
      </c>
      <c r="AU173" s="190" t="s">
        <v>87</v>
      </c>
      <c r="AV173" s="187" t="s">
        <v>87</v>
      </c>
      <c r="AW173" s="187" t="s">
        <v>34</v>
      </c>
      <c r="AX173" s="187" t="s">
        <v>78</v>
      </c>
      <c r="AY173" s="190" t="s">
        <v>139</v>
      </c>
    </row>
    <row r="174" spans="2:51" s="208" customFormat="1" ht="12">
      <c r="B174" s="209"/>
      <c r="D174" s="189" t="s">
        <v>148</v>
      </c>
      <c r="E174" s="210" t="s">
        <v>1</v>
      </c>
      <c r="F174" s="211" t="s">
        <v>159</v>
      </c>
      <c r="H174" s="212">
        <f>SUM(H168:H173)</f>
        <v>40.675</v>
      </c>
      <c r="I174" s="236"/>
      <c r="L174" s="209"/>
      <c r="M174" s="213"/>
      <c r="N174" s="214"/>
      <c r="O174" s="214"/>
      <c r="P174" s="214"/>
      <c r="Q174" s="214"/>
      <c r="R174" s="214"/>
      <c r="S174" s="214"/>
      <c r="T174" s="215"/>
      <c r="AT174" s="210" t="s">
        <v>148</v>
      </c>
      <c r="AU174" s="210" t="s">
        <v>87</v>
      </c>
      <c r="AV174" s="208" t="s">
        <v>146</v>
      </c>
      <c r="AW174" s="208" t="s">
        <v>34</v>
      </c>
      <c r="AX174" s="208" t="s">
        <v>85</v>
      </c>
      <c r="AY174" s="210" t="s">
        <v>139</v>
      </c>
    </row>
    <row r="175" spans="1:65" s="95" customFormat="1" ht="48">
      <c r="A175" s="91"/>
      <c r="B175" s="92"/>
      <c r="C175" s="175" t="s">
        <v>187</v>
      </c>
      <c r="D175" s="175" t="s">
        <v>141</v>
      </c>
      <c r="E175" s="176" t="s">
        <v>210</v>
      </c>
      <c r="F175" s="177" t="s">
        <v>211</v>
      </c>
      <c r="G175" s="178" t="s">
        <v>194</v>
      </c>
      <c r="H175" s="179">
        <f>H177</f>
        <v>12.202499999999999</v>
      </c>
      <c r="I175" s="69"/>
      <c r="J175" s="180">
        <f>ROUND(I175*H175,2)</f>
        <v>0</v>
      </c>
      <c r="K175" s="177" t="s">
        <v>145</v>
      </c>
      <c r="L175" s="92"/>
      <c r="M175" s="181" t="s">
        <v>1</v>
      </c>
      <c r="N175" s="182" t="s">
        <v>44</v>
      </c>
      <c r="O175" s="183">
        <v>0.1</v>
      </c>
      <c r="P175" s="183">
        <f>O175*H175</f>
        <v>1.22025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R175" s="185" t="s">
        <v>146</v>
      </c>
      <c r="AT175" s="185" t="s">
        <v>141</v>
      </c>
      <c r="AU175" s="185" t="s">
        <v>87</v>
      </c>
      <c r="AY175" s="83" t="s">
        <v>139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83" t="s">
        <v>85</v>
      </c>
      <c r="BK175" s="186">
        <f>ROUND(I175*H175,2)</f>
        <v>0</v>
      </c>
      <c r="BL175" s="83" t="s">
        <v>146</v>
      </c>
      <c r="BM175" s="185" t="s">
        <v>635</v>
      </c>
    </row>
    <row r="176" spans="1:47" s="95" customFormat="1" ht="19.5">
      <c r="A176" s="91"/>
      <c r="B176" s="92"/>
      <c r="C176" s="91"/>
      <c r="D176" s="189" t="s">
        <v>153</v>
      </c>
      <c r="E176" s="91"/>
      <c r="F176" s="196" t="s">
        <v>213</v>
      </c>
      <c r="G176" s="91"/>
      <c r="H176" s="91"/>
      <c r="I176" s="234"/>
      <c r="J176" s="91"/>
      <c r="K176" s="91"/>
      <c r="L176" s="92"/>
      <c r="M176" s="197"/>
      <c r="N176" s="198"/>
      <c r="O176" s="199"/>
      <c r="P176" s="199"/>
      <c r="Q176" s="199"/>
      <c r="R176" s="199"/>
      <c r="S176" s="199"/>
      <c r="T176" s="200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T176" s="83" t="s">
        <v>153</v>
      </c>
      <c r="AU176" s="83" t="s">
        <v>87</v>
      </c>
    </row>
    <row r="177" spans="2:51" s="187" customFormat="1" ht="12">
      <c r="B177" s="188"/>
      <c r="D177" s="189" t="s">
        <v>148</v>
      </c>
      <c r="F177" s="191" t="s">
        <v>1512</v>
      </c>
      <c r="H177" s="192">
        <f>40.675*0.3</f>
        <v>12.202499999999999</v>
      </c>
      <c r="I177" s="233"/>
      <c r="L177" s="188"/>
      <c r="M177" s="193"/>
      <c r="N177" s="194"/>
      <c r="O177" s="194"/>
      <c r="P177" s="194"/>
      <c r="Q177" s="194"/>
      <c r="R177" s="194"/>
      <c r="S177" s="194"/>
      <c r="T177" s="195"/>
      <c r="AT177" s="190" t="s">
        <v>148</v>
      </c>
      <c r="AU177" s="190" t="s">
        <v>87</v>
      </c>
      <c r="AV177" s="187" t="s">
        <v>87</v>
      </c>
      <c r="AW177" s="187" t="s">
        <v>3</v>
      </c>
      <c r="AX177" s="187" t="s">
        <v>85</v>
      </c>
      <c r="AY177" s="190" t="s">
        <v>139</v>
      </c>
    </row>
    <row r="178" spans="1:65" s="95" customFormat="1" ht="36">
      <c r="A178" s="91"/>
      <c r="B178" s="92"/>
      <c r="C178" s="175" t="s">
        <v>191</v>
      </c>
      <c r="D178" s="175" t="s">
        <v>141</v>
      </c>
      <c r="E178" s="176" t="s">
        <v>636</v>
      </c>
      <c r="F178" s="177" t="s">
        <v>637</v>
      </c>
      <c r="G178" s="178" t="s">
        <v>171</v>
      </c>
      <c r="H178" s="179">
        <v>155.11</v>
      </c>
      <c r="I178" s="69"/>
      <c r="J178" s="180">
        <f>ROUND(I178*H178,2)</f>
        <v>0</v>
      </c>
      <c r="K178" s="177" t="s">
        <v>145</v>
      </c>
      <c r="L178" s="92"/>
      <c r="M178" s="181" t="s">
        <v>1</v>
      </c>
      <c r="N178" s="182" t="s">
        <v>44</v>
      </c>
      <c r="O178" s="183">
        <v>1.54</v>
      </c>
      <c r="P178" s="183">
        <f>O178*H178</f>
        <v>238.8694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85" t="s">
        <v>146</v>
      </c>
      <c r="AT178" s="185" t="s">
        <v>141</v>
      </c>
      <c r="AU178" s="185" t="s">
        <v>87</v>
      </c>
      <c r="AY178" s="83" t="s">
        <v>139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83" t="s">
        <v>85</v>
      </c>
      <c r="BK178" s="186">
        <f>ROUND(I178*H178,2)</f>
        <v>0</v>
      </c>
      <c r="BL178" s="83" t="s">
        <v>146</v>
      </c>
      <c r="BM178" s="185" t="s">
        <v>638</v>
      </c>
    </row>
    <row r="179" spans="1:65" s="95" customFormat="1" ht="48">
      <c r="A179" s="91"/>
      <c r="B179" s="92"/>
      <c r="C179" s="217" t="s">
        <v>197</v>
      </c>
      <c r="D179" s="217" t="s">
        <v>251</v>
      </c>
      <c r="E179" s="218" t="s">
        <v>639</v>
      </c>
      <c r="F179" s="219" t="s">
        <v>1519</v>
      </c>
      <c r="G179" s="220" t="s">
        <v>171</v>
      </c>
      <c r="H179" s="221">
        <v>155.11</v>
      </c>
      <c r="I179" s="70"/>
      <c r="J179" s="222">
        <f>ROUND(I179*H179,2)</f>
        <v>0</v>
      </c>
      <c r="K179" s="219" t="s">
        <v>145</v>
      </c>
      <c r="L179" s="223"/>
      <c r="M179" s="224" t="s">
        <v>1</v>
      </c>
      <c r="N179" s="225" t="s">
        <v>44</v>
      </c>
      <c r="O179" s="183">
        <v>0</v>
      </c>
      <c r="P179" s="183">
        <f>O179*H179</f>
        <v>0</v>
      </c>
      <c r="Q179" s="183">
        <v>0.0325</v>
      </c>
      <c r="R179" s="183">
        <f>Q179*H179</f>
        <v>5.041075</v>
      </c>
      <c r="S179" s="183">
        <v>0</v>
      </c>
      <c r="T179" s="184">
        <f>S179*H179</f>
        <v>0</v>
      </c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R179" s="185" t="s">
        <v>187</v>
      </c>
      <c r="AT179" s="185" t="s">
        <v>251</v>
      </c>
      <c r="AU179" s="185" t="s">
        <v>87</v>
      </c>
      <c r="AY179" s="83" t="s">
        <v>139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83" t="s">
        <v>85</v>
      </c>
      <c r="BK179" s="186">
        <f>ROUND(I179*H179,2)</f>
        <v>0</v>
      </c>
      <c r="BL179" s="83" t="s">
        <v>146</v>
      </c>
      <c r="BM179" s="185" t="s">
        <v>641</v>
      </c>
    </row>
    <row r="180" spans="1:65" s="95" customFormat="1" ht="24">
      <c r="A180" s="91"/>
      <c r="B180" s="92"/>
      <c r="C180" s="217" t="s">
        <v>202</v>
      </c>
      <c r="D180" s="217" t="s">
        <v>251</v>
      </c>
      <c r="E180" s="218" t="s">
        <v>642</v>
      </c>
      <c r="F180" s="219" t="s">
        <v>1520</v>
      </c>
      <c r="G180" s="220" t="s">
        <v>297</v>
      </c>
      <c r="H180" s="221">
        <v>26</v>
      </c>
      <c r="I180" s="70"/>
      <c r="J180" s="222">
        <f>ROUND(I180*H180,2)</f>
        <v>0</v>
      </c>
      <c r="K180" s="219" t="s">
        <v>145</v>
      </c>
      <c r="L180" s="223"/>
      <c r="M180" s="224" t="s">
        <v>1</v>
      </c>
      <c r="N180" s="225" t="s">
        <v>44</v>
      </c>
      <c r="O180" s="183">
        <v>0</v>
      </c>
      <c r="P180" s="183">
        <f>O180*H180</f>
        <v>0</v>
      </c>
      <c r="Q180" s="183">
        <v>0.00013</v>
      </c>
      <c r="R180" s="183">
        <f>Q180*H180</f>
        <v>0.0033799999999999998</v>
      </c>
      <c r="S180" s="183">
        <v>0</v>
      </c>
      <c r="T180" s="184">
        <f>S180*H180</f>
        <v>0</v>
      </c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R180" s="185" t="s">
        <v>187</v>
      </c>
      <c r="AT180" s="185" t="s">
        <v>251</v>
      </c>
      <c r="AU180" s="185" t="s">
        <v>87</v>
      </c>
      <c r="AY180" s="83" t="s">
        <v>139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83" t="s">
        <v>85</v>
      </c>
      <c r="BK180" s="186">
        <f>ROUND(I180*H180,2)</f>
        <v>0</v>
      </c>
      <c r="BL180" s="83" t="s">
        <v>146</v>
      </c>
      <c r="BM180" s="185" t="s">
        <v>644</v>
      </c>
    </row>
    <row r="181" spans="1:65" s="95" customFormat="1" ht="44.25" customHeight="1">
      <c r="A181" s="91"/>
      <c r="B181" s="92"/>
      <c r="C181" s="175" t="s">
        <v>209</v>
      </c>
      <c r="D181" s="175" t="s">
        <v>141</v>
      </c>
      <c r="E181" s="176" t="s">
        <v>645</v>
      </c>
      <c r="F181" s="177" t="s">
        <v>646</v>
      </c>
      <c r="G181" s="178" t="s">
        <v>144</v>
      </c>
      <c r="H181" s="179">
        <v>64.6</v>
      </c>
      <c r="I181" s="69"/>
      <c r="J181" s="180">
        <f>ROUND(I181*H181,2)</f>
        <v>0</v>
      </c>
      <c r="K181" s="177" t="s">
        <v>145</v>
      </c>
      <c r="L181" s="92"/>
      <c r="M181" s="181" t="s">
        <v>1</v>
      </c>
      <c r="N181" s="182" t="s">
        <v>44</v>
      </c>
      <c r="O181" s="183">
        <v>0.236</v>
      </c>
      <c r="P181" s="183">
        <f>O181*H181</f>
        <v>15.245599999999998</v>
      </c>
      <c r="Q181" s="183">
        <v>0.00084</v>
      </c>
      <c r="R181" s="183">
        <f>Q181*H181</f>
        <v>0.054264</v>
      </c>
      <c r="S181" s="183">
        <v>0</v>
      </c>
      <c r="T181" s="184">
        <f>S181*H181</f>
        <v>0</v>
      </c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R181" s="185" t="s">
        <v>146</v>
      </c>
      <c r="AT181" s="185" t="s">
        <v>141</v>
      </c>
      <c r="AU181" s="185" t="s">
        <v>87</v>
      </c>
      <c r="AY181" s="83" t="s">
        <v>139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83" t="s">
        <v>85</v>
      </c>
      <c r="BK181" s="186">
        <f>ROUND(I181*H181,2)</f>
        <v>0</v>
      </c>
      <c r="BL181" s="83" t="s">
        <v>146</v>
      </c>
      <c r="BM181" s="185" t="s">
        <v>647</v>
      </c>
    </row>
    <row r="182" spans="2:51" s="187" customFormat="1" ht="12">
      <c r="B182" s="188"/>
      <c r="D182" s="189" t="s">
        <v>148</v>
      </c>
      <c r="E182" s="190" t="s">
        <v>1</v>
      </c>
      <c r="F182" s="191" t="s">
        <v>648</v>
      </c>
      <c r="H182" s="192">
        <v>27.2</v>
      </c>
      <c r="I182" s="233"/>
      <c r="L182" s="188"/>
      <c r="M182" s="193"/>
      <c r="N182" s="194"/>
      <c r="O182" s="194"/>
      <c r="P182" s="194"/>
      <c r="Q182" s="194"/>
      <c r="R182" s="194"/>
      <c r="S182" s="194"/>
      <c r="T182" s="195"/>
      <c r="AT182" s="190" t="s">
        <v>148</v>
      </c>
      <c r="AU182" s="190" t="s">
        <v>87</v>
      </c>
      <c r="AV182" s="187" t="s">
        <v>87</v>
      </c>
      <c r="AW182" s="187" t="s">
        <v>34</v>
      </c>
      <c r="AX182" s="187" t="s">
        <v>78</v>
      </c>
      <c r="AY182" s="190" t="s">
        <v>139</v>
      </c>
    </row>
    <row r="183" spans="2:51" s="187" customFormat="1" ht="12">
      <c r="B183" s="188"/>
      <c r="D183" s="189" t="s">
        <v>148</v>
      </c>
      <c r="E183" s="190" t="s">
        <v>1</v>
      </c>
      <c r="F183" s="191" t="s">
        <v>649</v>
      </c>
      <c r="H183" s="192">
        <v>17</v>
      </c>
      <c r="I183" s="233"/>
      <c r="L183" s="188"/>
      <c r="M183" s="193"/>
      <c r="N183" s="194"/>
      <c r="O183" s="194"/>
      <c r="P183" s="194"/>
      <c r="Q183" s="194"/>
      <c r="R183" s="194"/>
      <c r="S183" s="194"/>
      <c r="T183" s="195"/>
      <c r="AT183" s="190" t="s">
        <v>148</v>
      </c>
      <c r="AU183" s="190" t="s">
        <v>87</v>
      </c>
      <c r="AV183" s="187" t="s">
        <v>87</v>
      </c>
      <c r="AW183" s="187" t="s">
        <v>34</v>
      </c>
      <c r="AX183" s="187" t="s">
        <v>78</v>
      </c>
      <c r="AY183" s="190" t="s">
        <v>139</v>
      </c>
    </row>
    <row r="184" spans="2:51" s="187" customFormat="1" ht="12">
      <c r="B184" s="188"/>
      <c r="D184" s="189" t="s">
        <v>148</v>
      </c>
      <c r="E184" s="190" t="s">
        <v>1</v>
      </c>
      <c r="F184" s="191" t="s">
        <v>650</v>
      </c>
      <c r="H184" s="192">
        <v>13.6</v>
      </c>
      <c r="I184" s="233"/>
      <c r="L184" s="188"/>
      <c r="M184" s="193"/>
      <c r="N184" s="194"/>
      <c r="O184" s="194"/>
      <c r="P184" s="194"/>
      <c r="Q184" s="194"/>
      <c r="R184" s="194"/>
      <c r="S184" s="194"/>
      <c r="T184" s="195"/>
      <c r="AT184" s="190" t="s">
        <v>148</v>
      </c>
      <c r="AU184" s="190" t="s">
        <v>87</v>
      </c>
      <c r="AV184" s="187" t="s">
        <v>87</v>
      </c>
      <c r="AW184" s="187" t="s">
        <v>34</v>
      </c>
      <c r="AX184" s="187" t="s">
        <v>78</v>
      </c>
      <c r="AY184" s="190" t="s">
        <v>139</v>
      </c>
    </row>
    <row r="185" spans="2:51" s="187" customFormat="1" ht="12">
      <c r="B185" s="188"/>
      <c r="D185" s="189" t="s">
        <v>148</v>
      </c>
      <c r="E185" s="190" t="s">
        <v>1</v>
      </c>
      <c r="F185" s="191" t="s">
        <v>651</v>
      </c>
      <c r="H185" s="192">
        <v>6.8</v>
      </c>
      <c r="I185" s="233"/>
      <c r="L185" s="188"/>
      <c r="M185" s="193"/>
      <c r="N185" s="194"/>
      <c r="O185" s="194"/>
      <c r="P185" s="194"/>
      <c r="Q185" s="194"/>
      <c r="R185" s="194"/>
      <c r="S185" s="194"/>
      <c r="T185" s="195"/>
      <c r="AT185" s="190" t="s">
        <v>148</v>
      </c>
      <c r="AU185" s="190" t="s">
        <v>87</v>
      </c>
      <c r="AV185" s="187" t="s">
        <v>87</v>
      </c>
      <c r="AW185" s="187" t="s">
        <v>34</v>
      </c>
      <c r="AX185" s="187" t="s">
        <v>78</v>
      </c>
      <c r="AY185" s="190" t="s">
        <v>139</v>
      </c>
    </row>
    <row r="186" spans="2:51" s="208" customFormat="1" ht="12">
      <c r="B186" s="209"/>
      <c r="D186" s="189" t="s">
        <v>148</v>
      </c>
      <c r="E186" s="210" t="s">
        <v>1</v>
      </c>
      <c r="F186" s="211" t="s">
        <v>159</v>
      </c>
      <c r="H186" s="212">
        <v>64.6</v>
      </c>
      <c r="I186" s="236"/>
      <c r="L186" s="209"/>
      <c r="M186" s="213"/>
      <c r="N186" s="214"/>
      <c r="O186" s="214"/>
      <c r="P186" s="214"/>
      <c r="Q186" s="214"/>
      <c r="R186" s="214"/>
      <c r="S186" s="214"/>
      <c r="T186" s="215"/>
      <c r="AT186" s="210" t="s">
        <v>148</v>
      </c>
      <c r="AU186" s="210" t="s">
        <v>87</v>
      </c>
      <c r="AV186" s="208" t="s">
        <v>146</v>
      </c>
      <c r="AW186" s="208" t="s">
        <v>34</v>
      </c>
      <c r="AX186" s="208" t="s">
        <v>85</v>
      </c>
      <c r="AY186" s="210" t="s">
        <v>139</v>
      </c>
    </row>
    <row r="187" spans="1:65" s="95" customFormat="1" ht="44.25" customHeight="1">
      <c r="A187" s="91"/>
      <c r="B187" s="92"/>
      <c r="C187" s="175" t="s">
        <v>215</v>
      </c>
      <c r="D187" s="175" t="s">
        <v>141</v>
      </c>
      <c r="E187" s="176" t="s">
        <v>652</v>
      </c>
      <c r="F187" s="177" t="s">
        <v>653</v>
      </c>
      <c r="G187" s="178" t="s">
        <v>144</v>
      </c>
      <c r="H187" s="179">
        <v>64</v>
      </c>
      <c r="I187" s="69"/>
      <c r="J187" s="180">
        <f>ROUND(I187*H187,2)</f>
        <v>0</v>
      </c>
      <c r="K187" s="177" t="s">
        <v>145</v>
      </c>
      <c r="L187" s="92"/>
      <c r="M187" s="181" t="s">
        <v>1</v>
      </c>
      <c r="N187" s="182" t="s">
        <v>44</v>
      </c>
      <c r="O187" s="183">
        <v>0.216</v>
      </c>
      <c r="P187" s="183">
        <f>O187*H187</f>
        <v>13.824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R187" s="185" t="s">
        <v>146</v>
      </c>
      <c r="AT187" s="185" t="s">
        <v>141</v>
      </c>
      <c r="AU187" s="185" t="s">
        <v>87</v>
      </c>
      <c r="AY187" s="83" t="s">
        <v>139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83" t="s">
        <v>85</v>
      </c>
      <c r="BK187" s="186">
        <f>ROUND(I187*H187,2)</f>
        <v>0</v>
      </c>
      <c r="BL187" s="83" t="s">
        <v>146</v>
      </c>
      <c r="BM187" s="185" t="s">
        <v>654</v>
      </c>
    </row>
    <row r="188" spans="2:51" s="201" customFormat="1" ht="12">
      <c r="B188" s="202"/>
      <c r="D188" s="189" t="s">
        <v>148</v>
      </c>
      <c r="E188" s="203" t="s">
        <v>1</v>
      </c>
      <c r="F188" s="204" t="s">
        <v>655</v>
      </c>
      <c r="H188" s="203" t="s">
        <v>1</v>
      </c>
      <c r="I188" s="235"/>
      <c r="L188" s="202"/>
      <c r="M188" s="205"/>
      <c r="N188" s="206"/>
      <c r="O188" s="206"/>
      <c r="P188" s="206"/>
      <c r="Q188" s="206"/>
      <c r="R188" s="206"/>
      <c r="S188" s="206"/>
      <c r="T188" s="207"/>
      <c r="AT188" s="203" t="s">
        <v>148</v>
      </c>
      <c r="AU188" s="203" t="s">
        <v>87</v>
      </c>
      <c r="AV188" s="201" t="s">
        <v>85</v>
      </c>
      <c r="AW188" s="201" t="s">
        <v>34</v>
      </c>
      <c r="AX188" s="201" t="s">
        <v>78</v>
      </c>
      <c r="AY188" s="203" t="s">
        <v>139</v>
      </c>
    </row>
    <row r="189" spans="2:51" s="187" customFormat="1" ht="12">
      <c r="B189" s="188"/>
      <c r="D189" s="189" t="s">
        <v>148</v>
      </c>
      <c r="E189" s="190" t="s">
        <v>1</v>
      </c>
      <c r="F189" s="191" t="s">
        <v>656</v>
      </c>
      <c r="H189" s="192">
        <v>64</v>
      </c>
      <c r="I189" s="233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0" t="s">
        <v>148</v>
      </c>
      <c r="AU189" s="190" t="s">
        <v>87</v>
      </c>
      <c r="AV189" s="187" t="s">
        <v>87</v>
      </c>
      <c r="AW189" s="187" t="s">
        <v>34</v>
      </c>
      <c r="AX189" s="187" t="s">
        <v>85</v>
      </c>
      <c r="AY189" s="190" t="s">
        <v>139</v>
      </c>
    </row>
    <row r="190" spans="1:65" s="95" customFormat="1" ht="36">
      <c r="A190" s="91"/>
      <c r="B190" s="92"/>
      <c r="C190" s="175" t="s">
        <v>220</v>
      </c>
      <c r="D190" s="175" t="s">
        <v>141</v>
      </c>
      <c r="E190" s="176" t="s">
        <v>216</v>
      </c>
      <c r="F190" s="177" t="s">
        <v>217</v>
      </c>
      <c r="G190" s="178" t="s">
        <v>144</v>
      </c>
      <c r="H190" s="179">
        <v>55.36</v>
      </c>
      <c r="I190" s="69"/>
      <c r="J190" s="180">
        <f>ROUND(I190*H190,2)</f>
        <v>0</v>
      </c>
      <c r="K190" s="177" t="s">
        <v>145</v>
      </c>
      <c r="L190" s="92"/>
      <c r="M190" s="181" t="s">
        <v>1</v>
      </c>
      <c r="N190" s="182" t="s">
        <v>44</v>
      </c>
      <c r="O190" s="183">
        <v>0.088</v>
      </c>
      <c r="P190" s="183">
        <f>O190*H190</f>
        <v>4.87168</v>
      </c>
      <c r="Q190" s="183">
        <v>0.00058</v>
      </c>
      <c r="R190" s="183">
        <f>Q190*H190</f>
        <v>0.0321088</v>
      </c>
      <c r="S190" s="183">
        <v>0</v>
      </c>
      <c r="T190" s="184">
        <f>S190*H190</f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85" t="s">
        <v>146</v>
      </c>
      <c r="AT190" s="185" t="s">
        <v>141</v>
      </c>
      <c r="AU190" s="185" t="s">
        <v>87</v>
      </c>
      <c r="AY190" s="83" t="s">
        <v>139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83" t="s">
        <v>85</v>
      </c>
      <c r="BK190" s="186">
        <f>ROUND(I190*H190,2)</f>
        <v>0</v>
      </c>
      <c r="BL190" s="83" t="s">
        <v>146</v>
      </c>
      <c r="BM190" s="185" t="s">
        <v>657</v>
      </c>
    </row>
    <row r="191" spans="2:51" s="201" customFormat="1" ht="12">
      <c r="B191" s="202"/>
      <c r="D191" s="189" t="s">
        <v>148</v>
      </c>
      <c r="E191" s="203" t="s">
        <v>1</v>
      </c>
      <c r="F191" s="204" t="s">
        <v>207</v>
      </c>
      <c r="H191" s="203" t="s">
        <v>1</v>
      </c>
      <c r="I191" s="235"/>
      <c r="L191" s="202"/>
      <c r="M191" s="205"/>
      <c r="N191" s="206"/>
      <c r="O191" s="206"/>
      <c r="P191" s="206"/>
      <c r="Q191" s="206"/>
      <c r="R191" s="206"/>
      <c r="S191" s="206"/>
      <c r="T191" s="207"/>
      <c r="AT191" s="203" t="s">
        <v>148</v>
      </c>
      <c r="AU191" s="203" t="s">
        <v>87</v>
      </c>
      <c r="AV191" s="201" t="s">
        <v>85</v>
      </c>
      <c r="AW191" s="201" t="s">
        <v>34</v>
      </c>
      <c r="AX191" s="201" t="s">
        <v>78</v>
      </c>
      <c r="AY191" s="203" t="s">
        <v>139</v>
      </c>
    </row>
    <row r="192" spans="2:51" s="187" customFormat="1" ht="12">
      <c r="B192" s="188"/>
      <c r="D192" s="189" t="s">
        <v>148</v>
      </c>
      <c r="E192" s="190" t="s">
        <v>1</v>
      </c>
      <c r="F192" s="191" t="s">
        <v>658</v>
      </c>
      <c r="H192" s="192">
        <v>55.36</v>
      </c>
      <c r="I192" s="233"/>
      <c r="L192" s="188"/>
      <c r="M192" s="193"/>
      <c r="N192" s="194"/>
      <c r="O192" s="194"/>
      <c r="P192" s="194"/>
      <c r="Q192" s="194"/>
      <c r="R192" s="194"/>
      <c r="S192" s="194"/>
      <c r="T192" s="195"/>
      <c r="AT192" s="190" t="s">
        <v>148</v>
      </c>
      <c r="AU192" s="190" t="s">
        <v>87</v>
      </c>
      <c r="AV192" s="187" t="s">
        <v>87</v>
      </c>
      <c r="AW192" s="187" t="s">
        <v>34</v>
      </c>
      <c r="AX192" s="187" t="s">
        <v>85</v>
      </c>
      <c r="AY192" s="190" t="s">
        <v>139</v>
      </c>
    </row>
    <row r="193" spans="1:65" s="95" customFormat="1" ht="36">
      <c r="A193" s="91"/>
      <c r="B193" s="92"/>
      <c r="C193" s="175" t="s">
        <v>8</v>
      </c>
      <c r="D193" s="175" t="s">
        <v>141</v>
      </c>
      <c r="E193" s="176" t="s">
        <v>221</v>
      </c>
      <c r="F193" s="177" t="s">
        <v>222</v>
      </c>
      <c r="G193" s="178" t="s">
        <v>144</v>
      </c>
      <c r="H193" s="179">
        <v>55.36</v>
      </c>
      <c r="I193" s="69"/>
      <c r="J193" s="180">
        <f>ROUND(I193*H193,2)</f>
        <v>0</v>
      </c>
      <c r="K193" s="177" t="s">
        <v>145</v>
      </c>
      <c r="L193" s="92"/>
      <c r="M193" s="181" t="s">
        <v>1</v>
      </c>
      <c r="N193" s="182" t="s">
        <v>44</v>
      </c>
      <c r="O193" s="183">
        <v>0.085</v>
      </c>
      <c r="P193" s="183">
        <f>O193*H193</f>
        <v>4.7056000000000004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R193" s="185" t="s">
        <v>146</v>
      </c>
      <c r="AT193" s="185" t="s">
        <v>141</v>
      </c>
      <c r="AU193" s="185" t="s">
        <v>87</v>
      </c>
      <c r="AY193" s="83" t="s">
        <v>139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83" t="s">
        <v>85</v>
      </c>
      <c r="BK193" s="186">
        <f>ROUND(I193*H193,2)</f>
        <v>0</v>
      </c>
      <c r="BL193" s="83" t="s">
        <v>146</v>
      </c>
      <c r="BM193" s="185" t="s">
        <v>659</v>
      </c>
    </row>
    <row r="194" spans="2:51" s="187" customFormat="1" ht="12">
      <c r="B194" s="188"/>
      <c r="D194" s="189" t="s">
        <v>148</v>
      </c>
      <c r="E194" s="190" t="s">
        <v>1</v>
      </c>
      <c r="F194" s="191" t="s">
        <v>660</v>
      </c>
      <c r="H194" s="192">
        <v>55.36</v>
      </c>
      <c r="I194" s="233"/>
      <c r="L194" s="188"/>
      <c r="M194" s="193"/>
      <c r="N194" s="194"/>
      <c r="O194" s="194"/>
      <c r="P194" s="194"/>
      <c r="Q194" s="194"/>
      <c r="R194" s="194"/>
      <c r="S194" s="194"/>
      <c r="T194" s="195"/>
      <c r="AT194" s="190" t="s">
        <v>148</v>
      </c>
      <c r="AU194" s="190" t="s">
        <v>87</v>
      </c>
      <c r="AV194" s="187" t="s">
        <v>87</v>
      </c>
      <c r="AW194" s="187" t="s">
        <v>34</v>
      </c>
      <c r="AX194" s="187" t="s">
        <v>85</v>
      </c>
      <c r="AY194" s="190" t="s">
        <v>139</v>
      </c>
    </row>
    <row r="195" spans="1:65" s="95" customFormat="1" ht="55.5" customHeight="1">
      <c r="A195" s="91"/>
      <c r="B195" s="92"/>
      <c r="C195" s="175" t="s">
        <v>231</v>
      </c>
      <c r="D195" s="175" t="s">
        <v>141</v>
      </c>
      <c r="E195" s="176" t="s">
        <v>225</v>
      </c>
      <c r="F195" s="177" t="s">
        <v>226</v>
      </c>
      <c r="G195" s="178" t="s">
        <v>194</v>
      </c>
      <c r="H195" s="179">
        <f>H198</f>
        <v>40.675</v>
      </c>
      <c r="I195" s="69"/>
      <c r="J195" s="180">
        <f>ROUND(I195*H195,2)</f>
        <v>0</v>
      </c>
      <c r="K195" s="177" t="s">
        <v>145</v>
      </c>
      <c r="L195" s="92"/>
      <c r="M195" s="181" t="s">
        <v>1</v>
      </c>
      <c r="N195" s="182" t="s">
        <v>44</v>
      </c>
      <c r="O195" s="183">
        <v>0.345</v>
      </c>
      <c r="P195" s="183">
        <f>O195*H195</f>
        <v>14.032874999999997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R195" s="185" t="s">
        <v>146</v>
      </c>
      <c r="AT195" s="185" t="s">
        <v>141</v>
      </c>
      <c r="AU195" s="185" t="s">
        <v>87</v>
      </c>
      <c r="AY195" s="83" t="s">
        <v>139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83" t="s">
        <v>85</v>
      </c>
      <c r="BK195" s="186">
        <f>ROUND(I195*H195,2)</f>
        <v>0</v>
      </c>
      <c r="BL195" s="83" t="s">
        <v>146</v>
      </c>
      <c r="BM195" s="185" t="s">
        <v>661</v>
      </c>
    </row>
    <row r="196" spans="1:47" s="95" customFormat="1" ht="39">
      <c r="A196" s="91"/>
      <c r="B196" s="92"/>
      <c r="C196" s="91"/>
      <c r="D196" s="189" t="s">
        <v>153</v>
      </c>
      <c r="E196" s="91"/>
      <c r="F196" s="196" t="s">
        <v>228</v>
      </c>
      <c r="G196" s="91"/>
      <c r="H196" s="91"/>
      <c r="I196" s="234"/>
      <c r="J196" s="91"/>
      <c r="K196" s="91"/>
      <c r="L196" s="92"/>
      <c r="M196" s="197"/>
      <c r="N196" s="198"/>
      <c r="O196" s="199"/>
      <c r="P196" s="199"/>
      <c r="Q196" s="199"/>
      <c r="R196" s="199"/>
      <c r="S196" s="199"/>
      <c r="T196" s="200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T196" s="83" t="s">
        <v>153</v>
      </c>
      <c r="AU196" s="83" t="s">
        <v>87</v>
      </c>
    </row>
    <row r="197" spans="2:51" s="201" customFormat="1" ht="12">
      <c r="B197" s="202"/>
      <c r="D197" s="189" t="s">
        <v>148</v>
      </c>
      <c r="E197" s="203" t="s">
        <v>1</v>
      </c>
      <c r="F197" s="204" t="s">
        <v>229</v>
      </c>
      <c r="H197" s="203" t="s">
        <v>1</v>
      </c>
      <c r="I197" s="235"/>
      <c r="L197" s="202"/>
      <c r="M197" s="205"/>
      <c r="N197" s="206"/>
      <c r="O197" s="206"/>
      <c r="P197" s="206"/>
      <c r="Q197" s="206"/>
      <c r="R197" s="206"/>
      <c r="S197" s="206"/>
      <c r="T197" s="207"/>
      <c r="AT197" s="203" t="s">
        <v>148</v>
      </c>
      <c r="AU197" s="203" t="s">
        <v>87</v>
      </c>
      <c r="AV197" s="201" t="s">
        <v>85</v>
      </c>
      <c r="AW197" s="201" t="s">
        <v>34</v>
      </c>
      <c r="AX197" s="201" t="s">
        <v>78</v>
      </c>
      <c r="AY197" s="203" t="s">
        <v>139</v>
      </c>
    </row>
    <row r="198" spans="2:51" s="187" customFormat="1" ht="12">
      <c r="B198" s="188"/>
      <c r="D198" s="189" t="s">
        <v>148</v>
      </c>
      <c r="E198" s="190" t="s">
        <v>1</v>
      </c>
      <c r="F198" s="191">
        <v>40.675</v>
      </c>
      <c r="H198" s="192">
        <f>40.675</f>
        <v>40.675</v>
      </c>
      <c r="I198" s="233"/>
      <c r="L198" s="188"/>
      <c r="M198" s="193"/>
      <c r="N198" s="194"/>
      <c r="O198" s="194"/>
      <c r="P198" s="194"/>
      <c r="Q198" s="194"/>
      <c r="R198" s="194"/>
      <c r="S198" s="194"/>
      <c r="T198" s="195"/>
      <c r="AT198" s="190" t="s">
        <v>148</v>
      </c>
      <c r="AU198" s="190" t="s">
        <v>87</v>
      </c>
      <c r="AV198" s="187" t="s">
        <v>87</v>
      </c>
      <c r="AW198" s="187" t="s">
        <v>34</v>
      </c>
      <c r="AX198" s="187" t="s">
        <v>85</v>
      </c>
      <c r="AY198" s="190" t="s">
        <v>139</v>
      </c>
    </row>
    <row r="199" spans="1:65" s="95" customFormat="1" ht="21.75" customHeight="1">
      <c r="A199" s="91"/>
      <c r="B199" s="92"/>
      <c r="C199" s="175" t="s">
        <v>238</v>
      </c>
      <c r="D199" s="175" t="s">
        <v>141</v>
      </c>
      <c r="E199" s="176" t="s">
        <v>232</v>
      </c>
      <c r="F199" s="177" t="s">
        <v>233</v>
      </c>
      <c r="G199" s="178" t="s">
        <v>194</v>
      </c>
      <c r="H199" s="179">
        <f>H208</f>
        <v>13.600000000000001</v>
      </c>
      <c r="I199" s="69"/>
      <c r="J199" s="180">
        <f>ROUND(I199*H199,2)</f>
        <v>0</v>
      </c>
      <c r="K199" s="177" t="s">
        <v>1</v>
      </c>
      <c r="L199" s="92"/>
      <c r="M199" s="181" t="s">
        <v>1</v>
      </c>
      <c r="N199" s="182" t="s">
        <v>44</v>
      </c>
      <c r="O199" s="183">
        <v>0.101</v>
      </c>
      <c r="P199" s="183">
        <f>O199*H199</f>
        <v>1.3736000000000002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85" t="s">
        <v>146</v>
      </c>
      <c r="AT199" s="185" t="s">
        <v>141</v>
      </c>
      <c r="AU199" s="185" t="s">
        <v>87</v>
      </c>
      <c r="AY199" s="83" t="s">
        <v>139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83" t="s">
        <v>85</v>
      </c>
      <c r="BK199" s="186">
        <f>ROUND(I199*H199,2)</f>
        <v>0</v>
      </c>
      <c r="BL199" s="83" t="s">
        <v>146</v>
      </c>
      <c r="BM199" s="185" t="s">
        <v>662</v>
      </c>
    </row>
    <row r="200" spans="2:51" s="201" customFormat="1" ht="12">
      <c r="B200" s="202"/>
      <c r="D200" s="189" t="s">
        <v>148</v>
      </c>
      <c r="E200" s="203" t="s">
        <v>1</v>
      </c>
      <c r="F200" s="204" t="s">
        <v>235</v>
      </c>
      <c r="H200" s="203" t="s">
        <v>1</v>
      </c>
      <c r="I200" s="235"/>
      <c r="L200" s="202"/>
      <c r="M200" s="205"/>
      <c r="N200" s="206"/>
      <c r="O200" s="206"/>
      <c r="P200" s="206"/>
      <c r="Q200" s="206"/>
      <c r="R200" s="206"/>
      <c r="S200" s="206"/>
      <c r="T200" s="207"/>
      <c r="AT200" s="203" t="s">
        <v>148</v>
      </c>
      <c r="AU200" s="203" t="s">
        <v>87</v>
      </c>
      <c r="AV200" s="201" t="s">
        <v>85</v>
      </c>
      <c r="AW200" s="201" t="s">
        <v>34</v>
      </c>
      <c r="AX200" s="201" t="s">
        <v>78</v>
      </c>
      <c r="AY200" s="203" t="s">
        <v>139</v>
      </c>
    </row>
    <row r="201" spans="2:51" s="201" customFormat="1" ht="12">
      <c r="B201" s="202"/>
      <c r="D201" s="189" t="s">
        <v>148</v>
      </c>
      <c r="E201" s="203" t="s">
        <v>1</v>
      </c>
      <c r="F201" s="204" t="s">
        <v>236</v>
      </c>
      <c r="H201" s="203" t="s">
        <v>1</v>
      </c>
      <c r="I201" s="235"/>
      <c r="L201" s="202"/>
      <c r="M201" s="205"/>
      <c r="N201" s="206"/>
      <c r="O201" s="206"/>
      <c r="P201" s="206"/>
      <c r="Q201" s="206"/>
      <c r="R201" s="206"/>
      <c r="S201" s="206"/>
      <c r="T201" s="207"/>
      <c r="AT201" s="203" t="s">
        <v>148</v>
      </c>
      <c r="AU201" s="203" t="s">
        <v>87</v>
      </c>
      <c r="AV201" s="201" t="s">
        <v>85</v>
      </c>
      <c r="AW201" s="201" t="s">
        <v>34</v>
      </c>
      <c r="AX201" s="201" t="s">
        <v>78</v>
      </c>
      <c r="AY201" s="203" t="s">
        <v>139</v>
      </c>
    </row>
    <row r="202" spans="2:51" s="201" customFormat="1" ht="12">
      <c r="B202" s="202"/>
      <c r="D202" s="189" t="s">
        <v>148</v>
      </c>
      <c r="E202" s="203" t="s">
        <v>1</v>
      </c>
      <c r="F202" s="204" t="s">
        <v>237</v>
      </c>
      <c r="H202" s="203" t="s">
        <v>1</v>
      </c>
      <c r="I202" s="235"/>
      <c r="L202" s="202"/>
      <c r="M202" s="205"/>
      <c r="N202" s="206"/>
      <c r="O202" s="206"/>
      <c r="P202" s="206"/>
      <c r="Q202" s="206"/>
      <c r="R202" s="206"/>
      <c r="S202" s="206"/>
      <c r="T202" s="207"/>
      <c r="AT202" s="203" t="s">
        <v>148</v>
      </c>
      <c r="AU202" s="203" t="s">
        <v>87</v>
      </c>
      <c r="AV202" s="201" t="s">
        <v>85</v>
      </c>
      <c r="AW202" s="201" t="s">
        <v>34</v>
      </c>
      <c r="AX202" s="201" t="s">
        <v>78</v>
      </c>
      <c r="AY202" s="203" t="s">
        <v>139</v>
      </c>
    </row>
    <row r="203" spans="2:51" s="187" customFormat="1" ht="12">
      <c r="B203" s="188"/>
      <c r="D203" s="189" t="s">
        <v>148</v>
      </c>
      <c r="E203" s="190" t="s">
        <v>1</v>
      </c>
      <c r="F203" s="191" t="s">
        <v>1530</v>
      </c>
      <c r="H203" s="192">
        <f>6.5*1.5*0.4</f>
        <v>3.9000000000000004</v>
      </c>
      <c r="I203" s="233"/>
      <c r="L203" s="188"/>
      <c r="M203" s="193"/>
      <c r="N203" s="194"/>
      <c r="O203" s="194"/>
      <c r="P203" s="194"/>
      <c r="Q203" s="194"/>
      <c r="R203" s="194"/>
      <c r="S203" s="194"/>
      <c r="T203" s="195"/>
      <c r="AT203" s="190" t="s">
        <v>148</v>
      </c>
      <c r="AU203" s="190" t="s">
        <v>87</v>
      </c>
      <c r="AV203" s="187" t="s">
        <v>87</v>
      </c>
      <c r="AW203" s="187" t="s">
        <v>34</v>
      </c>
      <c r="AX203" s="187" t="s">
        <v>78</v>
      </c>
      <c r="AY203" s="190" t="s">
        <v>139</v>
      </c>
    </row>
    <row r="204" spans="2:51" s="187" customFormat="1" ht="22.5">
      <c r="B204" s="188"/>
      <c r="D204" s="189" t="s">
        <v>148</v>
      </c>
      <c r="E204" s="190" t="s">
        <v>1</v>
      </c>
      <c r="F204" s="191" t="s">
        <v>1531</v>
      </c>
      <c r="H204" s="192">
        <f>2*1*1.5*0.4</f>
        <v>1.2000000000000002</v>
      </c>
      <c r="I204" s="233"/>
      <c r="L204" s="188"/>
      <c r="M204" s="193"/>
      <c r="N204" s="194"/>
      <c r="O204" s="194"/>
      <c r="P204" s="194"/>
      <c r="Q204" s="194"/>
      <c r="R204" s="194"/>
      <c r="S204" s="194"/>
      <c r="T204" s="195"/>
      <c r="AT204" s="190" t="s">
        <v>148</v>
      </c>
      <c r="AU204" s="190" t="s">
        <v>87</v>
      </c>
      <c r="AV204" s="187" t="s">
        <v>87</v>
      </c>
      <c r="AW204" s="187" t="s">
        <v>34</v>
      </c>
      <c r="AX204" s="187" t="s">
        <v>78</v>
      </c>
      <c r="AY204" s="190" t="s">
        <v>139</v>
      </c>
    </row>
    <row r="205" spans="2:51" s="187" customFormat="1" ht="12">
      <c r="B205" s="188"/>
      <c r="D205" s="189" t="s">
        <v>148</v>
      </c>
      <c r="E205" s="190" t="s">
        <v>1</v>
      </c>
      <c r="F205" s="191" t="s">
        <v>1532</v>
      </c>
      <c r="H205" s="192">
        <f>2.5*1.5*0.4</f>
        <v>1.5</v>
      </c>
      <c r="I205" s="233"/>
      <c r="L205" s="188"/>
      <c r="M205" s="193"/>
      <c r="N205" s="194"/>
      <c r="O205" s="194"/>
      <c r="P205" s="194"/>
      <c r="Q205" s="194"/>
      <c r="R205" s="194"/>
      <c r="S205" s="194"/>
      <c r="T205" s="195"/>
      <c r="AT205" s="190" t="s">
        <v>148</v>
      </c>
      <c r="AU205" s="190" t="s">
        <v>87</v>
      </c>
      <c r="AV205" s="187" t="s">
        <v>87</v>
      </c>
      <c r="AW205" s="187" t="s">
        <v>34</v>
      </c>
      <c r="AX205" s="187" t="s">
        <v>78</v>
      </c>
      <c r="AY205" s="190" t="s">
        <v>139</v>
      </c>
    </row>
    <row r="206" spans="2:51" s="187" customFormat="1" ht="12">
      <c r="B206" s="188"/>
      <c r="D206" s="189" t="s">
        <v>148</v>
      </c>
      <c r="E206" s="190" t="s">
        <v>1</v>
      </c>
      <c r="F206" s="191" t="s">
        <v>1533</v>
      </c>
      <c r="H206" s="192">
        <f>1*1*0.4</f>
        <v>0.4</v>
      </c>
      <c r="I206" s="233"/>
      <c r="L206" s="188"/>
      <c r="M206" s="193"/>
      <c r="N206" s="194"/>
      <c r="O206" s="194"/>
      <c r="P206" s="194"/>
      <c r="Q206" s="194"/>
      <c r="R206" s="194"/>
      <c r="S206" s="194"/>
      <c r="T206" s="195"/>
      <c r="AT206" s="190" t="s">
        <v>148</v>
      </c>
      <c r="AU206" s="190" t="s">
        <v>87</v>
      </c>
      <c r="AV206" s="187" t="s">
        <v>87</v>
      </c>
      <c r="AW206" s="187" t="s">
        <v>34</v>
      </c>
      <c r="AX206" s="187" t="s">
        <v>78</v>
      </c>
      <c r="AY206" s="190" t="s">
        <v>139</v>
      </c>
    </row>
    <row r="207" spans="2:51" s="187" customFormat="1" ht="22.5">
      <c r="B207" s="188"/>
      <c r="D207" s="189" t="s">
        <v>148</v>
      </c>
      <c r="E207" s="190" t="s">
        <v>1</v>
      </c>
      <c r="F207" s="191" t="s">
        <v>1534</v>
      </c>
      <c r="H207" s="192">
        <f>15*1.1*0.4</f>
        <v>6.6000000000000005</v>
      </c>
      <c r="I207" s="233"/>
      <c r="L207" s="188"/>
      <c r="M207" s="193"/>
      <c r="N207" s="194"/>
      <c r="O207" s="194"/>
      <c r="P207" s="194"/>
      <c r="Q207" s="194"/>
      <c r="R207" s="194"/>
      <c r="S207" s="194"/>
      <c r="T207" s="195"/>
      <c r="AT207" s="190" t="s">
        <v>148</v>
      </c>
      <c r="AU207" s="190" t="s">
        <v>87</v>
      </c>
      <c r="AV207" s="187" t="s">
        <v>87</v>
      </c>
      <c r="AW207" s="187" t="s">
        <v>34</v>
      </c>
      <c r="AX207" s="187" t="s">
        <v>78</v>
      </c>
      <c r="AY207" s="190" t="s">
        <v>139</v>
      </c>
    </row>
    <row r="208" spans="2:51" s="208" customFormat="1" ht="12">
      <c r="B208" s="209"/>
      <c r="D208" s="189" t="s">
        <v>148</v>
      </c>
      <c r="E208" s="210" t="s">
        <v>1</v>
      </c>
      <c r="F208" s="211" t="s">
        <v>159</v>
      </c>
      <c r="H208" s="212">
        <f>SUM(H203:H207)</f>
        <v>13.600000000000001</v>
      </c>
      <c r="I208" s="236"/>
      <c r="L208" s="209"/>
      <c r="M208" s="213"/>
      <c r="N208" s="214"/>
      <c r="O208" s="214"/>
      <c r="P208" s="214"/>
      <c r="Q208" s="214"/>
      <c r="R208" s="214"/>
      <c r="S208" s="214"/>
      <c r="T208" s="215"/>
      <c r="AT208" s="210" t="s">
        <v>148</v>
      </c>
      <c r="AU208" s="210" t="s">
        <v>87</v>
      </c>
      <c r="AV208" s="208" t="s">
        <v>146</v>
      </c>
      <c r="AW208" s="208" t="s">
        <v>34</v>
      </c>
      <c r="AX208" s="208" t="s">
        <v>85</v>
      </c>
      <c r="AY208" s="210" t="s">
        <v>139</v>
      </c>
    </row>
    <row r="209" spans="1:65" s="95" customFormat="1" ht="24">
      <c r="A209" s="91"/>
      <c r="B209" s="92"/>
      <c r="C209" s="175" t="s">
        <v>245</v>
      </c>
      <c r="D209" s="175" t="s">
        <v>141</v>
      </c>
      <c r="E209" s="176" t="s">
        <v>239</v>
      </c>
      <c r="F209" s="177" t="s">
        <v>240</v>
      </c>
      <c r="G209" s="178" t="s">
        <v>194</v>
      </c>
      <c r="H209" s="179">
        <f>H213</f>
        <v>40.675</v>
      </c>
      <c r="I209" s="69"/>
      <c r="J209" s="180">
        <f>ROUND(I209*H209,2)</f>
        <v>0</v>
      </c>
      <c r="K209" s="177" t="s">
        <v>1</v>
      </c>
      <c r="L209" s="92"/>
      <c r="M209" s="181" t="s">
        <v>1</v>
      </c>
      <c r="N209" s="182" t="s">
        <v>44</v>
      </c>
      <c r="O209" s="183">
        <v>0.083</v>
      </c>
      <c r="P209" s="183">
        <f>O209*H209</f>
        <v>3.376025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R209" s="185" t="s">
        <v>146</v>
      </c>
      <c r="AT209" s="185" t="s">
        <v>141</v>
      </c>
      <c r="AU209" s="185" t="s">
        <v>87</v>
      </c>
      <c r="AY209" s="83" t="s">
        <v>139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83" t="s">
        <v>85</v>
      </c>
      <c r="BK209" s="186">
        <f>ROUND(I209*H209,2)</f>
        <v>0</v>
      </c>
      <c r="BL209" s="83" t="s">
        <v>146</v>
      </c>
      <c r="BM209" s="185" t="s">
        <v>663</v>
      </c>
    </row>
    <row r="210" spans="2:51" s="201" customFormat="1" ht="12">
      <c r="B210" s="202"/>
      <c r="D210" s="189" t="s">
        <v>148</v>
      </c>
      <c r="E210" s="203" t="s">
        <v>1</v>
      </c>
      <c r="F210" s="204" t="s">
        <v>242</v>
      </c>
      <c r="H210" s="203" t="s">
        <v>1</v>
      </c>
      <c r="I210" s="235"/>
      <c r="L210" s="202"/>
      <c r="M210" s="205"/>
      <c r="N210" s="206"/>
      <c r="O210" s="206"/>
      <c r="P210" s="206"/>
      <c r="Q210" s="206"/>
      <c r="R210" s="206"/>
      <c r="S210" s="206"/>
      <c r="T210" s="207"/>
      <c r="AT210" s="203" t="s">
        <v>148</v>
      </c>
      <c r="AU210" s="203" t="s">
        <v>87</v>
      </c>
      <c r="AV210" s="201" t="s">
        <v>85</v>
      </c>
      <c r="AW210" s="201" t="s">
        <v>34</v>
      </c>
      <c r="AX210" s="201" t="s">
        <v>78</v>
      </c>
      <c r="AY210" s="203" t="s">
        <v>139</v>
      </c>
    </row>
    <row r="211" spans="2:51" s="201" customFormat="1" ht="12">
      <c r="B211" s="202"/>
      <c r="D211" s="189" t="s">
        <v>148</v>
      </c>
      <c r="E211" s="203" t="s">
        <v>1</v>
      </c>
      <c r="F211" s="204" t="s">
        <v>243</v>
      </c>
      <c r="H211" s="203" t="s">
        <v>1</v>
      </c>
      <c r="I211" s="235"/>
      <c r="L211" s="202"/>
      <c r="M211" s="205"/>
      <c r="N211" s="206"/>
      <c r="O211" s="206"/>
      <c r="P211" s="206"/>
      <c r="Q211" s="206"/>
      <c r="R211" s="206"/>
      <c r="S211" s="206"/>
      <c r="T211" s="207"/>
      <c r="AT211" s="203" t="s">
        <v>148</v>
      </c>
      <c r="AU211" s="203" t="s">
        <v>87</v>
      </c>
      <c r="AV211" s="201" t="s">
        <v>85</v>
      </c>
      <c r="AW211" s="201" t="s">
        <v>34</v>
      </c>
      <c r="AX211" s="201" t="s">
        <v>78</v>
      </c>
      <c r="AY211" s="203" t="s">
        <v>139</v>
      </c>
    </row>
    <row r="212" spans="2:51" s="201" customFormat="1" ht="12">
      <c r="B212" s="202"/>
      <c r="D212" s="189" t="s">
        <v>148</v>
      </c>
      <c r="E212" s="203" t="s">
        <v>1</v>
      </c>
      <c r="F212" s="204" t="s">
        <v>244</v>
      </c>
      <c r="H212" s="203" t="s">
        <v>1</v>
      </c>
      <c r="I212" s="235"/>
      <c r="L212" s="202"/>
      <c r="M212" s="205"/>
      <c r="N212" s="206"/>
      <c r="O212" s="206"/>
      <c r="P212" s="206"/>
      <c r="Q212" s="206"/>
      <c r="R212" s="206"/>
      <c r="S212" s="206"/>
      <c r="T212" s="207"/>
      <c r="AT212" s="203" t="s">
        <v>148</v>
      </c>
      <c r="AU212" s="203" t="s">
        <v>87</v>
      </c>
      <c r="AV212" s="201" t="s">
        <v>85</v>
      </c>
      <c r="AW212" s="201" t="s">
        <v>34</v>
      </c>
      <c r="AX212" s="201" t="s">
        <v>78</v>
      </c>
      <c r="AY212" s="203" t="s">
        <v>139</v>
      </c>
    </row>
    <row r="213" spans="2:51" s="238" customFormat="1" ht="12">
      <c r="B213" s="239"/>
      <c r="D213" s="240" t="s">
        <v>148</v>
      </c>
      <c r="E213" s="241" t="s">
        <v>1</v>
      </c>
      <c r="F213" s="242">
        <v>40.675</v>
      </c>
      <c r="H213" s="243">
        <v>40.675</v>
      </c>
      <c r="I213" s="247"/>
      <c r="L213" s="239"/>
      <c r="M213" s="244"/>
      <c r="N213" s="245"/>
      <c r="O213" s="245"/>
      <c r="P213" s="245"/>
      <c r="Q213" s="245"/>
      <c r="R213" s="245"/>
      <c r="S213" s="245"/>
      <c r="T213" s="246"/>
      <c r="AT213" s="241" t="s">
        <v>148</v>
      </c>
      <c r="AU213" s="241" t="s">
        <v>87</v>
      </c>
      <c r="AV213" s="238" t="s">
        <v>87</v>
      </c>
      <c r="AW213" s="238" t="s">
        <v>34</v>
      </c>
      <c r="AX213" s="238" t="s">
        <v>85</v>
      </c>
      <c r="AY213" s="241" t="s">
        <v>139</v>
      </c>
    </row>
    <row r="214" spans="1:65" s="95" customFormat="1" ht="36">
      <c r="A214" s="91"/>
      <c r="B214" s="92"/>
      <c r="C214" s="175" t="s">
        <v>250</v>
      </c>
      <c r="D214" s="175" t="s">
        <v>141</v>
      </c>
      <c r="E214" s="176" t="s">
        <v>246</v>
      </c>
      <c r="F214" s="177" t="s">
        <v>247</v>
      </c>
      <c r="G214" s="178" t="s">
        <v>194</v>
      </c>
      <c r="H214" s="179">
        <f>H220</f>
        <v>27.785</v>
      </c>
      <c r="I214" s="69"/>
      <c r="J214" s="180">
        <f>ROUND(I214*H214,2)</f>
        <v>0</v>
      </c>
      <c r="K214" s="177" t="s">
        <v>145</v>
      </c>
      <c r="L214" s="92"/>
      <c r="M214" s="181" t="s">
        <v>1</v>
      </c>
      <c r="N214" s="182" t="s">
        <v>44</v>
      </c>
      <c r="O214" s="183">
        <v>0.115</v>
      </c>
      <c r="P214" s="183">
        <f>O214*H214</f>
        <v>3.195275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R214" s="185" t="s">
        <v>146</v>
      </c>
      <c r="AT214" s="185" t="s">
        <v>141</v>
      </c>
      <c r="AU214" s="185" t="s">
        <v>87</v>
      </c>
      <c r="AY214" s="83" t="s">
        <v>139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83" t="s">
        <v>85</v>
      </c>
      <c r="BK214" s="186">
        <f>ROUND(I214*H214,2)</f>
        <v>0</v>
      </c>
      <c r="BL214" s="83" t="s">
        <v>146</v>
      </c>
      <c r="BM214" s="185" t="s">
        <v>664</v>
      </c>
    </row>
    <row r="215" spans="2:51" s="201" customFormat="1" ht="12">
      <c r="B215" s="202"/>
      <c r="D215" s="189" t="s">
        <v>148</v>
      </c>
      <c r="E215" s="203" t="s">
        <v>1</v>
      </c>
      <c r="F215" s="204" t="s">
        <v>206</v>
      </c>
      <c r="H215" s="203" t="s">
        <v>1</v>
      </c>
      <c r="I215" s="235"/>
      <c r="L215" s="202"/>
      <c r="M215" s="205"/>
      <c r="N215" s="206"/>
      <c r="O215" s="206"/>
      <c r="P215" s="206"/>
      <c r="Q215" s="206"/>
      <c r="R215" s="206"/>
      <c r="S215" s="206"/>
      <c r="T215" s="207"/>
      <c r="AT215" s="203" t="s">
        <v>148</v>
      </c>
      <c r="AU215" s="203" t="s">
        <v>87</v>
      </c>
      <c r="AV215" s="201" t="s">
        <v>85</v>
      </c>
      <c r="AW215" s="201" t="s">
        <v>34</v>
      </c>
      <c r="AX215" s="201" t="s">
        <v>78</v>
      </c>
      <c r="AY215" s="203" t="s">
        <v>139</v>
      </c>
    </row>
    <row r="216" spans="2:51" s="201" customFormat="1" ht="12">
      <c r="B216" s="202"/>
      <c r="D216" s="189" t="s">
        <v>148</v>
      </c>
      <c r="E216" s="203" t="s">
        <v>1</v>
      </c>
      <c r="F216" s="204" t="s">
        <v>207</v>
      </c>
      <c r="H216" s="203" t="s">
        <v>1</v>
      </c>
      <c r="I216" s="235"/>
      <c r="L216" s="202"/>
      <c r="M216" s="205"/>
      <c r="N216" s="206"/>
      <c r="O216" s="206"/>
      <c r="P216" s="206"/>
      <c r="Q216" s="206"/>
      <c r="R216" s="206"/>
      <c r="S216" s="206"/>
      <c r="T216" s="207"/>
      <c r="AT216" s="203" t="s">
        <v>148</v>
      </c>
      <c r="AU216" s="203" t="s">
        <v>87</v>
      </c>
      <c r="AV216" s="201" t="s">
        <v>85</v>
      </c>
      <c r="AW216" s="201" t="s">
        <v>34</v>
      </c>
      <c r="AX216" s="201" t="s">
        <v>78</v>
      </c>
      <c r="AY216" s="203" t="s">
        <v>139</v>
      </c>
    </row>
    <row r="217" spans="2:51" s="187" customFormat="1" ht="12">
      <c r="B217" s="188"/>
      <c r="D217" s="189" t="s">
        <v>148</v>
      </c>
      <c r="E217" s="190" t="s">
        <v>1</v>
      </c>
      <c r="F217" s="191" t="s">
        <v>1514</v>
      </c>
      <c r="H217" s="192">
        <f>H166</f>
        <v>40.675</v>
      </c>
      <c r="I217" s="233"/>
      <c r="L217" s="188"/>
      <c r="M217" s="193"/>
      <c r="N217" s="194"/>
      <c r="O217" s="194"/>
      <c r="P217" s="194"/>
      <c r="Q217" s="194"/>
      <c r="R217" s="194"/>
      <c r="S217" s="194"/>
      <c r="T217" s="195"/>
      <c r="AT217" s="190" t="s">
        <v>148</v>
      </c>
      <c r="AU217" s="190" t="s">
        <v>87</v>
      </c>
      <c r="AV217" s="187" t="s">
        <v>87</v>
      </c>
      <c r="AW217" s="187" t="s">
        <v>34</v>
      </c>
      <c r="AX217" s="187" t="s">
        <v>78</v>
      </c>
      <c r="AY217" s="190" t="s">
        <v>139</v>
      </c>
    </row>
    <row r="218" spans="2:51" s="187" customFormat="1" ht="12">
      <c r="B218" s="188"/>
      <c r="D218" s="189" t="s">
        <v>148</v>
      </c>
      <c r="E218" s="190" t="s">
        <v>1</v>
      </c>
      <c r="F218" s="191" t="s">
        <v>1513</v>
      </c>
      <c r="H218" s="192">
        <f>-H240</f>
        <v>-2.48</v>
      </c>
      <c r="I218" s="233"/>
      <c r="L218" s="188"/>
      <c r="M218" s="193"/>
      <c r="N218" s="194"/>
      <c r="O218" s="194"/>
      <c r="P218" s="194"/>
      <c r="Q218" s="194"/>
      <c r="R218" s="194"/>
      <c r="S218" s="194"/>
      <c r="T218" s="195"/>
      <c r="AT218" s="190" t="s">
        <v>148</v>
      </c>
      <c r="AU218" s="190" t="s">
        <v>87</v>
      </c>
      <c r="AV218" s="187" t="s">
        <v>87</v>
      </c>
      <c r="AW218" s="187" t="s">
        <v>34</v>
      </c>
      <c r="AX218" s="187" t="s">
        <v>78</v>
      </c>
      <c r="AY218" s="190" t="s">
        <v>139</v>
      </c>
    </row>
    <row r="219" spans="2:51" s="187" customFormat="1" ht="12">
      <c r="B219" s="188"/>
      <c r="D219" s="189" t="s">
        <v>148</v>
      </c>
      <c r="E219" s="190" t="s">
        <v>1</v>
      </c>
      <c r="F219" s="191" t="s">
        <v>1515</v>
      </c>
      <c r="H219" s="192">
        <f>-H226</f>
        <v>-10.41</v>
      </c>
      <c r="I219" s="233"/>
      <c r="L219" s="188"/>
      <c r="M219" s="193"/>
      <c r="N219" s="194"/>
      <c r="O219" s="194"/>
      <c r="P219" s="194"/>
      <c r="Q219" s="194"/>
      <c r="R219" s="194"/>
      <c r="S219" s="194"/>
      <c r="T219" s="195"/>
      <c r="AT219" s="190" t="s">
        <v>148</v>
      </c>
      <c r="AU219" s="190" t="s">
        <v>87</v>
      </c>
      <c r="AV219" s="187" t="s">
        <v>87</v>
      </c>
      <c r="AW219" s="187" t="s">
        <v>34</v>
      </c>
      <c r="AX219" s="187" t="s">
        <v>78</v>
      </c>
      <c r="AY219" s="190" t="s">
        <v>139</v>
      </c>
    </row>
    <row r="220" spans="2:51" s="208" customFormat="1" ht="12">
      <c r="B220" s="209"/>
      <c r="D220" s="189" t="s">
        <v>148</v>
      </c>
      <c r="E220" s="210" t="s">
        <v>1</v>
      </c>
      <c r="F220" s="211" t="s">
        <v>159</v>
      </c>
      <c r="H220" s="212">
        <f>SUM(H217:H219)</f>
        <v>27.785</v>
      </c>
      <c r="I220" s="236"/>
      <c r="L220" s="209"/>
      <c r="M220" s="213"/>
      <c r="N220" s="214"/>
      <c r="O220" s="214"/>
      <c r="P220" s="214"/>
      <c r="Q220" s="214"/>
      <c r="R220" s="214"/>
      <c r="S220" s="214"/>
      <c r="T220" s="215"/>
      <c r="AT220" s="210" t="s">
        <v>148</v>
      </c>
      <c r="AU220" s="210" t="s">
        <v>87</v>
      </c>
      <c r="AV220" s="208" t="s">
        <v>146</v>
      </c>
      <c r="AW220" s="208" t="s">
        <v>34</v>
      </c>
      <c r="AX220" s="208" t="s">
        <v>85</v>
      </c>
      <c r="AY220" s="210" t="s">
        <v>139</v>
      </c>
    </row>
    <row r="221" spans="1:65" s="95" customFormat="1" ht="44.25" customHeight="1">
      <c r="A221" s="91"/>
      <c r="B221" s="92"/>
      <c r="C221" s="217" t="s">
        <v>257</v>
      </c>
      <c r="D221" s="217" t="s">
        <v>251</v>
      </c>
      <c r="E221" s="218" t="s">
        <v>252</v>
      </c>
      <c r="F221" s="219" t="s">
        <v>253</v>
      </c>
      <c r="G221" s="220" t="s">
        <v>254</v>
      </c>
      <c r="H221" s="221">
        <f>H225</f>
        <v>28.369999999999997</v>
      </c>
      <c r="I221" s="70"/>
      <c r="J221" s="222">
        <f>ROUND(I221*H221,2)</f>
        <v>0</v>
      </c>
      <c r="K221" s="219" t="s">
        <v>1</v>
      </c>
      <c r="L221" s="223"/>
      <c r="M221" s="224" t="s">
        <v>1</v>
      </c>
      <c r="N221" s="225" t="s">
        <v>44</v>
      </c>
      <c r="O221" s="183">
        <v>0</v>
      </c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85" t="s">
        <v>187</v>
      </c>
      <c r="AT221" s="185" t="s">
        <v>251</v>
      </c>
      <c r="AU221" s="185" t="s">
        <v>87</v>
      </c>
      <c r="AY221" s="83" t="s">
        <v>139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83" t="s">
        <v>85</v>
      </c>
      <c r="BK221" s="186">
        <f>ROUND(I221*H221,2)</f>
        <v>0</v>
      </c>
      <c r="BL221" s="83" t="s">
        <v>146</v>
      </c>
      <c r="BM221" s="185" t="s">
        <v>666</v>
      </c>
    </row>
    <row r="222" spans="2:51" s="187" customFormat="1" ht="12">
      <c r="B222" s="188"/>
      <c r="D222" s="189" t="s">
        <v>148</v>
      </c>
      <c r="E222" s="190" t="s">
        <v>1</v>
      </c>
      <c r="F222" s="226" t="s">
        <v>1516</v>
      </c>
      <c r="H222" s="192">
        <f>H214</f>
        <v>27.785</v>
      </c>
      <c r="I222" s="233"/>
      <c r="L222" s="188"/>
      <c r="M222" s="193"/>
      <c r="N222" s="194"/>
      <c r="O222" s="194"/>
      <c r="P222" s="194"/>
      <c r="Q222" s="194"/>
      <c r="R222" s="194"/>
      <c r="S222" s="194"/>
      <c r="T222" s="195"/>
      <c r="AT222" s="190" t="s">
        <v>148</v>
      </c>
      <c r="AU222" s="190" t="s">
        <v>87</v>
      </c>
      <c r="AV222" s="187" t="s">
        <v>87</v>
      </c>
      <c r="AW222" s="187" t="s">
        <v>34</v>
      </c>
      <c r="AX222" s="187" t="s">
        <v>78</v>
      </c>
      <c r="AY222" s="190" t="s">
        <v>139</v>
      </c>
    </row>
    <row r="223" spans="2:51" s="187" customFormat="1" ht="22.5">
      <c r="B223" s="188"/>
      <c r="D223" s="189" t="s">
        <v>148</v>
      </c>
      <c r="E223" s="190" t="s">
        <v>1</v>
      </c>
      <c r="F223" s="226" t="s">
        <v>1517</v>
      </c>
      <c r="H223" s="192">
        <f>-34*0.4</f>
        <v>-13.600000000000001</v>
      </c>
      <c r="I223" s="233"/>
      <c r="L223" s="188"/>
      <c r="M223" s="193"/>
      <c r="N223" s="194"/>
      <c r="O223" s="194"/>
      <c r="P223" s="194"/>
      <c r="Q223" s="194"/>
      <c r="R223" s="194"/>
      <c r="S223" s="194"/>
      <c r="T223" s="195"/>
      <c r="AT223" s="190" t="s">
        <v>148</v>
      </c>
      <c r="AU223" s="190" t="s">
        <v>87</v>
      </c>
      <c r="AV223" s="187" t="s">
        <v>87</v>
      </c>
      <c r="AW223" s="187" t="s">
        <v>34</v>
      </c>
      <c r="AX223" s="187" t="s">
        <v>78</v>
      </c>
      <c r="AY223" s="190" t="s">
        <v>139</v>
      </c>
    </row>
    <row r="224" spans="2:51" s="208" customFormat="1" ht="12">
      <c r="B224" s="209"/>
      <c r="D224" s="189" t="s">
        <v>148</v>
      </c>
      <c r="E224" s="210" t="s">
        <v>1</v>
      </c>
      <c r="F224" s="227" t="s">
        <v>159</v>
      </c>
      <c r="H224" s="212">
        <f>SUM(H222:H223)</f>
        <v>14.184999999999999</v>
      </c>
      <c r="I224" s="236"/>
      <c r="L224" s="209"/>
      <c r="M224" s="213"/>
      <c r="N224" s="214"/>
      <c r="O224" s="214"/>
      <c r="P224" s="214"/>
      <c r="Q224" s="214"/>
      <c r="R224" s="214"/>
      <c r="S224" s="214"/>
      <c r="T224" s="215"/>
      <c r="AT224" s="210" t="s">
        <v>148</v>
      </c>
      <c r="AU224" s="210" t="s">
        <v>87</v>
      </c>
      <c r="AV224" s="208" t="s">
        <v>146</v>
      </c>
      <c r="AW224" s="208" t="s">
        <v>34</v>
      </c>
      <c r="AX224" s="208" t="s">
        <v>85</v>
      </c>
      <c r="AY224" s="210" t="s">
        <v>139</v>
      </c>
    </row>
    <row r="225" spans="2:51" s="187" customFormat="1" ht="12">
      <c r="B225" s="188"/>
      <c r="D225" s="189" t="s">
        <v>148</v>
      </c>
      <c r="E225" s="190" t="s">
        <v>1</v>
      </c>
      <c r="F225" s="226" t="s">
        <v>1518</v>
      </c>
      <c r="H225" s="192">
        <f>H224*2</f>
        <v>28.369999999999997</v>
      </c>
      <c r="I225" s="233"/>
      <c r="L225" s="188"/>
      <c r="M225" s="193"/>
      <c r="N225" s="194"/>
      <c r="O225" s="194"/>
      <c r="P225" s="194"/>
      <c r="Q225" s="194"/>
      <c r="R225" s="194"/>
      <c r="S225" s="194"/>
      <c r="T225" s="195"/>
      <c r="AT225" s="190" t="s">
        <v>148</v>
      </c>
      <c r="AU225" s="190" t="s">
        <v>87</v>
      </c>
      <c r="AV225" s="187" t="s">
        <v>87</v>
      </c>
      <c r="AW225" s="187" t="s">
        <v>34</v>
      </c>
      <c r="AX225" s="187" t="s">
        <v>85</v>
      </c>
      <c r="AY225" s="190" t="s">
        <v>139</v>
      </c>
    </row>
    <row r="226" spans="1:65" s="95" customFormat="1" ht="60">
      <c r="A226" s="91"/>
      <c r="B226" s="92"/>
      <c r="C226" s="175" t="s">
        <v>7</v>
      </c>
      <c r="D226" s="175" t="s">
        <v>141</v>
      </c>
      <c r="E226" s="176" t="s">
        <v>258</v>
      </c>
      <c r="F226" s="177" t="s">
        <v>259</v>
      </c>
      <c r="G226" s="178" t="s">
        <v>194</v>
      </c>
      <c r="H226" s="179">
        <v>10.41</v>
      </c>
      <c r="I226" s="69"/>
      <c r="J226" s="180">
        <f>ROUND(I226*H226,2)</f>
        <v>0</v>
      </c>
      <c r="K226" s="177" t="s">
        <v>145</v>
      </c>
      <c r="L226" s="92"/>
      <c r="M226" s="181" t="s">
        <v>1</v>
      </c>
      <c r="N226" s="182" t="s">
        <v>44</v>
      </c>
      <c r="O226" s="183">
        <v>0.286</v>
      </c>
      <c r="P226" s="183">
        <f>O226*H226</f>
        <v>2.97726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146</v>
      </c>
      <c r="AT226" s="185" t="s">
        <v>141</v>
      </c>
      <c r="AU226" s="185" t="s">
        <v>87</v>
      </c>
      <c r="AY226" s="83" t="s">
        <v>139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83" t="s">
        <v>85</v>
      </c>
      <c r="BK226" s="186">
        <f>ROUND(I226*H226,2)</f>
        <v>0</v>
      </c>
      <c r="BL226" s="83" t="s">
        <v>146</v>
      </c>
      <c r="BM226" s="185" t="s">
        <v>667</v>
      </c>
    </row>
    <row r="227" spans="2:51" s="201" customFormat="1" ht="12">
      <c r="B227" s="202"/>
      <c r="D227" s="189" t="s">
        <v>148</v>
      </c>
      <c r="E227" s="203" t="s">
        <v>1</v>
      </c>
      <c r="F227" s="204" t="s">
        <v>206</v>
      </c>
      <c r="H227" s="203" t="s">
        <v>1</v>
      </c>
      <c r="I227" s="235"/>
      <c r="L227" s="202"/>
      <c r="M227" s="205"/>
      <c r="N227" s="206"/>
      <c r="O227" s="206"/>
      <c r="P227" s="206"/>
      <c r="Q227" s="206"/>
      <c r="R227" s="206"/>
      <c r="S227" s="206"/>
      <c r="T227" s="207"/>
      <c r="AT227" s="203" t="s">
        <v>148</v>
      </c>
      <c r="AU227" s="203" t="s">
        <v>87</v>
      </c>
      <c r="AV227" s="201" t="s">
        <v>85</v>
      </c>
      <c r="AW227" s="201" t="s">
        <v>34</v>
      </c>
      <c r="AX227" s="201" t="s">
        <v>78</v>
      </c>
      <c r="AY227" s="203" t="s">
        <v>139</v>
      </c>
    </row>
    <row r="228" spans="2:51" s="201" customFormat="1" ht="12">
      <c r="B228" s="202"/>
      <c r="D228" s="189" t="s">
        <v>148</v>
      </c>
      <c r="E228" s="203" t="s">
        <v>1</v>
      </c>
      <c r="F228" s="204" t="s">
        <v>207</v>
      </c>
      <c r="H228" s="203" t="s">
        <v>1</v>
      </c>
      <c r="I228" s="235"/>
      <c r="L228" s="202"/>
      <c r="M228" s="205"/>
      <c r="N228" s="206"/>
      <c r="O228" s="206"/>
      <c r="P228" s="206"/>
      <c r="Q228" s="206"/>
      <c r="R228" s="206"/>
      <c r="S228" s="206"/>
      <c r="T228" s="207"/>
      <c r="AT228" s="203" t="s">
        <v>148</v>
      </c>
      <c r="AU228" s="203" t="s">
        <v>87</v>
      </c>
      <c r="AV228" s="201" t="s">
        <v>85</v>
      </c>
      <c r="AW228" s="201" t="s">
        <v>34</v>
      </c>
      <c r="AX228" s="201" t="s">
        <v>78</v>
      </c>
      <c r="AY228" s="203" t="s">
        <v>139</v>
      </c>
    </row>
    <row r="229" spans="2:51" s="187" customFormat="1" ht="12">
      <c r="B229" s="188"/>
      <c r="D229" s="189" t="s">
        <v>148</v>
      </c>
      <c r="E229" s="190" t="s">
        <v>1</v>
      </c>
      <c r="F229" s="191" t="s">
        <v>668</v>
      </c>
      <c r="H229" s="192">
        <v>4.81</v>
      </c>
      <c r="I229" s="233"/>
      <c r="L229" s="188"/>
      <c r="M229" s="193"/>
      <c r="N229" s="194"/>
      <c r="O229" s="194"/>
      <c r="P229" s="194"/>
      <c r="Q229" s="194"/>
      <c r="R229" s="194"/>
      <c r="S229" s="194"/>
      <c r="T229" s="195"/>
      <c r="AT229" s="190" t="s">
        <v>148</v>
      </c>
      <c r="AU229" s="190" t="s">
        <v>87</v>
      </c>
      <c r="AV229" s="187" t="s">
        <v>87</v>
      </c>
      <c r="AW229" s="187" t="s">
        <v>34</v>
      </c>
      <c r="AX229" s="187" t="s">
        <v>78</v>
      </c>
      <c r="AY229" s="190" t="s">
        <v>139</v>
      </c>
    </row>
    <row r="230" spans="2:51" s="201" customFormat="1" ht="12">
      <c r="B230" s="202"/>
      <c r="D230" s="189" t="s">
        <v>148</v>
      </c>
      <c r="E230" s="203" t="s">
        <v>1</v>
      </c>
      <c r="F230" s="204" t="s">
        <v>665</v>
      </c>
      <c r="H230" s="203" t="s">
        <v>1</v>
      </c>
      <c r="I230" s="235"/>
      <c r="L230" s="202"/>
      <c r="M230" s="205"/>
      <c r="N230" s="206"/>
      <c r="O230" s="206"/>
      <c r="P230" s="206"/>
      <c r="Q230" s="206"/>
      <c r="R230" s="206"/>
      <c r="S230" s="206"/>
      <c r="T230" s="207"/>
      <c r="AT230" s="203" t="s">
        <v>148</v>
      </c>
      <c r="AU230" s="203" t="s">
        <v>87</v>
      </c>
      <c r="AV230" s="201" t="s">
        <v>85</v>
      </c>
      <c r="AW230" s="201" t="s">
        <v>34</v>
      </c>
      <c r="AX230" s="201" t="s">
        <v>78</v>
      </c>
      <c r="AY230" s="203" t="s">
        <v>139</v>
      </c>
    </row>
    <row r="231" spans="2:51" s="187" customFormat="1" ht="12">
      <c r="B231" s="188"/>
      <c r="D231" s="189" t="s">
        <v>148</v>
      </c>
      <c r="E231" s="190" t="s">
        <v>1</v>
      </c>
      <c r="F231" s="191" t="s">
        <v>669</v>
      </c>
      <c r="H231" s="192">
        <v>3.12</v>
      </c>
      <c r="I231" s="233"/>
      <c r="L231" s="188"/>
      <c r="M231" s="193"/>
      <c r="N231" s="194"/>
      <c r="O231" s="194"/>
      <c r="P231" s="194"/>
      <c r="Q231" s="194"/>
      <c r="R231" s="194"/>
      <c r="S231" s="194"/>
      <c r="T231" s="195"/>
      <c r="AT231" s="190" t="s">
        <v>148</v>
      </c>
      <c r="AU231" s="190" t="s">
        <v>87</v>
      </c>
      <c r="AV231" s="187" t="s">
        <v>87</v>
      </c>
      <c r="AW231" s="187" t="s">
        <v>34</v>
      </c>
      <c r="AX231" s="187" t="s">
        <v>78</v>
      </c>
      <c r="AY231" s="190" t="s">
        <v>139</v>
      </c>
    </row>
    <row r="232" spans="2:51" s="187" customFormat="1" ht="12">
      <c r="B232" s="188"/>
      <c r="D232" s="189" t="s">
        <v>148</v>
      </c>
      <c r="E232" s="190" t="s">
        <v>1</v>
      </c>
      <c r="F232" s="191" t="s">
        <v>670</v>
      </c>
      <c r="H232" s="192">
        <v>0.96</v>
      </c>
      <c r="I232" s="233"/>
      <c r="L232" s="188"/>
      <c r="M232" s="193"/>
      <c r="N232" s="194"/>
      <c r="O232" s="194"/>
      <c r="P232" s="194"/>
      <c r="Q232" s="194"/>
      <c r="R232" s="194"/>
      <c r="S232" s="194"/>
      <c r="T232" s="195"/>
      <c r="AT232" s="190" t="s">
        <v>148</v>
      </c>
      <c r="AU232" s="190" t="s">
        <v>87</v>
      </c>
      <c r="AV232" s="187" t="s">
        <v>87</v>
      </c>
      <c r="AW232" s="187" t="s">
        <v>34</v>
      </c>
      <c r="AX232" s="187" t="s">
        <v>78</v>
      </c>
      <c r="AY232" s="190" t="s">
        <v>139</v>
      </c>
    </row>
    <row r="233" spans="2:51" s="187" customFormat="1" ht="12">
      <c r="B233" s="188"/>
      <c r="D233" s="189" t="s">
        <v>148</v>
      </c>
      <c r="E233" s="190" t="s">
        <v>1</v>
      </c>
      <c r="F233" s="191" t="s">
        <v>671</v>
      </c>
      <c r="H233" s="192">
        <v>1.2</v>
      </c>
      <c r="I233" s="233"/>
      <c r="L233" s="188"/>
      <c r="M233" s="193"/>
      <c r="N233" s="194"/>
      <c r="O233" s="194"/>
      <c r="P233" s="194"/>
      <c r="Q233" s="194"/>
      <c r="R233" s="194"/>
      <c r="S233" s="194"/>
      <c r="T233" s="195"/>
      <c r="AT233" s="190" t="s">
        <v>148</v>
      </c>
      <c r="AU233" s="190" t="s">
        <v>87</v>
      </c>
      <c r="AV233" s="187" t="s">
        <v>87</v>
      </c>
      <c r="AW233" s="187" t="s">
        <v>34</v>
      </c>
      <c r="AX233" s="187" t="s">
        <v>78</v>
      </c>
      <c r="AY233" s="190" t="s">
        <v>139</v>
      </c>
    </row>
    <row r="234" spans="2:51" s="187" customFormat="1" ht="12">
      <c r="B234" s="188"/>
      <c r="D234" s="189" t="s">
        <v>148</v>
      </c>
      <c r="E234" s="190" t="s">
        <v>1</v>
      </c>
      <c r="F234" s="191" t="s">
        <v>672</v>
      </c>
      <c r="H234" s="192">
        <v>0.32</v>
      </c>
      <c r="I234" s="233"/>
      <c r="L234" s="188"/>
      <c r="M234" s="193"/>
      <c r="N234" s="194"/>
      <c r="O234" s="194"/>
      <c r="P234" s="194"/>
      <c r="Q234" s="194"/>
      <c r="R234" s="194"/>
      <c r="S234" s="194"/>
      <c r="T234" s="195"/>
      <c r="AT234" s="190" t="s">
        <v>148</v>
      </c>
      <c r="AU234" s="190" t="s">
        <v>87</v>
      </c>
      <c r="AV234" s="187" t="s">
        <v>87</v>
      </c>
      <c r="AW234" s="187" t="s">
        <v>34</v>
      </c>
      <c r="AX234" s="187" t="s">
        <v>78</v>
      </c>
      <c r="AY234" s="190" t="s">
        <v>139</v>
      </c>
    </row>
    <row r="235" spans="2:51" s="208" customFormat="1" ht="12">
      <c r="B235" s="209"/>
      <c r="D235" s="189" t="s">
        <v>148</v>
      </c>
      <c r="E235" s="210" t="s">
        <v>1</v>
      </c>
      <c r="F235" s="211" t="s">
        <v>159</v>
      </c>
      <c r="H235" s="212">
        <v>10.41</v>
      </c>
      <c r="I235" s="236"/>
      <c r="L235" s="209"/>
      <c r="M235" s="213"/>
      <c r="N235" s="214"/>
      <c r="O235" s="214"/>
      <c r="P235" s="214"/>
      <c r="Q235" s="214"/>
      <c r="R235" s="214"/>
      <c r="S235" s="214"/>
      <c r="T235" s="215"/>
      <c r="AT235" s="210" t="s">
        <v>148</v>
      </c>
      <c r="AU235" s="210" t="s">
        <v>87</v>
      </c>
      <c r="AV235" s="208" t="s">
        <v>146</v>
      </c>
      <c r="AW235" s="208" t="s">
        <v>34</v>
      </c>
      <c r="AX235" s="208" t="s">
        <v>85</v>
      </c>
      <c r="AY235" s="210" t="s">
        <v>139</v>
      </c>
    </row>
    <row r="236" spans="1:65" s="95" customFormat="1" ht="16.5" customHeight="1">
      <c r="A236" s="91"/>
      <c r="B236" s="92"/>
      <c r="C236" s="217" t="s">
        <v>266</v>
      </c>
      <c r="D236" s="217" t="s">
        <v>251</v>
      </c>
      <c r="E236" s="218" t="s">
        <v>262</v>
      </c>
      <c r="F236" s="219" t="s">
        <v>263</v>
      </c>
      <c r="G236" s="220" t="s">
        <v>254</v>
      </c>
      <c r="H236" s="221">
        <v>20.82</v>
      </c>
      <c r="I236" s="70"/>
      <c r="J236" s="222">
        <f>ROUND(I236*H236,2)</f>
        <v>0</v>
      </c>
      <c r="K236" s="219" t="s">
        <v>145</v>
      </c>
      <c r="L236" s="223"/>
      <c r="M236" s="224" t="s">
        <v>1</v>
      </c>
      <c r="N236" s="225" t="s">
        <v>44</v>
      </c>
      <c r="O236" s="183">
        <v>0</v>
      </c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187</v>
      </c>
      <c r="AT236" s="185" t="s">
        <v>251</v>
      </c>
      <c r="AU236" s="185" t="s">
        <v>87</v>
      </c>
      <c r="AY236" s="83" t="s">
        <v>139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83" t="s">
        <v>85</v>
      </c>
      <c r="BK236" s="186">
        <f>ROUND(I236*H236,2)</f>
        <v>0</v>
      </c>
      <c r="BL236" s="83" t="s">
        <v>146</v>
      </c>
      <c r="BM236" s="185" t="s">
        <v>673</v>
      </c>
    </row>
    <row r="237" spans="1:47" s="95" customFormat="1" ht="19.5">
      <c r="A237" s="91"/>
      <c r="B237" s="92"/>
      <c r="C237" s="91"/>
      <c r="D237" s="189" t="s">
        <v>153</v>
      </c>
      <c r="E237" s="91"/>
      <c r="F237" s="196" t="s">
        <v>256</v>
      </c>
      <c r="G237" s="91"/>
      <c r="H237" s="91"/>
      <c r="I237" s="234"/>
      <c r="J237" s="91"/>
      <c r="K237" s="91"/>
      <c r="L237" s="92"/>
      <c r="M237" s="197"/>
      <c r="N237" s="198"/>
      <c r="O237" s="199"/>
      <c r="P237" s="199"/>
      <c r="Q237" s="199"/>
      <c r="R237" s="199"/>
      <c r="S237" s="199"/>
      <c r="T237" s="200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T237" s="83" t="s">
        <v>153</v>
      </c>
      <c r="AU237" s="83" t="s">
        <v>87</v>
      </c>
    </row>
    <row r="238" spans="2:51" s="187" customFormat="1" ht="12">
      <c r="B238" s="188"/>
      <c r="D238" s="189" t="s">
        <v>148</v>
      </c>
      <c r="F238" s="191" t="s">
        <v>674</v>
      </c>
      <c r="H238" s="192">
        <v>20.82</v>
      </c>
      <c r="I238" s="233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0" t="s">
        <v>148</v>
      </c>
      <c r="AU238" s="190" t="s">
        <v>87</v>
      </c>
      <c r="AV238" s="187" t="s">
        <v>87</v>
      </c>
      <c r="AW238" s="187" t="s">
        <v>3</v>
      </c>
      <c r="AX238" s="187" t="s">
        <v>85</v>
      </c>
      <c r="AY238" s="190" t="s">
        <v>139</v>
      </c>
    </row>
    <row r="239" spans="2:63" s="162" customFormat="1" ht="22.9" customHeight="1">
      <c r="B239" s="163"/>
      <c r="D239" s="164" t="s">
        <v>77</v>
      </c>
      <c r="E239" s="173" t="s">
        <v>146</v>
      </c>
      <c r="F239" s="173" t="s">
        <v>288</v>
      </c>
      <c r="I239" s="237"/>
      <c r="J239" s="174">
        <f>SUM(J240:J247)</f>
        <v>0</v>
      </c>
      <c r="L239" s="163"/>
      <c r="M239" s="167"/>
      <c r="N239" s="168"/>
      <c r="O239" s="168"/>
      <c r="P239" s="169">
        <f>SUM(P240:P249)</f>
        <v>4.49656</v>
      </c>
      <c r="Q239" s="168"/>
      <c r="R239" s="169">
        <f>SUM(R240:R249)</f>
        <v>0.015300000000000001</v>
      </c>
      <c r="S239" s="168"/>
      <c r="T239" s="170">
        <f>SUM(T240:T249)</f>
        <v>0</v>
      </c>
      <c r="AR239" s="164" t="s">
        <v>85</v>
      </c>
      <c r="AT239" s="171" t="s">
        <v>77</v>
      </c>
      <c r="AU239" s="171" t="s">
        <v>85</v>
      </c>
      <c r="AY239" s="164" t="s">
        <v>139</v>
      </c>
      <c r="BK239" s="172">
        <f>SUM(BK240:BK249)</f>
        <v>0</v>
      </c>
    </row>
    <row r="240" spans="1:65" s="95" customFormat="1" ht="33" customHeight="1">
      <c r="A240" s="91"/>
      <c r="B240" s="92"/>
      <c r="C240" s="175" t="s">
        <v>271</v>
      </c>
      <c r="D240" s="175" t="s">
        <v>141</v>
      </c>
      <c r="E240" s="176" t="s">
        <v>290</v>
      </c>
      <c r="F240" s="177" t="s">
        <v>291</v>
      </c>
      <c r="G240" s="178" t="s">
        <v>194</v>
      </c>
      <c r="H240" s="179">
        <v>2.48</v>
      </c>
      <c r="I240" s="69"/>
      <c r="J240" s="180">
        <f>ROUND(I240*H240,2)</f>
        <v>0</v>
      </c>
      <c r="K240" s="177" t="s">
        <v>145</v>
      </c>
      <c r="L240" s="92"/>
      <c r="M240" s="181" t="s">
        <v>1</v>
      </c>
      <c r="N240" s="182" t="s">
        <v>44</v>
      </c>
      <c r="O240" s="183">
        <v>1.695</v>
      </c>
      <c r="P240" s="183">
        <f>O240*H240</f>
        <v>4.2036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R240" s="185" t="s">
        <v>146</v>
      </c>
      <c r="AT240" s="185" t="s">
        <v>141</v>
      </c>
      <c r="AU240" s="185" t="s">
        <v>87</v>
      </c>
      <c r="AY240" s="83" t="s">
        <v>139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83" t="s">
        <v>85</v>
      </c>
      <c r="BK240" s="186">
        <f>ROUND(I240*H240,2)</f>
        <v>0</v>
      </c>
      <c r="BL240" s="83" t="s">
        <v>146</v>
      </c>
      <c r="BM240" s="185" t="s">
        <v>675</v>
      </c>
    </row>
    <row r="241" spans="2:51" s="201" customFormat="1" ht="12">
      <c r="B241" s="202"/>
      <c r="D241" s="189" t="s">
        <v>148</v>
      </c>
      <c r="E241" s="203" t="s">
        <v>1</v>
      </c>
      <c r="F241" s="204" t="s">
        <v>676</v>
      </c>
      <c r="H241" s="203" t="s">
        <v>1</v>
      </c>
      <c r="I241" s="235"/>
      <c r="L241" s="202"/>
      <c r="M241" s="205"/>
      <c r="N241" s="206"/>
      <c r="O241" s="206"/>
      <c r="P241" s="206"/>
      <c r="Q241" s="206"/>
      <c r="R241" s="206"/>
      <c r="S241" s="206"/>
      <c r="T241" s="207"/>
      <c r="AT241" s="203" t="s">
        <v>148</v>
      </c>
      <c r="AU241" s="203" t="s">
        <v>87</v>
      </c>
      <c r="AV241" s="201" t="s">
        <v>85</v>
      </c>
      <c r="AW241" s="201" t="s">
        <v>34</v>
      </c>
      <c r="AX241" s="201" t="s">
        <v>78</v>
      </c>
      <c r="AY241" s="203" t="s">
        <v>139</v>
      </c>
    </row>
    <row r="242" spans="2:51" s="201" customFormat="1" ht="12">
      <c r="B242" s="202"/>
      <c r="D242" s="189" t="s">
        <v>148</v>
      </c>
      <c r="E242" s="203" t="s">
        <v>1</v>
      </c>
      <c r="F242" s="204" t="s">
        <v>207</v>
      </c>
      <c r="H242" s="203" t="s">
        <v>1</v>
      </c>
      <c r="I242" s="235"/>
      <c r="L242" s="202"/>
      <c r="M242" s="205"/>
      <c r="N242" s="206"/>
      <c r="O242" s="206"/>
      <c r="P242" s="206"/>
      <c r="Q242" s="206"/>
      <c r="R242" s="206"/>
      <c r="S242" s="206"/>
      <c r="T242" s="207"/>
      <c r="AT242" s="203" t="s">
        <v>148</v>
      </c>
      <c r="AU242" s="203" t="s">
        <v>87</v>
      </c>
      <c r="AV242" s="201" t="s">
        <v>85</v>
      </c>
      <c r="AW242" s="201" t="s">
        <v>34</v>
      </c>
      <c r="AX242" s="201" t="s">
        <v>78</v>
      </c>
      <c r="AY242" s="203" t="s">
        <v>139</v>
      </c>
    </row>
    <row r="243" spans="2:51" s="187" customFormat="1" ht="12">
      <c r="B243" s="188"/>
      <c r="D243" s="189" t="s">
        <v>148</v>
      </c>
      <c r="E243" s="190" t="s">
        <v>1</v>
      </c>
      <c r="F243" s="191" t="s">
        <v>677</v>
      </c>
      <c r="H243" s="192">
        <v>2.48</v>
      </c>
      <c r="I243" s="233"/>
      <c r="L243" s="188"/>
      <c r="M243" s="193"/>
      <c r="N243" s="194"/>
      <c r="O243" s="194"/>
      <c r="P243" s="194"/>
      <c r="Q243" s="194"/>
      <c r="R243" s="194"/>
      <c r="S243" s="194"/>
      <c r="T243" s="195"/>
      <c r="AT243" s="190" t="s">
        <v>148</v>
      </c>
      <c r="AU243" s="190" t="s">
        <v>87</v>
      </c>
      <c r="AV243" s="187" t="s">
        <v>87</v>
      </c>
      <c r="AW243" s="187" t="s">
        <v>34</v>
      </c>
      <c r="AX243" s="187" t="s">
        <v>85</v>
      </c>
      <c r="AY243" s="190" t="s">
        <v>139</v>
      </c>
    </row>
    <row r="244" spans="1:65" s="95" customFormat="1" ht="33" customHeight="1">
      <c r="A244" s="91"/>
      <c r="B244" s="92"/>
      <c r="C244" s="175" t="s">
        <v>276</v>
      </c>
      <c r="D244" s="175" t="s">
        <v>141</v>
      </c>
      <c r="E244" s="176" t="s">
        <v>295</v>
      </c>
      <c r="F244" s="177" t="s">
        <v>296</v>
      </c>
      <c r="G244" s="178" t="s">
        <v>297</v>
      </c>
      <c r="H244" s="179">
        <v>2</v>
      </c>
      <c r="I244" s="69"/>
      <c r="J244" s="180">
        <f>ROUND(I244*H244,2)</f>
        <v>0</v>
      </c>
      <c r="K244" s="177" t="s">
        <v>145</v>
      </c>
      <c r="L244" s="92"/>
      <c r="M244" s="181" t="s">
        <v>1</v>
      </c>
      <c r="N244" s="182" t="s">
        <v>44</v>
      </c>
      <c r="O244" s="183">
        <v>0.074</v>
      </c>
      <c r="P244" s="183">
        <f>O244*H244</f>
        <v>0.148</v>
      </c>
      <c r="Q244" s="183">
        <v>0.00165</v>
      </c>
      <c r="R244" s="183">
        <f>Q244*H244</f>
        <v>0.0033</v>
      </c>
      <c r="S244" s="183">
        <v>0</v>
      </c>
      <c r="T244" s="184">
        <f>S244*H244</f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85" t="s">
        <v>146</v>
      </c>
      <c r="AT244" s="185" t="s">
        <v>141</v>
      </c>
      <c r="AU244" s="185" t="s">
        <v>87</v>
      </c>
      <c r="AY244" s="83" t="s">
        <v>139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83" t="s">
        <v>85</v>
      </c>
      <c r="BK244" s="186">
        <f>ROUND(I244*H244,2)</f>
        <v>0</v>
      </c>
      <c r="BL244" s="83" t="s">
        <v>146</v>
      </c>
      <c r="BM244" s="185" t="s">
        <v>678</v>
      </c>
    </row>
    <row r="245" spans="2:51" s="187" customFormat="1" ht="12">
      <c r="B245" s="188"/>
      <c r="D245" s="189" t="s">
        <v>148</v>
      </c>
      <c r="E245" s="190" t="s">
        <v>1</v>
      </c>
      <c r="F245" s="191" t="s">
        <v>87</v>
      </c>
      <c r="H245" s="192">
        <v>2</v>
      </c>
      <c r="I245" s="233"/>
      <c r="L245" s="188"/>
      <c r="M245" s="193"/>
      <c r="N245" s="194"/>
      <c r="O245" s="194"/>
      <c r="P245" s="194"/>
      <c r="Q245" s="194"/>
      <c r="R245" s="194"/>
      <c r="S245" s="194"/>
      <c r="T245" s="195"/>
      <c r="AT245" s="190" t="s">
        <v>148</v>
      </c>
      <c r="AU245" s="190" t="s">
        <v>87</v>
      </c>
      <c r="AV245" s="187" t="s">
        <v>87</v>
      </c>
      <c r="AW245" s="187" t="s">
        <v>34</v>
      </c>
      <c r="AX245" s="187" t="s">
        <v>85</v>
      </c>
      <c r="AY245" s="190" t="s">
        <v>139</v>
      </c>
    </row>
    <row r="246" spans="1:65" s="95" customFormat="1" ht="16.5" customHeight="1">
      <c r="A246" s="91"/>
      <c r="B246" s="92"/>
      <c r="C246" s="217" t="s">
        <v>282</v>
      </c>
      <c r="D246" s="217" t="s">
        <v>251</v>
      </c>
      <c r="E246" s="218" t="s">
        <v>300</v>
      </c>
      <c r="F246" s="219" t="s">
        <v>301</v>
      </c>
      <c r="G246" s="220" t="s">
        <v>297</v>
      </c>
      <c r="H246" s="221">
        <v>2</v>
      </c>
      <c r="I246" s="70"/>
      <c r="J246" s="222">
        <f>ROUND(I246*H246,2)</f>
        <v>0</v>
      </c>
      <c r="K246" s="219" t="s">
        <v>1</v>
      </c>
      <c r="L246" s="223"/>
      <c r="M246" s="224" t="s">
        <v>1</v>
      </c>
      <c r="N246" s="225" t="s">
        <v>44</v>
      </c>
      <c r="O246" s="183">
        <v>0</v>
      </c>
      <c r="P246" s="183">
        <f>O246*H246</f>
        <v>0</v>
      </c>
      <c r="Q246" s="183">
        <v>0.006</v>
      </c>
      <c r="R246" s="183">
        <f>Q246*H246</f>
        <v>0.012</v>
      </c>
      <c r="S246" s="183">
        <v>0</v>
      </c>
      <c r="T246" s="184">
        <f>S246*H246</f>
        <v>0</v>
      </c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R246" s="185" t="s">
        <v>187</v>
      </c>
      <c r="AT246" s="185" t="s">
        <v>251</v>
      </c>
      <c r="AU246" s="185" t="s">
        <v>87</v>
      </c>
      <c r="AY246" s="83" t="s">
        <v>139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83" t="s">
        <v>85</v>
      </c>
      <c r="BK246" s="186">
        <f>ROUND(I246*H246,2)</f>
        <v>0</v>
      </c>
      <c r="BL246" s="83" t="s">
        <v>146</v>
      </c>
      <c r="BM246" s="185" t="s">
        <v>679</v>
      </c>
    </row>
    <row r="247" spans="1:65" s="95" customFormat="1" ht="33" customHeight="1">
      <c r="A247" s="91"/>
      <c r="B247" s="92"/>
      <c r="C247" s="175" t="s">
        <v>289</v>
      </c>
      <c r="D247" s="175" t="s">
        <v>141</v>
      </c>
      <c r="E247" s="176" t="s">
        <v>304</v>
      </c>
      <c r="F247" s="177" t="s">
        <v>305</v>
      </c>
      <c r="G247" s="178" t="s">
        <v>194</v>
      </c>
      <c r="H247" s="179">
        <v>0.12</v>
      </c>
      <c r="I247" s="69"/>
      <c r="J247" s="180">
        <f>ROUND(I247*H247,2)</f>
        <v>0</v>
      </c>
      <c r="K247" s="177" t="s">
        <v>145</v>
      </c>
      <c r="L247" s="92"/>
      <c r="M247" s="181" t="s">
        <v>1</v>
      </c>
      <c r="N247" s="182" t="s">
        <v>44</v>
      </c>
      <c r="O247" s="183">
        <v>1.208</v>
      </c>
      <c r="P247" s="183">
        <f>O247*H247</f>
        <v>0.14495999999999998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R247" s="185" t="s">
        <v>146</v>
      </c>
      <c r="AT247" s="185" t="s">
        <v>141</v>
      </c>
      <c r="AU247" s="185" t="s">
        <v>87</v>
      </c>
      <c r="AY247" s="83" t="s">
        <v>139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83" t="s">
        <v>85</v>
      </c>
      <c r="BK247" s="186">
        <f>ROUND(I247*H247,2)</f>
        <v>0</v>
      </c>
      <c r="BL247" s="83" t="s">
        <v>146</v>
      </c>
      <c r="BM247" s="185" t="s">
        <v>680</v>
      </c>
    </row>
    <row r="248" spans="2:51" s="201" customFormat="1" ht="12">
      <c r="B248" s="202"/>
      <c r="D248" s="189" t="s">
        <v>148</v>
      </c>
      <c r="E248" s="203" t="s">
        <v>1</v>
      </c>
      <c r="F248" s="204" t="s">
        <v>681</v>
      </c>
      <c r="H248" s="203" t="s">
        <v>1</v>
      </c>
      <c r="I248" s="235"/>
      <c r="L248" s="202"/>
      <c r="M248" s="205"/>
      <c r="N248" s="206"/>
      <c r="O248" s="206"/>
      <c r="P248" s="206"/>
      <c r="Q248" s="206"/>
      <c r="R248" s="206"/>
      <c r="S248" s="206"/>
      <c r="T248" s="207"/>
      <c r="AT248" s="203" t="s">
        <v>148</v>
      </c>
      <c r="AU248" s="203" t="s">
        <v>87</v>
      </c>
      <c r="AV248" s="201" t="s">
        <v>85</v>
      </c>
      <c r="AW248" s="201" t="s">
        <v>34</v>
      </c>
      <c r="AX248" s="201" t="s">
        <v>78</v>
      </c>
      <c r="AY248" s="203" t="s">
        <v>139</v>
      </c>
    </row>
    <row r="249" spans="2:51" s="187" customFormat="1" ht="12">
      <c r="B249" s="188"/>
      <c r="D249" s="189" t="s">
        <v>148</v>
      </c>
      <c r="E249" s="190" t="s">
        <v>1</v>
      </c>
      <c r="F249" s="191" t="s">
        <v>308</v>
      </c>
      <c r="H249" s="192">
        <v>0.12</v>
      </c>
      <c r="I249" s="233"/>
      <c r="L249" s="188"/>
      <c r="M249" s="193"/>
      <c r="N249" s="194"/>
      <c r="O249" s="194"/>
      <c r="P249" s="194"/>
      <c r="Q249" s="194"/>
      <c r="R249" s="194"/>
      <c r="S249" s="194"/>
      <c r="T249" s="195"/>
      <c r="AT249" s="190" t="s">
        <v>148</v>
      </c>
      <c r="AU249" s="190" t="s">
        <v>87</v>
      </c>
      <c r="AV249" s="187" t="s">
        <v>87</v>
      </c>
      <c r="AW249" s="187" t="s">
        <v>34</v>
      </c>
      <c r="AX249" s="187" t="s">
        <v>85</v>
      </c>
      <c r="AY249" s="190" t="s">
        <v>139</v>
      </c>
    </row>
    <row r="250" spans="2:63" s="162" customFormat="1" ht="22.9" customHeight="1">
      <c r="B250" s="163"/>
      <c r="D250" s="164" t="s">
        <v>77</v>
      </c>
      <c r="E250" s="173" t="s">
        <v>168</v>
      </c>
      <c r="F250" s="173" t="s">
        <v>311</v>
      </c>
      <c r="I250" s="237"/>
      <c r="J250" s="174">
        <f>SUM(J251:J291)</f>
        <v>0</v>
      </c>
      <c r="L250" s="163"/>
      <c r="M250" s="167"/>
      <c r="N250" s="168"/>
      <c r="O250" s="168"/>
      <c r="P250" s="169">
        <f>SUM(P251:P298)</f>
        <v>13.043099999999999</v>
      </c>
      <c r="Q250" s="168"/>
      <c r="R250" s="169">
        <f>SUM(R251:R298)</f>
        <v>0</v>
      </c>
      <c r="S250" s="168"/>
      <c r="T250" s="170">
        <f>SUM(T251:T298)</f>
        <v>0</v>
      </c>
      <c r="AR250" s="164" t="s">
        <v>85</v>
      </c>
      <c r="AT250" s="171" t="s">
        <v>77</v>
      </c>
      <c r="AU250" s="171" t="s">
        <v>85</v>
      </c>
      <c r="AY250" s="164" t="s">
        <v>139</v>
      </c>
      <c r="BK250" s="172">
        <f>SUM(BK251:BK298)</f>
        <v>0</v>
      </c>
    </row>
    <row r="251" spans="1:65" s="95" customFormat="1" ht="36">
      <c r="A251" s="91"/>
      <c r="B251" s="92"/>
      <c r="C251" s="175" t="s">
        <v>294</v>
      </c>
      <c r="D251" s="175" t="s">
        <v>141</v>
      </c>
      <c r="E251" s="176" t="s">
        <v>682</v>
      </c>
      <c r="F251" s="177" t="s">
        <v>683</v>
      </c>
      <c r="G251" s="178" t="s">
        <v>144</v>
      </c>
      <c r="H251" s="179">
        <v>34</v>
      </c>
      <c r="I251" s="69"/>
      <c r="J251" s="180">
        <f>ROUND(I251*H251,2)</f>
        <v>0</v>
      </c>
      <c r="K251" s="177" t="s">
        <v>145</v>
      </c>
      <c r="L251" s="92"/>
      <c r="M251" s="181" t="s">
        <v>1</v>
      </c>
      <c r="N251" s="182" t="s">
        <v>44</v>
      </c>
      <c r="O251" s="183">
        <v>0.016</v>
      </c>
      <c r="P251" s="183">
        <f>O251*H251</f>
        <v>0.544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R251" s="185" t="s">
        <v>146</v>
      </c>
      <c r="AT251" s="185" t="s">
        <v>141</v>
      </c>
      <c r="AU251" s="185" t="s">
        <v>87</v>
      </c>
      <c r="AY251" s="83" t="s">
        <v>139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83" t="s">
        <v>85</v>
      </c>
      <c r="BK251" s="186">
        <f>ROUND(I251*H251,2)</f>
        <v>0</v>
      </c>
      <c r="BL251" s="83" t="s">
        <v>146</v>
      </c>
      <c r="BM251" s="185" t="s">
        <v>684</v>
      </c>
    </row>
    <row r="252" spans="2:51" s="201" customFormat="1" ht="12">
      <c r="B252" s="202"/>
      <c r="D252" s="189" t="s">
        <v>148</v>
      </c>
      <c r="E252" s="203" t="s">
        <v>1</v>
      </c>
      <c r="F252" s="204" t="s">
        <v>607</v>
      </c>
      <c r="H252" s="203" t="s">
        <v>1</v>
      </c>
      <c r="I252" s="235"/>
      <c r="L252" s="202"/>
      <c r="M252" s="205"/>
      <c r="N252" s="206"/>
      <c r="O252" s="206"/>
      <c r="P252" s="206"/>
      <c r="Q252" s="206"/>
      <c r="R252" s="206"/>
      <c r="S252" s="206"/>
      <c r="T252" s="207"/>
      <c r="AT252" s="203" t="s">
        <v>148</v>
      </c>
      <c r="AU252" s="203" t="s">
        <v>87</v>
      </c>
      <c r="AV252" s="201" t="s">
        <v>85</v>
      </c>
      <c r="AW252" s="201" t="s">
        <v>34</v>
      </c>
      <c r="AX252" s="201" t="s">
        <v>78</v>
      </c>
      <c r="AY252" s="203" t="s">
        <v>139</v>
      </c>
    </row>
    <row r="253" spans="2:51" s="187" customFormat="1" ht="12">
      <c r="B253" s="188"/>
      <c r="D253" s="189" t="s">
        <v>148</v>
      </c>
      <c r="E253" s="190" t="s">
        <v>1</v>
      </c>
      <c r="F253" s="191" t="s">
        <v>608</v>
      </c>
      <c r="H253" s="192">
        <v>9.75</v>
      </c>
      <c r="I253" s="233"/>
      <c r="L253" s="188"/>
      <c r="M253" s="193"/>
      <c r="N253" s="194"/>
      <c r="O253" s="194"/>
      <c r="P253" s="194"/>
      <c r="Q253" s="194"/>
      <c r="R253" s="194"/>
      <c r="S253" s="194"/>
      <c r="T253" s="195"/>
      <c r="AT253" s="190" t="s">
        <v>148</v>
      </c>
      <c r="AU253" s="190" t="s">
        <v>87</v>
      </c>
      <c r="AV253" s="187" t="s">
        <v>87</v>
      </c>
      <c r="AW253" s="187" t="s">
        <v>34</v>
      </c>
      <c r="AX253" s="187" t="s">
        <v>78</v>
      </c>
      <c r="AY253" s="190" t="s">
        <v>139</v>
      </c>
    </row>
    <row r="254" spans="2:51" s="187" customFormat="1" ht="12">
      <c r="B254" s="188"/>
      <c r="D254" s="189" t="s">
        <v>148</v>
      </c>
      <c r="E254" s="190" t="s">
        <v>1</v>
      </c>
      <c r="F254" s="191" t="s">
        <v>609</v>
      </c>
      <c r="H254" s="192">
        <v>3</v>
      </c>
      <c r="I254" s="233"/>
      <c r="L254" s="188"/>
      <c r="M254" s="193"/>
      <c r="N254" s="194"/>
      <c r="O254" s="194"/>
      <c r="P254" s="194"/>
      <c r="Q254" s="194"/>
      <c r="R254" s="194"/>
      <c r="S254" s="194"/>
      <c r="T254" s="195"/>
      <c r="AT254" s="190" t="s">
        <v>148</v>
      </c>
      <c r="AU254" s="190" t="s">
        <v>87</v>
      </c>
      <c r="AV254" s="187" t="s">
        <v>87</v>
      </c>
      <c r="AW254" s="187" t="s">
        <v>34</v>
      </c>
      <c r="AX254" s="187" t="s">
        <v>78</v>
      </c>
      <c r="AY254" s="190" t="s">
        <v>139</v>
      </c>
    </row>
    <row r="255" spans="2:51" s="187" customFormat="1" ht="12">
      <c r="B255" s="188"/>
      <c r="D255" s="189" t="s">
        <v>148</v>
      </c>
      <c r="E255" s="190" t="s">
        <v>1</v>
      </c>
      <c r="F255" s="191" t="s">
        <v>610</v>
      </c>
      <c r="H255" s="192">
        <v>3.75</v>
      </c>
      <c r="I255" s="233"/>
      <c r="L255" s="188"/>
      <c r="M255" s="193"/>
      <c r="N255" s="194"/>
      <c r="O255" s="194"/>
      <c r="P255" s="194"/>
      <c r="Q255" s="194"/>
      <c r="R255" s="194"/>
      <c r="S255" s="194"/>
      <c r="T255" s="195"/>
      <c r="AT255" s="190" t="s">
        <v>148</v>
      </c>
      <c r="AU255" s="190" t="s">
        <v>87</v>
      </c>
      <c r="AV255" s="187" t="s">
        <v>87</v>
      </c>
      <c r="AW255" s="187" t="s">
        <v>34</v>
      </c>
      <c r="AX255" s="187" t="s">
        <v>78</v>
      </c>
      <c r="AY255" s="190" t="s">
        <v>139</v>
      </c>
    </row>
    <row r="256" spans="2:51" s="187" customFormat="1" ht="12">
      <c r="B256" s="188"/>
      <c r="D256" s="189" t="s">
        <v>148</v>
      </c>
      <c r="E256" s="190" t="s">
        <v>1</v>
      </c>
      <c r="F256" s="191" t="s">
        <v>611</v>
      </c>
      <c r="H256" s="192">
        <v>1</v>
      </c>
      <c r="I256" s="233"/>
      <c r="L256" s="188"/>
      <c r="M256" s="193"/>
      <c r="N256" s="194"/>
      <c r="O256" s="194"/>
      <c r="P256" s="194"/>
      <c r="Q256" s="194"/>
      <c r="R256" s="194"/>
      <c r="S256" s="194"/>
      <c r="T256" s="195"/>
      <c r="AT256" s="190" t="s">
        <v>148</v>
      </c>
      <c r="AU256" s="190" t="s">
        <v>87</v>
      </c>
      <c r="AV256" s="187" t="s">
        <v>87</v>
      </c>
      <c r="AW256" s="187" t="s">
        <v>34</v>
      </c>
      <c r="AX256" s="187" t="s">
        <v>78</v>
      </c>
      <c r="AY256" s="190" t="s">
        <v>139</v>
      </c>
    </row>
    <row r="257" spans="2:51" s="187" customFormat="1" ht="12">
      <c r="B257" s="188"/>
      <c r="D257" s="189" t="s">
        <v>148</v>
      </c>
      <c r="E257" s="190" t="s">
        <v>1</v>
      </c>
      <c r="F257" s="191" t="s">
        <v>612</v>
      </c>
      <c r="H257" s="192">
        <v>16.5</v>
      </c>
      <c r="I257" s="233"/>
      <c r="L257" s="188"/>
      <c r="M257" s="193"/>
      <c r="N257" s="194"/>
      <c r="O257" s="194"/>
      <c r="P257" s="194"/>
      <c r="Q257" s="194"/>
      <c r="R257" s="194"/>
      <c r="S257" s="194"/>
      <c r="T257" s="195"/>
      <c r="AT257" s="190" t="s">
        <v>148</v>
      </c>
      <c r="AU257" s="190" t="s">
        <v>87</v>
      </c>
      <c r="AV257" s="187" t="s">
        <v>87</v>
      </c>
      <c r="AW257" s="187" t="s">
        <v>34</v>
      </c>
      <c r="AX257" s="187" t="s">
        <v>78</v>
      </c>
      <c r="AY257" s="190" t="s">
        <v>139</v>
      </c>
    </row>
    <row r="258" spans="2:51" s="208" customFormat="1" ht="12">
      <c r="B258" s="209"/>
      <c r="D258" s="189" t="s">
        <v>148</v>
      </c>
      <c r="E258" s="210" t="s">
        <v>1</v>
      </c>
      <c r="F258" s="211" t="s">
        <v>159</v>
      </c>
      <c r="H258" s="212">
        <v>34</v>
      </c>
      <c r="I258" s="236"/>
      <c r="L258" s="209"/>
      <c r="M258" s="213"/>
      <c r="N258" s="214"/>
      <c r="O258" s="214"/>
      <c r="P258" s="214"/>
      <c r="Q258" s="214"/>
      <c r="R258" s="214"/>
      <c r="S258" s="214"/>
      <c r="T258" s="215"/>
      <c r="AT258" s="210" t="s">
        <v>148</v>
      </c>
      <c r="AU258" s="210" t="s">
        <v>87</v>
      </c>
      <c r="AV258" s="208" t="s">
        <v>146</v>
      </c>
      <c r="AW258" s="208" t="s">
        <v>34</v>
      </c>
      <c r="AX258" s="208" t="s">
        <v>85</v>
      </c>
      <c r="AY258" s="210" t="s">
        <v>139</v>
      </c>
    </row>
    <row r="259" spans="1:65" s="95" customFormat="1" ht="24">
      <c r="A259" s="91"/>
      <c r="B259" s="92"/>
      <c r="C259" s="175" t="s">
        <v>312</v>
      </c>
      <c r="D259" s="175" t="s">
        <v>141</v>
      </c>
      <c r="E259" s="176" t="s">
        <v>685</v>
      </c>
      <c r="F259" s="177" t="s">
        <v>686</v>
      </c>
      <c r="G259" s="178" t="s">
        <v>144</v>
      </c>
      <c r="H259" s="179">
        <v>34</v>
      </c>
      <c r="I259" s="69"/>
      <c r="J259" s="180">
        <f>ROUND(I259*H259,2)</f>
        <v>0</v>
      </c>
      <c r="K259" s="177" t="s">
        <v>145</v>
      </c>
      <c r="L259" s="92"/>
      <c r="M259" s="181" t="s">
        <v>1</v>
      </c>
      <c r="N259" s="182" t="s">
        <v>44</v>
      </c>
      <c r="O259" s="183">
        <v>0.041</v>
      </c>
      <c r="P259" s="183">
        <f>O259*H259</f>
        <v>1.3940000000000001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R259" s="185" t="s">
        <v>146</v>
      </c>
      <c r="AT259" s="185" t="s">
        <v>141</v>
      </c>
      <c r="AU259" s="185" t="s">
        <v>87</v>
      </c>
      <c r="AY259" s="83" t="s">
        <v>139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83" t="s">
        <v>85</v>
      </c>
      <c r="BK259" s="186">
        <f>ROUND(I259*H259,2)</f>
        <v>0</v>
      </c>
      <c r="BL259" s="83" t="s">
        <v>146</v>
      </c>
      <c r="BM259" s="185" t="s">
        <v>687</v>
      </c>
    </row>
    <row r="260" spans="2:51" s="201" customFormat="1" ht="12">
      <c r="B260" s="202"/>
      <c r="D260" s="189" t="s">
        <v>148</v>
      </c>
      <c r="E260" s="203" t="s">
        <v>1</v>
      </c>
      <c r="F260" s="204" t="s">
        <v>607</v>
      </c>
      <c r="H260" s="203" t="s">
        <v>1</v>
      </c>
      <c r="I260" s="235"/>
      <c r="L260" s="202"/>
      <c r="M260" s="205"/>
      <c r="N260" s="206"/>
      <c r="O260" s="206"/>
      <c r="P260" s="206"/>
      <c r="Q260" s="206"/>
      <c r="R260" s="206"/>
      <c r="S260" s="206"/>
      <c r="T260" s="207"/>
      <c r="AT260" s="203" t="s">
        <v>148</v>
      </c>
      <c r="AU260" s="203" t="s">
        <v>87</v>
      </c>
      <c r="AV260" s="201" t="s">
        <v>85</v>
      </c>
      <c r="AW260" s="201" t="s">
        <v>34</v>
      </c>
      <c r="AX260" s="201" t="s">
        <v>78</v>
      </c>
      <c r="AY260" s="203" t="s">
        <v>139</v>
      </c>
    </row>
    <row r="261" spans="2:51" s="187" customFormat="1" ht="12">
      <c r="B261" s="188"/>
      <c r="D261" s="189" t="s">
        <v>148</v>
      </c>
      <c r="E261" s="190" t="s">
        <v>1</v>
      </c>
      <c r="F261" s="191" t="s">
        <v>608</v>
      </c>
      <c r="H261" s="192">
        <v>9.75</v>
      </c>
      <c r="I261" s="233"/>
      <c r="L261" s="188"/>
      <c r="M261" s="193"/>
      <c r="N261" s="194"/>
      <c r="O261" s="194"/>
      <c r="P261" s="194"/>
      <c r="Q261" s="194"/>
      <c r="R261" s="194"/>
      <c r="S261" s="194"/>
      <c r="T261" s="195"/>
      <c r="AT261" s="190" t="s">
        <v>148</v>
      </c>
      <c r="AU261" s="190" t="s">
        <v>87</v>
      </c>
      <c r="AV261" s="187" t="s">
        <v>87</v>
      </c>
      <c r="AW261" s="187" t="s">
        <v>34</v>
      </c>
      <c r="AX261" s="187" t="s">
        <v>78</v>
      </c>
      <c r="AY261" s="190" t="s">
        <v>139</v>
      </c>
    </row>
    <row r="262" spans="2:51" s="187" customFormat="1" ht="12">
      <c r="B262" s="188"/>
      <c r="D262" s="189" t="s">
        <v>148</v>
      </c>
      <c r="E262" s="190" t="s">
        <v>1</v>
      </c>
      <c r="F262" s="191" t="s">
        <v>609</v>
      </c>
      <c r="H262" s="192">
        <v>3</v>
      </c>
      <c r="I262" s="233"/>
      <c r="L262" s="188"/>
      <c r="M262" s="193"/>
      <c r="N262" s="194"/>
      <c r="O262" s="194"/>
      <c r="P262" s="194"/>
      <c r="Q262" s="194"/>
      <c r="R262" s="194"/>
      <c r="S262" s="194"/>
      <c r="T262" s="195"/>
      <c r="AT262" s="190" t="s">
        <v>148</v>
      </c>
      <c r="AU262" s="190" t="s">
        <v>87</v>
      </c>
      <c r="AV262" s="187" t="s">
        <v>87</v>
      </c>
      <c r="AW262" s="187" t="s">
        <v>34</v>
      </c>
      <c r="AX262" s="187" t="s">
        <v>78</v>
      </c>
      <c r="AY262" s="190" t="s">
        <v>139</v>
      </c>
    </row>
    <row r="263" spans="2:51" s="187" customFormat="1" ht="12">
      <c r="B263" s="188"/>
      <c r="D263" s="189" t="s">
        <v>148</v>
      </c>
      <c r="E263" s="190" t="s">
        <v>1</v>
      </c>
      <c r="F263" s="191" t="s">
        <v>610</v>
      </c>
      <c r="H263" s="192">
        <v>3.75</v>
      </c>
      <c r="I263" s="233"/>
      <c r="L263" s="188"/>
      <c r="M263" s="193"/>
      <c r="N263" s="194"/>
      <c r="O263" s="194"/>
      <c r="P263" s="194"/>
      <c r="Q263" s="194"/>
      <c r="R263" s="194"/>
      <c r="S263" s="194"/>
      <c r="T263" s="195"/>
      <c r="AT263" s="190" t="s">
        <v>148</v>
      </c>
      <c r="AU263" s="190" t="s">
        <v>87</v>
      </c>
      <c r="AV263" s="187" t="s">
        <v>87</v>
      </c>
      <c r="AW263" s="187" t="s">
        <v>34</v>
      </c>
      <c r="AX263" s="187" t="s">
        <v>78</v>
      </c>
      <c r="AY263" s="190" t="s">
        <v>139</v>
      </c>
    </row>
    <row r="264" spans="2:51" s="187" customFormat="1" ht="12">
      <c r="B264" s="188"/>
      <c r="D264" s="189" t="s">
        <v>148</v>
      </c>
      <c r="E264" s="190" t="s">
        <v>1</v>
      </c>
      <c r="F264" s="191" t="s">
        <v>611</v>
      </c>
      <c r="H264" s="192">
        <v>1</v>
      </c>
      <c r="I264" s="233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0" t="s">
        <v>148</v>
      </c>
      <c r="AU264" s="190" t="s">
        <v>87</v>
      </c>
      <c r="AV264" s="187" t="s">
        <v>87</v>
      </c>
      <c r="AW264" s="187" t="s">
        <v>34</v>
      </c>
      <c r="AX264" s="187" t="s">
        <v>78</v>
      </c>
      <c r="AY264" s="190" t="s">
        <v>139</v>
      </c>
    </row>
    <row r="265" spans="2:51" s="187" customFormat="1" ht="12">
      <c r="B265" s="188"/>
      <c r="D265" s="189" t="s">
        <v>148</v>
      </c>
      <c r="E265" s="190" t="s">
        <v>1</v>
      </c>
      <c r="F265" s="191" t="s">
        <v>612</v>
      </c>
      <c r="H265" s="192">
        <v>16.5</v>
      </c>
      <c r="I265" s="233"/>
      <c r="L265" s="188"/>
      <c r="M265" s="193"/>
      <c r="N265" s="194"/>
      <c r="O265" s="194"/>
      <c r="P265" s="194"/>
      <c r="Q265" s="194"/>
      <c r="R265" s="194"/>
      <c r="S265" s="194"/>
      <c r="T265" s="195"/>
      <c r="AT265" s="190" t="s">
        <v>148</v>
      </c>
      <c r="AU265" s="190" t="s">
        <v>87</v>
      </c>
      <c r="AV265" s="187" t="s">
        <v>87</v>
      </c>
      <c r="AW265" s="187" t="s">
        <v>34</v>
      </c>
      <c r="AX265" s="187" t="s">
        <v>78</v>
      </c>
      <c r="AY265" s="190" t="s">
        <v>139</v>
      </c>
    </row>
    <row r="266" spans="2:51" s="208" customFormat="1" ht="12">
      <c r="B266" s="209"/>
      <c r="D266" s="189" t="s">
        <v>148</v>
      </c>
      <c r="E266" s="210" t="s">
        <v>1</v>
      </c>
      <c r="F266" s="211" t="s">
        <v>159</v>
      </c>
      <c r="H266" s="212">
        <v>34</v>
      </c>
      <c r="I266" s="236"/>
      <c r="L266" s="209"/>
      <c r="M266" s="213"/>
      <c r="N266" s="214"/>
      <c r="O266" s="214"/>
      <c r="P266" s="214"/>
      <c r="Q266" s="214"/>
      <c r="R266" s="214"/>
      <c r="S266" s="214"/>
      <c r="T266" s="215"/>
      <c r="AT266" s="210" t="s">
        <v>148</v>
      </c>
      <c r="AU266" s="210" t="s">
        <v>87</v>
      </c>
      <c r="AV266" s="208" t="s">
        <v>146</v>
      </c>
      <c r="AW266" s="208" t="s">
        <v>34</v>
      </c>
      <c r="AX266" s="208" t="s">
        <v>85</v>
      </c>
      <c r="AY266" s="210" t="s">
        <v>139</v>
      </c>
    </row>
    <row r="267" spans="1:65" s="95" customFormat="1" ht="44.25" customHeight="1">
      <c r="A267" s="91"/>
      <c r="B267" s="92"/>
      <c r="C267" s="175" t="s">
        <v>318</v>
      </c>
      <c r="D267" s="175" t="s">
        <v>141</v>
      </c>
      <c r="E267" s="176" t="s">
        <v>688</v>
      </c>
      <c r="F267" s="177" t="s">
        <v>689</v>
      </c>
      <c r="G267" s="178" t="s">
        <v>144</v>
      </c>
      <c r="H267" s="179">
        <v>68</v>
      </c>
      <c r="I267" s="69"/>
      <c r="J267" s="180">
        <f>ROUND(I267*H267,2)</f>
        <v>0</v>
      </c>
      <c r="K267" s="177" t="s">
        <v>145</v>
      </c>
      <c r="L267" s="92"/>
      <c r="M267" s="181" t="s">
        <v>1</v>
      </c>
      <c r="N267" s="182" t="s">
        <v>44</v>
      </c>
      <c r="O267" s="183">
        <v>0.048</v>
      </c>
      <c r="P267" s="183">
        <f>O267*H267</f>
        <v>3.2640000000000002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R267" s="185" t="s">
        <v>146</v>
      </c>
      <c r="AT267" s="185" t="s">
        <v>141</v>
      </c>
      <c r="AU267" s="185" t="s">
        <v>87</v>
      </c>
      <c r="AY267" s="83" t="s">
        <v>139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83" t="s">
        <v>85</v>
      </c>
      <c r="BK267" s="186">
        <f>ROUND(I267*H267,2)</f>
        <v>0</v>
      </c>
      <c r="BL267" s="83" t="s">
        <v>146</v>
      </c>
      <c r="BM267" s="185" t="s">
        <v>690</v>
      </c>
    </row>
    <row r="268" spans="2:51" s="201" customFormat="1" ht="12">
      <c r="B268" s="202"/>
      <c r="D268" s="189" t="s">
        <v>148</v>
      </c>
      <c r="E268" s="203" t="s">
        <v>1</v>
      </c>
      <c r="F268" s="204" t="s">
        <v>607</v>
      </c>
      <c r="H268" s="203" t="s">
        <v>1</v>
      </c>
      <c r="I268" s="235"/>
      <c r="L268" s="202"/>
      <c r="M268" s="205"/>
      <c r="N268" s="206"/>
      <c r="O268" s="206"/>
      <c r="P268" s="206"/>
      <c r="Q268" s="206"/>
      <c r="R268" s="206"/>
      <c r="S268" s="206"/>
      <c r="T268" s="207"/>
      <c r="AT268" s="203" t="s">
        <v>148</v>
      </c>
      <c r="AU268" s="203" t="s">
        <v>87</v>
      </c>
      <c r="AV268" s="201" t="s">
        <v>85</v>
      </c>
      <c r="AW268" s="201" t="s">
        <v>34</v>
      </c>
      <c r="AX268" s="201" t="s">
        <v>78</v>
      </c>
      <c r="AY268" s="203" t="s">
        <v>139</v>
      </c>
    </row>
    <row r="269" spans="2:51" s="187" customFormat="1" ht="12">
      <c r="B269" s="188"/>
      <c r="D269" s="189" t="s">
        <v>148</v>
      </c>
      <c r="E269" s="190" t="s">
        <v>1</v>
      </c>
      <c r="F269" s="191" t="s">
        <v>691</v>
      </c>
      <c r="H269" s="192">
        <v>19.5</v>
      </c>
      <c r="I269" s="233"/>
      <c r="L269" s="188"/>
      <c r="M269" s="193"/>
      <c r="N269" s="194"/>
      <c r="O269" s="194"/>
      <c r="P269" s="194"/>
      <c r="Q269" s="194"/>
      <c r="R269" s="194"/>
      <c r="S269" s="194"/>
      <c r="T269" s="195"/>
      <c r="AT269" s="190" t="s">
        <v>148</v>
      </c>
      <c r="AU269" s="190" t="s">
        <v>87</v>
      </c>
      <c r="AV269" s="187" t="s">
        <v>87</v>
      </c>
      <c r="AW269" s="187" t="s">
        <v>34</v>
      </c>
      <c r="AX269" s="187" t="s">
        <v>78</v>
      </c>
      <c r="AY269" s="190" t="s">
        <v>139</v>
      </c>
    </row>
    <row r="270" spans="2:51" s="187" customFormat="1" ht="12">
      <c r="B270" s="188"/>
      <c r="D270" s="189" t="s">
        <v>148</v>
      </c>
      <c r="E270" s="190" t="s">
        <v>1</v>
      </c>
      <c r="F270" s="191" t="s">
        <v>692</v>
      </c>
      <c r="H270" s="192">
        <v>6</v>
      </c>
      <c r="I270" s="233"/>
      <c r="L270" s="188"/>
      <c r="M270" s="193"/>
      <c r="N270" s="194"/>
      <c r="O270" s="194"/>
      <c r="P270" s="194"/>
      <c r="Q270" s="194"/>
      <c r="R270" s="194"/>
      <c r="S270" s="194"/>
      <c r="T270" s="195"/>
      <c r="AT270" s="190" t="s">
        <v>148</v>
      </c>
      <c r="AU270" s="190" t="s">
        <v>87</v>
      </c>
      <c r="AV270" s="187" t="s">
        <v>87</v>
      </c>
      <c r="AW270" s="187" t="s">
        <v>34</v>
      </c>
      <c r="AX270" s="187" t="s">
        <v>78</v>
      </c>
      <c r="AY270" s="190" t="s">
        <v>139</v>
      </c>
    </row>
    <row r="271" spans="2:51" s="187" customFormat="1" ht="12">
      <c r="B271" s="188"/>
      <c r="D271" s="189" t="s">
        <v>148</v>
      </c>
      <c r="E271" s="190" t="s">
        <v>1</v>
      </c>
      <c r="F271" s="191" t="s">
        <v>693</v>
      </c>
      <c r="H271" s="192">
        <v>7.5</v>
      </c>
      <c r="I271" s="233"/>
      <c r="L271" s="188"/>
      <c r="M271" s="193"/>
      <c r="N271" s="194"/>
      <c r="O271" s="194"/>
      <c r="P271" s="194"/>
      <c r="Q271" s="194"/>
      <c r="R271" s="194"/>
      <c r="S271" s="194"/>
      <c r="T271" s="195"/>
      <c r="AT271" s="190" t="s">
        <v>148</v>
      </c>
      <c r="AU271" s="190" t="s">
        <v>87</v>
      </c>
      <c r="AV271" s="187" t="s">
        <v>87</v>
      </c>
      <c r="AW271" s="187" t="s">
        <v>34</v>
      </c>
      <c r="AX271" s="187" t="s">
        <v>78</v>
      </c>
      <c r="AY271" s="190" t="s">
        <v>139</v>
      </c>
    </row>
    <row r="272" spans="2:51" s="187" customFormat="1" ht="12">
      <c r="B272" s="188"/>
      <c r="D272" s="189" t="s">
        <v>148</v>
      </c>
      <c r="E272" s="190" t="s">
        <v>1</v>
      </c>
      <c r="F272" s="191" t="s">
        <v>694</v>
      </c>
      <c r="H272" s="192">
        <v>2</v>
      </c>
      <c r="I272" s="233"/>
      <c r="L272" s="188"/>
      <c r="M272" s="193"/>
      <c r="N272" s="194"/>
      <c r="O272" s="194"/>
      <c r="P272" s="194"/>
      <c r="Q272" s="194"/>
      <c r="R272" s="194"/>
      <c r="S272" s="194"/>
      <c r="T272" s="195"/>
      <c r="AT272" s="190" t="s">
        <v>148</v>
      </c>
      <c r="AU272" s="190" t="s">
        <v>87</v>
      </c>
      <c r="AV272" s="187" t="s">
        <v>87</v>
      </c>
      <c r="AW272" s="187" t="s">
        <v>34</v>
      </c>
      <c r="AX272" s="187" t="s">
        <v>78</v>
      </c>
      <c r="AY272" s="190" t="s">
        <v>139</v>
      </c>
    </row>
    <row r="273" spans="2:51" s="187" customFormat="1" ht="12">
      <c r="B273" s="188"/>
      <c r="D273" s="189" t="s">
        <v>148</v>
      </c>
      <c r="E273" s="190" t="s">
        <v>1</v>
      </c>
      <c r="F273" s="191" t="s">
        <v>695</v>
      </c>
      <c r="H273" s="192">
        <v>33</v>
      </c>
      <c r="I273" s="233"/>
      <c r="L273" s="188"/>
      <c r="M273" s="193"/>
      <c r="N273" s="194"/>
      <c r="O273" s="194"/>
      <c r="P273" s="194"/>
      <c r="Q273" s="194"/>
      <c r="R273" s="194"/>
      <c r="S273" s="194"/>
      <c r="T273" s="195"/>
      <c r="AT273" s="190" t="s">
        <v>148</v>
      </c>
      <c r="AU273" s="190" t="s">
        <v>87</v>
      </c>
      <c r="AV273" s="187" t="s">
        <v>87</v>
      </c>
      <c r="AW273" s="187" t="s">
        <v>34</v>
      </c>
      <c r="AX273" s="187" t="s">
        <v>78</v>
      </c>
      <c r="AY273" s="190" t="s">
        <v>139</v>
      </c>
    </row>
    <row r="274" spans="2:51" s="208" customFormat="1" ht="12">
      <c r="B274" s="209"/>
      <c r="D274" s="189" t="s">
        <v>148</v>
      </c>
      <c r="E274" s="210" t="s">
        <v>1</v>
      </c>
      <c r="F274" s="211" t="s">
        <v>159</v>
      </c>
      <c r="H274" s="212">
        <v>68</v>
      </c>
      <c r="I274" s="236"/>
      <c r="L274" s="209"/>
      <c r="M274" s="213"/>
      <c r="N274" s="214"/>
      <c r="O274" s="214"/>
      <c r="P274" s="214"/>
      <c r="Q274" s="214"/>
      <c r="R274" s="214"/>
      <c r="S274" s="214"/>
      <c r="T274" s="215"/>
      <c r="AT274" s="210" t="s">
        <v>148</v>
      </c>
      <c r="AU274" s="210" t="s">
        <v>87</v>
      </c>
      <c r="AV274" s="208" t="s">
        <v>146</v>
      </c>
      <c r="AW274" s="208" t="s">
        <v>34</v>
      </c>
      <c r="AX274" s="208" t="s">
        <v>85</v>
      </c>
      <c r="AY274" s="210" t="s">
        <v>139</v>
      </c>
    </row>
    <row r="275" spans="1:65" s="95" customFormat="1" ht="24">
      <c r="A275" s="91"/>
      <c r="B275" s="92"/>
      <c r="C275" s="175" t="s">
        <v>322</v>
      </c>
      <c r="D275" s="175" t="s">
        <v>141</v>
      </c>
      <c r="E275" s="176" t="s">
        <v>329</v>
      </c>
      <c r="F275" s="177" t="s">
        <v>330</v>
      </c>
      <c r="G275" s="178" t="s">
        <v>144</v>
      </c>
      <c r="H275" s="179">
        <v>34</v>
      </c>
      <c r="I275" s="69"/>
      <c r="J275" s="180">
        <f>ROUND(I275*H275,2)</f>
        <v>0</v>
      </c>
      <c r="K275" s="177" t="s">
        <v>145</v>
      </c>
      <c r="L275" s="92"/>
      <c r="M275" s="181" t="s">
        <v>1</v>
      </c>
      <c r="N275" s="182" t="s">
        <v>44</v>
      </c>
      <c r="O275" s="183">
        <v>0.004</v>
      </c>
      <c r="P275" s="183">
        <f>O275*H275</f>
        <v>0.136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R275" s="185" t="s">
        <v>146</v>
      </c>
      <c r="AT275" s="185" t="s">
        <v>141</v>
      </c>
      <c r="AU275" s="185" t="s">
        <v>87</v>
      </c>
      <c r="AY275" s="83" t="s">
        <v>139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83" t="s">
        <v>85</v>
      </c>
      <c r="BK275" s="186">
        <f>ROUND(I275*H275,2)</f>
        <v>0</v>
      </c>
      <c r="BL275" s="83" t="s">
        <v>146</v>
      </c>
      <c r="BM275" s="185" t="s">
        <v>696</v>
      </c>
    </row>
    <row r="276" spans="2:51" s="201" customFormat="1" ht="12">
      <c r="B276" s="202"/>
      <c r="D276" s="189" t="s">
        <v>148</v>
      </c>
      <c r="E276" s="203" t="s">
        <v>1</v>
      </c>
      <c r="F276" s="204" t="s">
        <v>607</v>
      </c>
      <c r="H276" s="203" t="s">
        <v>1</v>
      </c>
      <c r="I276" s="235"/>
      <c r="L276" s="202"/>
      <c r="M276" s="205"/>
      <c r="N276" s="206"/>
      <c r="O276" s="206"/>
      <c r="P276" s="206"/>
      <c r="Q276" s="206"/>
      <c r="R276" s="206"/>
      <c r="S276" s="206"/>
      <c r="T276" s="207"/>
      <c r="AT276" s="203" t="s">
        <v>148</v>
      </c>
      <c r="AU276" s="203" t="s">
        <v>87</v>
      </c>
      <c r="AV276" s="201" t="s">
        <v>85</v>
      </c>
      <c r="AW276" s="201" t="s">
        <v>34</v>
      </c>
      <c r="AX276" s="201" t="s">
        <v>78</v>
      </c>
      <c r="AY276" s="203" t="s">
        <v>139</v>
      </c>
    </row>
    <row r="277" spans="2:51" s="187" customFormat="1" ht="12">
      <c r="B277" s="188"/>
      <c r="D277" s="189" t="s">
        <v>148</v>
      </c>
      <c r="E277" s="190" t="s">
        <v>1</v>
      </c>
      <c r="F277" s="191" t="s">
        <v>608</v>
      </c>
      <c r="H277" s="192">
        <v>9.75</v>
      </c>
      <c r="I277" s="233"/>
      <c r="L277" s="188"/>
      <c r="M277" s="193"/>
      <c r="N277" s="194"/>
      <c r="O277" s="194"/>
      <c r="P277" s="194"/>
      <c r="Q277" s="194"/>
      <c r="R277" s="194"/>
      <c r="S277" s="194"/>
      <c r="T277" s="195"/>
      <c r="AT277" s="190" t="s">
        <v>148</v>
      </c>
      <c r="AU277" s="190" t="s">
        <v>87</v>
      </c>
      <c r="AV277" s="187" t="s">
        <v>87</v>
      </c>
      <c r="AW277" s="187" t="s">
        <v>34</v>
      </c>
      <c r="AX277" s="187" t="s">
        <v>78</v>
      </c>
      <c r="AY277" s="190" t="s">
        <v>139</v>
      </c>
    </row>
    <row r="278" spans="2:51" s="187" customFormat="1" ht="12">
      <c r="B278" s="188"/>
      <c r="D278" s="189" t="s">
        <v>148</v>
      </c>
      <c r="E278" s="190" t="s">
        <v>1</v>
      </c>
      <c r="F278" s="191" t="s">
        <v>609</v>
      </c>
      <c r="H278" s="192">
        <v>3</v>
      </c>
      <c r="I278" s="233"/>
      <c r="L278" s="188"/>
      <c r="M278" s="193"/>
      <c r="N278" s="194"/>
      <c r="O278" s="194"/>
      <c r="P278" s="194"/>
      <c r="Q278" s="194"/>
      <c r="R278" s="194"/>
      <c r="S278" s="194"/>
      <c r="T278" s="195"/>
      <c r="AT278" s="190" t="s">
        <v>148</v>
      </c>
      <c r="AU278" s="190" t="s">
        <v>87</v>
      </c>
      <c r="AV278" s="187" t="s">
        <v>87</v>
      </c>
      <c r="AW278" s="187" t="s">
        <v>34</v>
      </c>
      <c r="AX278" s="187" t="s">
        <v>78</v>
      </c>
      <c r="AY278" s="190" t="s">
        <v>139</v>
      </c>
    </row>
    <row r="279" spans="2:51" s="187" customFormat="1" ht="12">
      <c r="B279" s="188"/>
      <c r="D279" s="189" t="s">
        <v>148</v>
      </c>
      <c r="E279" s="190" t="s">
        <v>1</v>
      </c>
      <c r="F279" s="191" t="s">
        <v>610</v>
      </c>
      <c r="H279" s="192">
        <v>3.75</v>
      </c>
      <c r="I279" s="233"/>
      <c r="L279" s="188"/>
      <c r="M279" s="193"/>
      <c r="N279" s="194"/>
      <c r="O279" s="194"/>
      <c r="P279" s="194"/>
      <c r="Q279" s="194"/>
      <c r="R279" s="194"/>
      <c r="S279" s="194"/>
      <c r="T279" s="195"/>
      <c r="AT279" s="190" t="s">
        <v>148</v>
      </c>
      <c r="AU279" s="190" t="s">
        <v>87</v>
      </c>
      <c r="AV279" s="187" t="s">
        <v>87</v>
      </c>
      <c r="AW279" s="187" t="s">
        <v>34</v>
      </c>
      <c r="AX279" s="187" t="s">
        <v>78</v>
      </c>
      <c r="AY279" s="190" t="s">
        <v>139</v>
      </c>
    </row>
    <row r="280" spans="2:51" s="187" customFormat="1" ht="12">
      <c r="B280" s="188"/>
      <c r="D280" s="189" t="s">
        <v>148</v>
      </c>
      <c r="E280" s="190" t="s">
        <v>1</v>
      </c>
      <c r="F280" s="191" t="s">
        <v>611</v>
      </c>
      <c r="H280" s="192">
        <v>1</v>
      </c>
      <c r="I280" s="233"/>
      <c r="L280" s="188"/>
      <c r="M280" s="193"/>
      <c r="N280" s="194"/>
      <c r="O280" s="194"/>
      <c r="P280" s="194"/>
      <c r="Q280" s="194"/>
      <c r="R280" s="194"/>
      <c r="S280" s="194"/>
      <c r="T280" s="195"/>
      <c r="AT280" s="190" t="s">
        <v>148</v>
      </c>
      <c r="AU280" s="190" t="s">
        <v>87</v>
      </c>
      <c r="AV280" s="187" t="s">
        <v>87</v>
      </c>
      <c r="AW280" s="187" t="s">
        <v>34</v>
      </c>
      <c r="AX280" s="187" t="s">
        <v>78</v>
      </c>
      <c r="AY280" s="190" t="s">
        <v>139</v>
      </c>
    </row>
    <row r="281" spans="2:51" s="187" customFormat="1" ht="12">
      <c r="B281" s="188"/>
      <c r="D281" s="189" t="s">
        <v>148</v>
      </c>
      <c r="E281" s="190" t="s">
        <v>1</v>
      </c>
      <c r="F281" s="191" t="s">
        <v>612</v>
      </c>
      <c r="H281" s="192">
        <v>16.5</v>
      </c>
      <c r="I281" s="233"/>
      <c r="L281" s="188"/>
      <c r="M281" s="193"/>
      <c r="N281" s="194"/>
      <c r="O281" s="194"/>
      <c r="P281" s="194"/>
      <c r="Q281" s="194"/>
      <c r="R281" s="194"/>
      <c r="S281" s="194"/>
      <c r="T281" s="195"/>
      <c r="AT281" s="190" t="s">
        <v>148</v>
      </c>
      <c r="AU281" s="190" t="s">
        <v>87</v>
      </c>
      <c r="AV281" s="187" t="s">
        <v>87</v>
      </c>
      <c r="AW281" s="187" t="s">
        <v>34</v>
      </c>
      <c r="AX281" s="187" t="s">
        <v>78</v>
      </c>
      <c r="AY281" s="190" t="s">
        <v>139</v>
      </c>
    </row>
    <row r="282" spans="2:51" s="208" customFormat="1" ht="12">
      <c r="B282" s="209"/>
      <c r="D282" s="189" t="s">
        <v>148</v>
      </c>
      <c r="E282" s="210" t="s">
        <v>1</v>
      </c>
      <c r="F282" s="211" t="s">
        <v>159</v>
      </c>
      <c r="H282" s="212">
        <v>34</v>
      </c>
      <c r="I282" s="236"/>
      <c r="L282" s="209"/>
      <c r="M282" s="213"/>
      <c r="N282" s="214"/>
      <c r="O282" s="214"/>
      <c r="P282" s="214"/>
      <c r="Q282" s="214"/>
      <c r="R282" s="214"/>
      <c r="S282" s="214"/>
      <c r="T282" s="215"/>
      <c r="AT282" s="210" t="s">
        <v>148</v>
      </c>
      <c r="AU282" s="210" t="s">
        <v>87</v>
      </c>
      <c r="AV282" s="208" t="s">
        <v>146</v>
      </c>
      <c r="AW282" s="208" t="s">
        <v>34</v>
      </c>
      <c r="AX282" s="208" t="s">
        <v>85</v>
      </c>
      <c r="AY282" s="210" t="s">
        <v>139</v>
      </c>
    </row>
    <row r="283" spans="1:65" s="95" customFormat="1" ht="24">
      <c r="A283" s="91"/>
      <c r="B283" s="92"/>
      <c r="C283" s="175" t="s">
        <v>324</v>
      </c>
      <c r="D283" s="175" t="s">
        <v>141</v>
      </c>
      <c r="E283" s="176" t="s">
        <v>333</v>
      </c>
      <c r="F283" s="177" t="s">
        <v>334</v>
      </c>
      <c r="G283" s="178" t="s">
        <v>144</v>
      </c>
      <c r="H283" s="179">
        <v>50.5</v>
      </c>
      <c r="I283" s="69"/>
      <c r="J283" s="180">
        <f>ROUND(I283*H283,2)</f>
        <v>0</v>
      </c>
      <c r="K283" s="177" t="s">
        <v>145</v>
      </c>
      <c r="L283" s="92"/>
      <c r="M283" s="181" t="s">
        <v>1</v>
      </c>
      <c r="N283" s="182" t="s">
        <v>44</v>
      </c>
      <c r="O283" s="183">
        <v>0.002</v>
      </c>
      <c r="P283" s="183">
        <f>O283*H283</f>
        <v>0.101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R283" s="185" t="s">
        <v>146</v>
      </c>
      <c r="AT283" s="185" t="s">
        <v>141</v>
      </c>
      <c r="AU283" s="185" t="s">
        <v>87</v>
      </c>
      <c r="AY283" s="83" t="s">
        <v>139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83" t="s">
        <v>85</v>
      </c>
      <c r="BK283" s="186">
        <f>ROUND(I283*H283,2)</f>
        <v>0</v>
      </c>
      <c r="BL283" s="83" t="s">
        <v>146</v>
      </c>
      <c r="BM283" s="185" t="s">
        <v>697</v>
      </c>
    </row>
    <row r="284" spans="2:51" s="201" customFormat="1" ht="12">
      <c r="B284" s="202"/>
      <c r="D284" s="189" t="s">
        <v>148</v>
      </c>
      <c r="E284" s="203" t="s">
        <v>1</v>
      </c>
      <c r="F284" s="204" t="s">
        <v>607</v>
      </c>
      <c r="H284" s="203" t="s">
        <v>1</v>
      </c>
      <c r="I284" s="235"/>
      <c r="L284" s="202"/>
      <c r="M284" s="205"/>
      <c r="N284" s="206"/>
      <c r="O284" s="206"/>
      <c r="P284" s="206"/>
      <c r="Q284" s="206"/>
      <c r="R284" s="206"/>
      <c r="S284" s="206"/>
      <c r="T284" s="207"/>
      <c r="AT284" s="203" t="s">
        <v>148</v>
      </c>
      <c r="AU284" s="203" t="s">
        <v>87</v>
      </c>
      <c r="AV284" s="201" t="s">
        <v>85</v>
      </c>
      <c r="AW284" s="201" t="s">
        <v>34</v>
      </c>
      <c r="AX284" s="201" t="s">
        <v>78</v>
      </c>
      <c r="AY284" s="203" t="s">
        <v>139</v>
      </c>
    </row>
    <row r="285" spans="2:51" s="187" customFormat="1" ht="12">
      <c r="B285" s="188"/>
      <c r="D285" s="189" t="s">
        <v>148</v>
      </c>
      <c r="E285" s="190" t="s">
        <v>1</v>
      </c>
      <c r="F285" s="191" t="s">
        <v>698</v>
      </c>
      <c r="H285" s="192">
        <v>12.25</v>
      </c>
      <c r="I285" s="233"/>
      <c r="L285" s="188"/>
      <c r="M285" s="193"/>
      <c r="N285" s="194"/>
      <c r="O285" s="194"/>
      <c r="P285" s="194"/>
      <c r="Q285" s="194"/>
      <c r="R285" s="194"/>
      <c r="S285" s="194"/>
      <c r="T285" s="195"/>
      <c r="AT285" s="190" t="s">
        <v>148</v>
      </c>
      <c r="AU285" s="190" t="s">
        <v>87</v>
      </c>
      <c r="AV285" s="187" t="s">
        <v>87</v>
      </c>
      <c r="AW285" s="187" t="s">
        <v>34</v>
      </c>
      <c r="AX285" s="187" t="s">
        <v>78</v>
      </c>
      <c r="AY285" s="190" t="s">
        <v>139</v>
      </c>
    </row>
    <row r="286" spans="2:51" s="187" customFormat="1" ht="12">
      <c r="B286" s="188"/>
      <c r="D286" s="189" t="s">
        <v>148</v>
      </c>
      <c r="E286" s="190" t="s">
        <v>1</v>
      </c>
      <c r="F286" s="191" t="s">
        <v>699</v>
      </c>
      <c r="H286" s="192">
        <v>6</v>
      </c>
      <c r="I286" s="233"/>
      <c r="L286" s="188"/>
      <c r="M286" s="193"/>
      <c r="N286" s="194"/>
      <c r="O286" s="194"/>
      <c r="P286" s="194"/>
      <c r="Q286" s="194"/>
      <c r="R286" s="194"/>
      <c r="S286" s="194"/>
      <c r="T286" s="195"/>
      <c r="AT286" s="190" t="s">
        <v>148</v>
      </c>
      <c r="AU286" s="190" t="s">
        <v>87</v>
      </c>
      <c r="AV286" s="187" t="s">
        <v>87</v>
      </c>
      <c r="AW286" s="187" t="s">
        <v>34</v>
      </c>
      <c r="AX286" s="187" t="s">
        <v>78</v>
      </c>
      <c r="AY286" s="190" t="s">
        <v>139</v>
      </c>
    </row>
    <row r="287" spans="2:51" s="187" customFormat="1" ht="12">
      <c r="B287" s="188"/>
      <c r="D287" s="189" t="s">
        <v>148</v>
      </c>
      <c r="E287" s="190" t="s">
        <v>1</v>
      </c>
      <c r="F287" s="191" t="s">
        <v>700</v>
      </c>
      <c r="H287" s="192">
        <v>6</v>
      </c>
      <c r="I287" s="233"/>
      <c r="L287" s="188"/>
      <c r="M287" s="193"/>
      <c r="N287" s="194"/>
      <c r="O287" s="194"/>
      <c r="P287" s="194"/>
      <c r="Q287" s="194"/>
      <c r="R287" s="194"/>
      <c r="S287" s="194"/>
      <c r="T287" s="195"/>
      <c r="AT287" s="190" t="s">
        <v>148</v>
      </c>
      <c r="AU287" s="190" t="s">
        <v>87</v>
      </c>
      <c r="AV287" s="187" t="s">
        <v>87</v>
      </c>
      <c r="AW287" s="187" t="s">
        <v>34</v>
      </c>
      <c r="AX287" s="187" t="s">
        <v>78</v>
      </c>
      <c r="AY287" s="190" t="s">
        <v>139</v>
      </c>
    </row>
    <row r="288" spans="2:51" s="187" customFormat="1" ht="12">
      <c r="B288" s="188"/>
      <c r="D288" s="189" t="s">
        <v>148</v>
      </c>
      <c r="E288" s="190" t="s">
        <v>1</v>
      </c>
      <c r="F288" s="191" t="s">
        <v>701</v>
      </c>
      <c r="H288" s="192">
        <v>2.25</v>
      </c>
      <c r="I288" s="233"/>
      <c r="L288" s="188"/>
      <c r="M288" s="193"/>
      <c r="N288" s="194"/>
      <c r="O288" s="194"/>
      <c r="P288" s="194"/>
      <c r="Q288" s="194"/>
      <c r="R288" s="194"/>
      <c r="S288" s="194"/>
      <c r="T288" s="195"/>
      <c r="AT288" s="190" t="s">
        <v>148</v>
      </c>
      <c r="AU288" s="190" t="s">
        <v>87</v>
      </c>
      <c r="AV288" s="187" t="s">
        <v>87</v>
      </c>
      <c r="AW288" s="187" t="s">
        <v>34</v>
      </c>
      <c r="AX288" s="187" t="s">
        <v>78</v>
      </c>
      <c r="AY288" s="190" t="s">
        <v>139</v>
      </c>
    </row>
    <row r="289" spans="2:51" s="187" customFormat="1" ht="12">
      <c r="B289" s="188"/>
      <c r="D289" s="189" t="s">
        <v>148</v>
      </c>
      <c r="E289" s="190" t="s">
        <v>1</v>
      </c>
      <c r="F289" s="191" t="s">
        <v>702</v>
      </c>
      <c r="H289" s="192">
        <v>24</v>
      </c>
      <c r="I289" s="233"/>
      <c r="L289" s="188"/>
      <c r="M289" s="193"/>
      <c r="N289" s="194"/>
      <c r="O289" s="194"/>
      <c r="P289" s="194"/>
      <c r="Q289" s="194"/>
      <c r="R289" s="194"/>
      <c r="S289" s="194"/>
      <c r="T289" s="195"/>
      <c r="AT289" s="190" t="s">
        <v>148</v>
      </c>
      <c r="AU289" s="190" t="s">
        <v>87</v>
      </c>
      <c r="AV289" s="187" t="s">
        <v>87</v>
      </c>
      <c r="AW289" s="187" t="s">
        <v>34</v>
      </c>
      <c r="AX289" s="187" t="s">
        <v>78</v>
      </c>
      <c r="AY289" s="190" t="s">
        <v>139</v>
      </c>
    </row>
    <row r="290" spans="2:51" s="208" customFormat="1" ht="12">
      <c r="B290" s="209"/>
      <c r="D290" s="189" t="s">
        <v>148</v>
      </c>
      <c r="E290" s="210" t="s">
        <v>1</v>
      </c>
      <c r="F290" s="211" t="s">
        <v>159</v>
      </c>
      <c r="H290" s="212">
        <v>50.5</v>
      </c>
      <c r="I290" s="236"/>
      <c r="L290" s="209"/>
      <c r="M290" s="213"/>
      <c r="N290" s="214"/>
      <c r="O290" s="214"/>
      <c r="P290" s="214"/>
      <c r="Q290" s="214"/>
      <c r="R290" s="214"/>
      <c r="S290" s="214"/>
      <c r="T290" s="215"/>
      <c r="AT290" s="210" t="s">
        <v>148</v>
      </c>
      <c r="AU290" s="210" t="s">
        <v>87</v>
      </c>
      <c r="AV290" s="208" t="s">
        <v>146</v>
      </c>
      <c r="AW290" s="208" t="s">
        <v>34</v>
      </c>
      <c r="AX290" s="208" t="s">
        <v>85</v>
      </c>
      <c r="AY290" s="210" t="s">
        <v>139</v>
      </c>
    </row>
    <row r="291" spans="1:65" s="95" customFormat="1" ht="44.25" customHeight="1">
      <c r="A291" s="91"/>
      <c r="B291" s="92"/>
      <c r="C291" s="175" t="s">
        <v>328</v>
      </c>
      <c r="D291" s="175" t="s">
        <v>141</v>
      </c>
      <c r="E291" s="176" t="s">
        <v>338</v>
      </c>
      <c r="F291" s="177" t="s">
        <v>339</v>
      </c>
      <c r="G291" s="178" t="s">
        <v>144</v>
      </c>
      <c r="H291" s="179">
        <v>107.1</v>
      </c>
      <c r="I291" s="69"/>
      <c r="J291" s="180">
        <f>ROUND(I291*H291,2)</f>
        <v>0</v>
      </c>
      <c r="K291" s="177" t="s">
        <v>145</v>
      </c>
      <c r="L291" s="92"/>
      <c r="M291" s="181" t="s">
        <v>1</v>
      </c>
      <c r="N291" s="182" t="s">
        <v>44</v>
      </c>
      <c r="O291" s="183">
        <v>0.071</v>
      </c>
      <c r="P291" s="183">
        <f>O291*H291</f>
        <v>7.604099999999999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R291" s="185" t="s">
        <v>146</v>
      </c>
      <c r="AT291" s="185" t="s">
        <v>141</v>
      </c>
      <c r="AU291" s="185" t="s">
        <v>87</v>
      </c>
      <c r="AY291" s="83" t="s">
        <v>139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83" t="s">
        <v>85</v>
      </c>
      <c r="BK291" s="186">
        <f>ROUND(I291*H291,2)</f>
        <v>0</v>
      </c>
      <c r="BL291" s="83" t="s">
        <v>146</v>
      </c>
      <c r="BM291" s="185" t="s">
        <v>703</v>
      </c>
    </row>
    <row r="292" spans="2:51" s="201" customFormat="1" ht="12">
      <c r="B292" s="202"/>
      <c r="D292" s="189" t="s">
        <v>148</v>
      </c>
      <c r="E292" s="203" t="s">
        <v>1</v>
      </c>
      <c r="F292" s="204" t="s">
        <v>621</v>
      </c>
      <c r="H292" s="203" t="s">
        <v>1</v>
      </c>
      <c r="I292" s="235"/>
      <c r="L292" s="202"/>
      <c r="M292" s="205"/>
      <c r="N292" s="206"/>
      <c r="O292" s="206"/>
      <c r="P292" s="206"/>
      <c r="Q292" s="206"/>
      <c r="R292" s="206"/>
      <c r="S292" s="206"/>
      <c r="T292" s="207"/>
      <c r="AT292" s="203" t="s">
        <v>148</v>
      </c>
      <c r="AU292" s="203" t="s">
        <v>87</v>
      </c>
      <c r="AV292" s="201" t="s">
        <v>85</v>
      </c>
      <c r="AW292" s="201" t="s">
        <v>34</v>
      </c>
      <c r="AX292" s="201" t="s">
        <v>78</v>
      </c>
      <c r="AY292" s="203" t="s">
        <v>139</v>
      </c>
    </row>
    <row r="293" spans="2:51" s="201" customFormat="1" ht="12">
      <c r="B293" s="202"/>
      <c r="D293" s="189" t="s">
        <v>148</v>
      </c>
      <c r="E293" s="203" t="s">
        <v>1</v>
      </c>
      <c r="F293" s="204" t="s">
        <v>622</v>
      </c>
      <c r="H293" s="203" t="s">
        <v>1</v>
      </c>
      <c r="I293" s="235"/>
      <c r="L293" s="202"/>
      <c r="M293" s="205"/>
      <c r="N293" s="206"/>
      <c r="O293" s="206"/>
      <c r="P293" s="206"/>
      <c r="Q293" s="206"/>
      <c r="R293" s="206"/>
      <c r="S293" s="206"/>
      <c r="T293" s="207"/>
      <c r="AT293" s="203" t="s">
        <v>148</v>
      </c>
      <c r="AU293" s="203" t="s">
        <v>87</v>
      </c>
      <c r="AV293" s="201" t="s">
        <v>85</v>
      </c>
      <c r="AW293" s="201" t="s">
        <v>34</v>
      </c>
      <c r="AX293" s="201" t="s">
        <v>78</v>
      </c>
      <c r="AY293" s="203" t="s">
        <v>139</v>
      </c>
    </row>
    <row r="294" spans="2:51" s="187" customFormat="1" ht="12">
      <c r="B294" s="188"/>
      <c r="D294" s="189" t="s">
        <v>148</v>
      </c>
      <c r="E294" s="190" t="s">
        <v>1</v>
      </c>
      <c r="F294" s="191" t="s">
        <v>299</v>
      </c>
      <c r="H294" s="192">
        <v>28</v>
      </c>
      <c r="I294" s="233"/>
      <c r="L294" s="188"/>
      <c r="M294" s="193"/>
      <c r="N294" s="194"/>
      <c r="O294" s="194"/>
      <c r="P294" s="194"/>
      <c r="Q294" s="194"/>
      <c r="R294" s="194"/>
      <c r="S294" s="194"/>
      <c r="T294" s="195"/>
      <c r="AT294" s="190" t="s">
        <v>148</v>
      </c>
      <c r="AU294" s="190" t="s">
        <v>87</v>
      </c>
      <c r="AV294" s="187" t="s">
        <v>87</v>
      </c>
      <c r="AW294" s="187" t="s">
        <v>34</v>
      </c>
      <c r="AX294" s="187" t="s">
        <v>78</v>
      </c>
      <c r="AY294" s="190" t="s">
        <v>139</v>
      </c>
    </row>
    <row r="295" spans="2:51" s="187" customFormat="1" ht="12">
      <c r="B295" s="188"/>
      <c r="D295" s="189" t="s">
        <v>148</v>
      </c>
      <c r="E295" s="190" t="s">
        <v>1</v>
      </c>
      <c r="F295" s="191" t="s">
        <v>623</v>
      </c>
      <c r="H295" s="192">
        <v>3.8</v>
      </c>
      <c r="I295" s="233"/>
      <c r="L295" s="188"/>
      <c r="M295" s="193"/>
      <c r="N295" s="194"/>
      <c r="O295" s="194"/>
      <c r="P295" s="194"/>
      <c r="Q295" s="194"/>
      <c r="R295" s="194"/>
      <c r="S295" s="194"/>
      <c r="T295" s="195"/>
      <c r="AT295" s="190" t="s">
        <v>148</v>
      </c>
      <c r="AU295" s="190" t="s">
        <v>87</v>
      </c>
      <c r="AV295" s="187" t="s">
        <v>87</v>
      </c>
      <c r="AW295" s="187" t="s">
        <v>34</v>
      </c>
      <c r="AX295" s="187" t="s">
        <v>78</v>
      </c>
      <c r="AY295" s="190" t="s">
        <v>139</v>
      </c>
    </row>
    <row r="296" spans="2:51" s="187" customFormat="1" ht="12">
      <c r="B296" s="188"/>
      <c r="D296" s="189" t="s">
        <v>148</v>
      </c>
      <c r="E296" s="190" t="s">
        <v>1</v>
      </c>
      <c r="F296" s="191" t="s">
        <v>624</v>
      </c>
      <c r="H296" s="192">
        <v>4.5</v>
      </c>
      <c r="I296" s="233"/>
      <c r="L296" s="188"/>
      <c r="M296" s="193"/>
      <c r="N296" s="194"/>
      <c r="O296" s="194"/>
      <c r="P296" s="194"/>
      <c r="Q296" s="194"/>
      <c r="R296" s="194"/>
      <c r="S296" s="194"/>
      <c r="T296" s="195"/>
      <c r="AT296" s="190" t="s">
        <v>148</v>
      </c>
      <c r="AU296" s="190" t="s">
        <v>87</v>
      </c>
      <c r="AV296" s="187" t="s">
        <v>87</v>
      </c>
      <c r="AW296" s="187" t="s">
        <v>34</v>
      </c>
      <c r="AX296" s="187" t="s">
        <v>78</v>
      </c>
      <c r="AY296" s="190" t="s">
        <v>139</v>
      </c>
    </row>
    <row r="297" spans="2:51" s="187" customFormat="1" ht="12">
      <c r="B297" s="188"/>
      <c r="D297" s="189" t="s">
        <v>148</v>
      </c>
      <c r="E297" s="190" t="s">
        <v>1</v>
      </c>
      <c r="F297" s="191" t="s">
        <v>625</v>
      </c>
      <c r="H297" s="192">
        <v>70.8</v>
      </c>
      <c r="I297" s="233"/>
      <c r="L297" s="188"/>
      <c r="M297" s="193"/>
      <c r="N297" s="194"/>
      <c r="O297" s="194"/>
      <c r="P297" s="194"/>
      <c r="Q297" s="194"/>
      <c r="R297" s="194"/>
      <c r="S297" s="194"/>
      <c r="T297" s="195"/>
      <c r="AT297" s="190" t="s">
        <v>148</v>
      </c>
      <c r="AU297" s="190" t="s">
        <v>87</v>
      </c>
      <c r="AV297" s="187" t="s">
        <v>87</v>
      </c>
      <c r="AW297" s="187" t="s">
        <v>34</v>
      </c>
      <c r="AX297" s="187" t="s">
        <v>78</v>
      </c>
      <c r="AY297" s="190" t="s">
        <v>139</v>
      </c>
    </row>
    <row r="298" spans="2:51" s="208" customFormat="1" ht="12">
      <c r="B298" s="209"/>
      <c r="D298" s="189" t="s">
        <v>148</v>
      </c>
      <c r="E298" s="210" t="s">
        <v>1</v>
      </c>
      <c r="F298" s="211" t="s">
        <v>159</v>
      </c>
      <c r="H298" s="212">
        <v>107.1</v>
      </c>
      <c r="I298" s="236"/>
      <c r="L298" s="209"/>
      <c r="M298" s="213"/>
      <c r="N298" s="214"/>
      <c r="O298" s="214"/>
      <c r="P298" s="214"/>
      <c r="Q298" s="214"/>
      <c r="R298" s="214"/>
      <c r="S298" s="214"/>
      <c r="T298" s="215"/>
      <c r="AT298" s="210" t="s">
        <v>148</v>
      </c>
      <c r="AU298" s="210" t="s">
        <v>87</v>
      </c>
      <c r="AV298" s="208" t="s">
        <v>146</v>
      </c>
      <c r="AW298" s="208" t="s">
        <v>34</v>
      </c>
      <c r="AX298" s="208" t="s">
        <v>85</v>
      </c>
      <c r="AY298" s="210" t="s">
        <v>139</v>
      </c>
    </row>
    <row r="299" spans="2:63" s="162" customFormat="1" ht="22.9" customHeight="1">
      <c r="B299" s="163"/>
      <c r="D299" s="164" t="s">
        <v>77</v>
      </c>
      <c r="E299" s="173" t="s">
        <v>187</v>
      </c>
      <c r="F299" s="173" t="s">
        <v>347</v>
      </c>
      <c r="I299" s="237"/>
      <c r="J299" s="174">
        <f>SUM(J300:J367)</f>
        <v>0</v>
      </c>
      <c r="L299" s="163"/>
      <c r="M299" s="167"/>
      <c r="N299" s="168"/>
      <c r="O299" s="168"/>
      <c r="P299" s="169">
        <f>SUM(P300:P369)</f>
        <v>89.39668999999999</v>
      </c>
      <c r="Q299" s="168"/>
      <c r="R299" s="169">
        <f>SUM(R300:R369)</f>
        <v>1.9935300000000002</v>
      </c>
      <c r="S299" s="168"/>
      <c r="T299" s="170">
        <f>SUM(T300:T369)</f>
        <v>0.10768000000000001</v>
      </c>
      <c r="AR299" s="164" t="s">
        <v>85</v>
      </c>
      <c r="AT299" s="171" t="s">
        <v>77</v>
      </c>
      <c r="AU299" s="171" t="s">
        <v>85</v>
      </c>
      <c r="AY299" s="164" t="s">
        <v>139</v>
      </c>
      <c r="BK299" s="172">
        <f>SUM(BK300:BK369)</f>
        <v>0</v>
      </c>
    </row>
    <row r="300" spans="1:65" s="95" customFormat="1" ht="33" customHeight="1">
      <c r="A300" s="91"/>
      <c r="B300" s="92"/>
      <c r="C300" s="175" t="s">
        <v>332</v>
      </c>
      <c r="D300" s="175" t="s">
        <v>141</v>
      </c>
      <c r="E300" s="176" t="s">
        <v>704</v>
      </c>
      <c r="F300" s="177" t="s">
        <v>705</v>
      </c>
      <c r="G300" s="178" t="s">
        <v>171</v>
      </c>
      <c r="H300" s="179">
        <v>15</v>
      </c>
      <c r="I300" s="69"/>
      <c r="J300" s="180">
        <f aca="true" t="shared" si="0" ref="J300:J314">ROUND(I300*H300,2)</f>
        <v>0</v>
      </c>
      <c r="K300" s="177" t="s">
        <v>145</v>
      </c>
      <c r="L300" s="92"/>
      <c r="M300" s="181" t="s">
        <v>1</v>
      </c>
      <c r="N300" s="182" t="s">
        <v>44</v>
      </c>
      <c r="O300" s="183">
        <v>0.622</v>
      </c>
      <c r="P300" s="183">
        <f aca="true" t="shared" si="1" ref="P300:P314">O300*H300</f>
        <v>9.33</v>
      </c>
      <c r="Q300" s="183">
        <v>0</v>
      </c>
      <c r="R300" s="183">
        <f aca="true" t="shared" si="2" ref="R300:R314">Q300*H300</f>
        <v>0</v>
      </c>
      <c r="S300" s="183">
        <v>0</v>
      </c>
      <c r="T300" s="184">
        <f aca="true" t="shared" si="3" ref="T300:T314">S300*H300</f>
        <v>0</v>
      </c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R300" s="185" t="s">
        <v>146</v>
      </c>
      <c r="AT300" s="185" t="s">
        <v>141</v>
      </c>
      <c r="AU300" s="185" t="s">
        <v>87</v>
      </c>
      <c r="AY300" s="83" t="s">
        <v>139</v>
      </c>
      <c r="BE300" s="186">
        <f aca="true" t="shared" si="4" ref="BE300:BE314">IF(N300="základní",J300,0)</f>
        <v>0</v>
      </c>
      <c r="BF300" s="186">
        <f aca="true" t="shared" si="5" ref="BF300:BF314">IF(N300="snížená",J300,0)</f>
        <v>0</v>
      </c>
      <c r="BG300" s="186">
        <f aca="true" t="shared" si="6" ref="BG300:BG314">IF(N300="zákl. přenesená",J300,0)</f>
        <v>0</v>
      </c>
      <c r="BH300" s="186">
        <f aca="true" t="shared" si="7" ref="BH300:BH314">IF(N300="sníž. přenesená",J300,0)</f>
        <v>0</v>
      </c>
      <c r="BI300" s="186">
        <f aca="true" t="shared" si="8" ref="BI300:BI314">IF(N300="nulová",J300,0)</f>
        <v>0</v>
      </c>
      <c r="BJ300" s="83" t="s">
        <v>85</v>
      </c>
      <c r="BK300" s="186">
        <f aca="true" t="shared" si="9" ref="BK300:BK314">ROUND(I300*H300,2)</f>
        <v>0</v>
      </c>
      <c r="BL300" s="83" t="s">
        <v>146</v>
      </c>
      <c r="BM300" s="185" t="s">
        <v>706</v>
      </c>
    </row>
    <row r="301" spans="1:65" s="95" customFormat="1" ht="36">
      <c r="A301" s="91"/>
      <c r="B301" s="92"/>
      <c r="C301" s="217" t="s">
        <v>337</v>
      </c>
      <c r="D301" s="217" t="s">
        <v>251</v>
      </c>
      <c r="E301" s="218" t="s">
        <v>639</v>
      </c>
      <c r="F301" s="219" t="s">
        <v>640</v>
      </c>
      <c r="G301" s="220" t="s">
        <v>171</v>
      </c>
      <c r="H301" s="221">
        <v>15</v>
      </c>
      <c r="I301" s="70"/>
      <c r="J301" s="222">
        <f t="shared" si="0"/>
        <v>0</v>
      </c>
      <c r="K301" s="219" t="s">
        <v>145</v>
      </c>
      <c r="L301" s="223"/>
      <c r="M301" s="224" t="s">
        <v>1</v>
      </c>
      <c r="N301" s="225" t="s">
        <v>44</v>
      </c>
      <c r="O301" s="183">
        <v>0</v>
      </c>
      <c r="P301" s="183">
        <f t="shared" si="1"/>
        <v>0</v>
      </c>
      <c r="Q301" s="183">
        <v>0.0325</v>
      </c>
      <c r="R301" s="183">
        <f t="shared" si="2"/>
        <v>0.48750000000000004</v>
      </c>
      <c r="S301" s="183">
        <v>0</v>
      </c>
      <c r="T301" s="184">
        <f t="shared" si="3"/>
        <v>0</v>
      </c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R301" s="185" t="s">
        <v>187</v>
      </c>
      <c r="AT301" s="185" t="s">
        <v>251</v>
      </c>
      <c r="AU301" s="185" t="s">
        <v>87</v>
      </c>
      <c r="AY301" s="83" t="s">
        <v>139</v>
      </c>
      <c r="BE301" s="186">
        <f t="shared" si="4"/>
        <v>0</v>
      </c>
      <c r="BF301" s="186">
        <f t="shared" si="5"/>
        <v>0</v>
      </c>
      <c r="BG301" s="186">
        <f t="shared" si="6"/>
        <v>0</v>
      </c>
      <c r="BH301" s="186">
        <f t="shared" si="7"/>
        <v>0</v>
      </c>
      <c r="BI301" s="186">
        <f t="shared" si="8"/>
        <v>0</v>
      </c>
      <c r="BJ301" s="83" t="s">
        <v>85</v>
      </c>
      <c r="BK301" s="186">
        <f t="shared" si="9"/>
        <v>0</v>
      </c>
      <c r="BL301" s="83" t="s">
        <v>146</v>
      </c>
      <c r="BM301" s="185" t="s">
        <v>707</v>
      </c>
    </row>
    <row r="302" spans="1:65" s="95" customFormat="1" ht="24">
      <c r="A302" s="91"/>
      <c r="B302" s="92"/>
      <c r="C302" s="217" t="s">
        <v>342</v>
      </c>
      <c r="D302" s="217" t="s">
        <v>251</v>
      </c>
      <c r="E302" s="218" t="s">
        <v>642</v>
      </c>
      <c r="F302" s="219" t="s">
        <v>643</v>
      </c>
      <c r="G302" s="220" t="s">
        <v>297</v>
      </c>
      <c r="H302" s="221">
        <v>3</v>
      </c>
      <c r="I302" s="70"/>
      <c r="J302" s="222">
        <f t="shared" si="0"/>
        <v>0</v>
      </c>
      <c r="K302" s="219" t="s">
        <v>145</v>
      </c>
      <c r="L302" s="223"/>
      <c r="M302" s="224" t="s">
        <v>1</v>
      </c>
      <c r="N302" s="225" t="s">
        <v>44</v>
      </c>
      <c r="O302" s="183">
        <v>0</v>
      </c>
      <c r="P302" s="183">
        <f t="shared" si="1"/>
        <v>0</v>
      </c>
      <c r="Q302" s="183">
        <v>0.00013</v>
      </c>
      <c r="R302" s="183">
        <f t="shared" si="2"/>
        <v>0.00038999999999999994</v>
      </c>
      <c r="S302" s="183">
        <v>0</v>
      </c>
      <c r="T302" s="184">
        <f t="shared" si="3"/>
        <v>0</v>
      </c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R302" s="185" t="s">
        <v>187</v>
      </c>
      <c r="AT302" s="185" t="s">
        <v>251</v>
      </c>
      <c r="AU302" s="185" t="s">
        <v>87</v>
      </c>
      <c r="AY302" s="83" t="s">
        <v>139</v>
      </c>
      <c r="BE302" s="186">
        <f t="shared" si="4"/>
        <v>0</v>
      </c>
      <c r="BF302" s="186">
        <f t="shared" si="5"/>
        <v>0</v>
      </c>
      <c r="BG302" s="186">
        <f t="shared" si="6"/>
        <v>0</v>
      </c>
      <c r="BH302" s="186">
        <f t="shared" si="7"/>
        <v>0</v>
      </c>
      <c r="BI302" s="186">
        <f t="shared" si="8"/>
        <v>0</v>
      </c>
      <c r="BJ302" s="83" t="s">
        <v>85</v>
      </c>
      <c r="BK302" s="186">
        <f t="shared" si="9"/>
        <v>0</v>
      </c>
      <c r="BL302" s="83" t="s">
        <v>146</v>
      </c>
      <c r="BM302" s="185" t="s">
        <v>708</v>
      </c>
    </row>
    <row r="303" spans="1:65" s="95" customFormat="1" ht="49.15" customHeight="1">
      <c r="A303" s="91"/>
      <c r="B303" s="92"/>
      <c r="C303" s="175">
        <v>39</v>
      </c>
      <c r="D303" s="175" t="s">
        <v>141</v>
      </c>
      <c r="E303" s="176" t="s">
        <v>1375</v>
      </c>
      <c r="F303" s="177" t="s">
        <v>720</v>
      </c>
      <c r="G303" s="178" t="s">
        <v>297</v>
      </c>
      <c r="H303" s="179">
        <v>1</v>
      </c>
      <c r="I303" s="69"/>
      <c r="J303" s="180">
        <f t="shared" si="0"/>
        <v>0</v>
      </c>
      <c r="K303" s="177" t="s">
        <v>967</v>
      </c>
      <c r="L303" s="92"/>
      <c r="M303" s="181" t="s">
        <v>1</v>
      </c>
      <c r="N303" s="182" t="s">
        <v>44</v>
      </c>
      <c r="O303" s="183">
        <v>0.4</v>
      </c>
      <c r="P303" s="183">
        <f t="shared" si="1"/>
        <v>0.4</v>
      </c>
      <c r="Q303" s="183">
        <v>0.00021</v>
      </c>
      <c r="R303" s="183">
        <f t="shared" si="2"/>
        <v>0.00021</v>
      </c>
      <c r="S303" s="183">
        <v>0</v>
      </c>
      <c r="T303" s="184">
        <f t="shared" si="3"/>
        <v>0</v>
      </c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R303" s="185" t="s">
        <v>146</v>
      </c>
      <c r="AT303" s="185" t="s">
        <v>141</v>
      </c>
      <c r="AU303" s="185" t="s">
        <v>87</v>
      </c>
      <c r="AY303" s="83" t="s">
        <v>139</v>
      </c>
      <c r="BE303" s="186">
        <f t="shared" si="4"/>
        <v>0</v>
      </c>
      <c r="BF303" s="186">
        <f t="shared" si="5"/>
        <v>0</v>
      </c>
      <c r="BG303" s="186">
        <f t="shared" si="6"/>
        <v>0</v>
      </c>
      <c r="BH303" s="186">
        <f t="shared" si="7"/>
        <v>0</v>
      </c>
      <c r="BI303" s="186">
        <f t="shared" si="8"/>
        <v>0</v>
      </c>
      <c r="BJ303" s="83" t="s">
        <v>85</v>
      </c>
      <c r="BK303" s="186">
        <f t="shared" si="9"/>
        <v>0</v>
      </c>
      <c r="BL303" s="83" t="s">
        <v>146</v>
      </c>
      <c r="BM303" s="185" t="s">
        <v>1377</v>
      </c>
    </row>
    <row r="304" spans="1:65" s="95" customFormat="1" ht="28.5" customHeight="1">
      <c r="A304" s="91"/>
      <c r="B304" s="92"/>
      <c r="C304" s="217">
        <v>40</v>
      </c>
      <c r="D304" s="217" t="s">
        <v>251</v>
      </c>
      <c r="E304" s="218" t="s">
        <v>1378</v>
      </c>
      <c r="F304" s="219" t="s">
        <v>1561</v>
      </c>
      <c r="G304" s="220" t="s">
        <v>297</v>
      </c>
      <c r="H304" s="221">
        <v>1</v>
      </c>
      <c r="I304" s="70"/>
      <c r="J304" s="222">
        <f t="shared" si="0"/>
        <v>0</v>
      </c>
      <c r="K304" s="219" t="s">
        <v>1</v>
      </c>
      <c r="L304" s="223"/>
      <c r="M304" s="224" t="s">
        <v>1</v>
      </c>
      <c r="N304" s="225" t="s">
        <v>44</v>
      </c>
      <c r="O304" s="183">
        <v>0</v>
      </c>
      <c r="P304" s="183">
        <f t="shared" si="1"/>
        <v>0</v>
      </c>
      <c r="Q304" s="183">
        <v>0.0069</v>
      </c>
      <c r="R304" s="183">
        <f t="shared" si="2"/>
        <v>0.0069</v>
      </c>
      <c r="S304" s="183">
        <v>0</v>
      </c>
      <c r="T304" s="184">
        <f t="shared" si="3"/>
        <v>0</v>
      </c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R304" s="185" t="s">
        <v>187</v>
      </c>
      <c r="AT304" s="185" t="s">
        <v>251</v>
      </c>
      <c r="AU304" s="185" t="s">
        <v>87</v>
      </c>
      <c r="AY304" s="83" t="s">
        <v>139</v>
      </c>
      <c r="BE304" s="186">
        <f t="shared" si="4"/>
        <v>0</v>
      </c>
      <c r="BF304" s="186">
        <f t="shared" si="5"/>
        <v>0</v>
      </c>
      <c r="BG304" s="186">
        <f t="shared" si="6"/>
        <v>0</v>
      </c>
      <c r="BH304" s="186">
        <f t="shared" si="7"/>
        <v>0</v>
      </c>
      <c r="BI304" s="186">
        <f t="shared" si="8"/>
        <v>0</v>
      </c>
      <c r="BJ304" s="83" t="s">
        <v>85</v>
      </c>
      <c r="BK304" s="186">
        <f t="shared" si="9"/>
        <v>0</v>
      </c>
      <c r="BL304" s="83" t="s">
        <v>146</v>
      </c>
      <c r="BM304" s="185" t="s">
        <v>1380</v>
      </c>
    </row>
    <row r="305" spans="1:65" s="95" customFormat="1" ht="48">
      <c r="A305" s="91"/>
      <c r="B305" s="92"/>
      <c r="C305" s="175">
        <v>41</v>
      </c>
      <c r="D305" s="175" t="s">
        <v>141</v>
      </c>
      <c r="E305" s="176" t="s">
        <v>709</v>
      </c>
      <c r="F305" s="177" t="s">
        <v>710</v>
      </c>
      <c r="G305" s="178" t="s">
        <v>297</v>
      </c>
      <c r="H305" s="179">
        <v>2</v>
      </c>
      <c r="I305" s="69"/>
      <c r="J305" s="180">
        <f t="shared" si="0"/>
        <v>0</v>
      </c>
      <c r="K305" s="177" t="s">
        <v>145</v>
      </c>
      <c r="L305" s="92"/>
      <c r="M305" s="181" t="s">
        <v>1</v>
      </c>
      <c r="N305" s="182" t="s">
        <v>44</v>
      </c>
      <c r="O305" s="183">
        <v>1.981</v>
      </c>
      <c r="P305" s="183">
        <f t="shared" si="1"/>
        <v>3.962</v>
      </c>
      <c r="Q305" s="183">
        <v>0</v>
      </c>
      <c r="R305" s="183">
        <f t="shared" si="2"/>
        <v>0</v>
      </c>
      <c r="S305" s="183">
        <v>0</v>
      </c>
      <c r="T305" s="184">
        <f t="shared" si="3"/>
        <v>0</v>
      </c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R305" s="185" t="s">
        <v>146</v>
      </c>
      <c r="AT305" s="185" t="s">
        <v>141</v>
      </c>
      <c r="AU305" s="185" t="s">
        <v>87</v>
      </c>
      <c r="AY305" s="83" t="s">
        <v>139</v>
      </c>
      <c r="BE305" s="186">
        <f t="shared" si="4"/>
        <v>0</v>
      </c>
      <c r="BF305" s="186">
        <f t="shared" si="5"/>
        <v>0</v>
      </c>
      <c r="BG305" s="186">
        <f t="shared" si="6"/>
        <v>0</v>
      </c>
      <c r="BH305" s="186">
        <f t="shared" si="7"/>
        <v>0</v>
      </c>
      <c r="BI305" s="186">
        <f t="shared" si="8"/>
        <v>0</v>
      </c>
      <c r="BJ305" s="83" t="s">
        <v>85</v>
      </c>
      <c r="BK305" s="186">
        <f t="shared" si="9"/>
        <v>0</v>
      </c>
      <c r="BL305" s="83" t="s">
        <v>146</v>
      </c>
      <c r="BM305" s="185" t="s">
        <v>711</v>
      </c>
    </row>
    <row r="306" spans="1:65" s="95" customFormat="1" ht="24">
      <c r="A306" s="91"/>
      <c r="B306" s="92"/>
      <c r="C306" s="217">
        <v>42</v>
      </c>
      <c r="D306" s="217" t="s">
        <v>251</v>
      </c>
      <c r="E306" s="218" t="s">
        <v>712</v>
      </c>
      <c r="F306" s="219" t="s">
        <v>713</v>
      </c>
      <c r="G306" s="220" t="s">
        <v>297</v>
      </c>
      <c r="H306" s="221">
        <v>1</v>
      </c>
      <c r="I306" s="70"/>
      <c r="J306" s="222">
        <f t="shared" si="0"/>
        <v>0</v>
      </c>
      <c r="K306" s="219" t="s">
        <v>145</v>
      </c>
      <c r="L306" s="223"/>
      <c r="M306" s="224" t="s">
        <v>1</v>
      </c>
      <c r="N306" s="225" t="s">
        <v>44</v>
      </c>
      <c r="O306" s="183">
        <v>0</v>
      </c>
      <c r="P306" s="183">
        <f t="shared" si="1"/>
        <v>0</v>
      </c>
      <c r="Q306" s="183">
        <v>0.0165</v>
      </c>
      <c r="R306" s="183">
        <f t="shared" si="2"/>
        <v>0.0165</v>
      </c>
      <c r="S306" s="183">
        <v>0</v>
      </c>
      <c r="T306" s="184">
        <f t="shared" si="3"/>
        <v>0</v>
      </c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R306" s="185" t="s">
        <v>187</v>
      </c>
      <c r="AT306" s="185" t="s">
        <v>251</v>
      </c>
      <c r="AU306" s="185" t="s">
        <v>87</v>
      </c>
      <c r="AY306" s="83" t="s">
        <v>139</v>
      </c>
      <c r="BE306" s="186">
        <f t="shared" si="4"/>
        <v>0</v>
      </c>
      <c r="BF306" s="186">
        <f t="shared" si="5"/>
        <v>0</v>
      </c>
      <c r="BG306" s="186">
        <f t="shared" si="6"/>
        <v>0</v>
      </c>
      <c r="BH306" s="186">
        <f t="shared" si="7"/>
        <v>0</v>
      </c>
      <c r="BI306" s="186">
        <f t="shared" si="8"/>
        <v>0</v>
      </c>
      <c r="BJ306" s="83" t="s">
        <v>85</v>
      </c>
      <c r="BK306" s="186">
        <f t="shared" si="9"/>
        <v>0</v>
      </c>
      <c r="BL306" s="83" t="s">
        <v>146</v>
      </c>
      <c r="BM306" s="185" t="s">
        <v>714</v>
      </c>
    </row>
    <row r="307" spans="1:65" s="95" customFormat="1" ht="24">
      <c r="A307" s="91"/>
      <c r="B307" s="92"/>
      <c r="C307" s="217">
        <v>43</v>
      </c>
      <c r="D307" s="217" t="s">
        <v>251</v>
      </c>
      <c r="E307" s="218" t="s">
        <v>715</v>
      </c>
      <c r="F307" s="219" t="s">
        <v>716</v>
      </c>
      <c r="G307" s="220" t="s">
        <v>297</v>
      </c>
      <c r="H307" s="221">
        <v>1</v>
      </c>
      <c r="I307" s="70"/>
      <c r="J307" s="222">
        <f t="shared" si="0"/>
        <v>0</v>
      </c>
      <c r="K307" s="219" t="s">
        <v>1</v>
      </c>
      <c r="L307" s="223"/>
      <c r="M307" s="224" t="s">
        <v>1</v>
      </c>
      <c r="N307" s="225" t="s">
        <v>44</v>
      </c>
      <c r="O307" s="183">
        <v>0</v>
      </c>
      <c r="P307" s="183">
        <f t="shared" si="1"/>
        <v>0</v>
      </c>
      <c r="Q307" s="183">
        <v>0.017</v>
      </c>
      <c r="R307" s="183">
        <f t="shared" si="2"/>
        <v>0.017</v>
      </c>
      <c r="S307" s="183">
        <v>0</v>
      </c>
      <c r="T307" s="184">
        <f t="shared" si="3"/>
        <v>0</v>
      </c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R307" s="185" t="s">
        <v>187</v>
      </c>
      <c r="AT307" s="185" t="s">
        <v>251</v>
      </c>
      <c r="AU307" s="185" t="s">
        <v>87</v>
      </c>
      <c r="AY307" s="83" t="s">
        <v>139</v>
      </c>
      <c r="BE307" s="186">
        <f t="shared" si="4"/>
        <v>0</v>
      </c>
      <c r="BF307" s="186">
        <f t="shared" si="5"/>
        <v>0</v>
      </c>
      <c r="BG307" s="186">
        <f t="shared" si="6"/>
        <v>0</v>
      </c>
      <c r="BH307" s="186">
        <f t="shared" si="7"/>
        <v>0</v>
      </c>
      <c r="BI307" s="186">
        <f t="shared" si="8"/>
        <v>0</v>
      </c>
      <c r="BJ307" s="83" t="s">
        <v>85</v>
      </c>
      <c r="BK307" s="186">
        <f t="shared" si="9"/>
        <v>0</v>
      </c>
      <c r="BL307" s="83" t="s">
        <v>146</v>
      </c>
      <c r="BM307" s="185" t="s">
        <v>717</v>
      </c>
    </row>
    <row r="308" spans="1:65" s="95" customFormat="1" ht="24">
      <c r="A308" s="91"/>
      <c r="B308" s="92"/>
      <c r="C308" s="217">
        <v>44</v>
      </c>
      <c r="D308" s="217" t="s">
        <v>251</v>
      </c>
      <c r="E308" s="218" t="s">
        <v>642</v>
      </c>
      <c r="F308" s="219" t="s">
        <v>643</v>
      </c>
      <c r="G308" s="220" t="s">
        <v>297</v>
      </c>
      <c r="H308" s="221">
        <v>2</v>
      </c>
      <c r="I308" s="70"/>
      <c r="J308" s="222">
        <f t="shared" si="0"/>
        <v>0</v>
      </c>
      <c r="K308" s="219" t="s">
        <v>145</v>
      </c>
      <c r="L308" s="223"/>
      <c r="M308" s="224" t="s">
        <v>1</v>
      </c>
      <c r="N308" s="225" t="s">
        <v>44</v>
      </c>
      <c r="O308" s="183">
        <v>0</v>
      </c>
      <c r="P308" s="183">
        <f t="shared" si="1"/>
        <v>0</v>
      </c>
      <c r="Q308" s="183">
        <v>0.00013</v>
      </c>
      <c r="R308" s="183">
        <f t="shared" si="2"/>
        <v>0.00026</v>
      </c>
      <c r="S308" s="183">
        <v>0</v>
      </c>
      <c r="T308" s="184">
        <f t="shared" si="3"/>
        <v>0</v>
      </c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R308" s="185" t="s">
        <v>187</v>
      </c>
      <c r="AT308" s="185" t="s">
        <v>251</v>
      </c>
      <c r="AU308" s="185" t="s">
        <v>87</v>
      </c>
      <c r="AY308" s="83" t="s">
        <v>139</v>
      </c>
      <c r="BE308" s="186">
        <f t="shared" si="4"/>
        <v>0</v>
      </c>
      <c r="BF308" s="186">
        <f t="shared" si="5"/>
        <v>0</v>
      </c>
      <c r="BG308" s="186">
        <f t="shared" si="6"/>
        <v>0</v>
      </c>
      <c r="BH308" s="186">
        <f t="shared" si="7"/>
        <v>0</v>
      </c>
      <c r="BI308" s="186">
        <f t="shared" si="8"/>
        <v>0</v>
      </c>
      <c r="BJ308" s="83" t="s">
        <v>85</v>
      </c>
      <c r="BK308" s="186">
        <f t="shared" si="9"/>
        <v>0</v>
      </c>
      <c r="BL308" s="83" t="s">
        <v>146</v>
      </c>
      <c r="BM308" s="185" t="s">
        <v>718</v>
      </c>
    </row>
    <row r="309" spans="1:65" s="95" customFormat="1" ht="55.5" customHeight="1">
      <c r="A309" s="91"/>
      <c r="B309" s="92"/>
      <c r="C309" s="175">
        <v>45</v>
      </c>
      <c r="D309" s="175" t="s">
        <v>141</v>
      </c>
      <c r="E309" s="176" t="s">
        <v>719</v>
      </c>
      <c r="F309" s="177" t="s">
        <v>720</v>
      </c>
      <c r="G309" s="178" t="s">
        <v>297</v>
      </c>
      <c r="H309" s="179">
        <v>1</v>
      </c>
      <c r="I309" s="69"/>
      <c r="J309" s="180">
        <f t="shared" si="0"/>
        <v>0</v>
      </c>
      <c r="K309" s="177" t="s">
        <v>145</v>
      </c>
      <c r="L309" s="92"/>
      <c r="M309" s="181" t="s">
        <v>1</v>
      </c>
      <c r="N309" s="182" t="s">
        <v>44</v>
      </c>
      <c r="O309" s="183">
        <v>0.467</v>
      </c>
      <c r="P309" s="183">
        <f t="shared" si="1"/>
        <v>0.467</v>
      </c>
      <c r="Q309" s="183">
        <v>0.00021</v>
      </c>
      <c r="R309" s="183">
        <f t="shared" si="2"/>
        <v>0.00021</v>
      </c>
      <c r="S309" s="183">
        <v>0</v>
      </c>
      <c r="T309" s="184">
        <f t="shared" si="3"/>
        <v>0</v>
      </c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R309" s="185" t="s">
        <v>146</v>
      </c>
      <c r="AT309" s="185" t="s">
        <v>141</v>
      </c>
      <c r="AU309" s="185" t="s">
        <v>87</v>
      </c>
      <c r="AY309" s="83" t="s">
        <v>139</v>
      </c>
      <c r="BE309" s="186">
        <f t="shared" si="4"/>
        <v>0</v>
      </c>
      <c r="BF309" s="186">
        <f t="shared" si="5"/>
        <v>0</v>
      </c>
      <c r="BG309" s="186">
        <f t="shared" si="6"/>
        <v>0</v>
      </c>
      <c r="BH309" s="186">
        <f t="shared" si="7"/>
        <v>0</v>
      </c>
      <c r="BI309" s="186">
        <f t="shared" si="8"/>
        <v>0</v>
      </c>
      <c r="BJ309" s="83" t="s">
        <v>85</v>
      </c>
      <c r="BK309" s="186">
        <f t="shared" si="9"/>
        <v>0</v>
      </c>
      <c r="BL309" s="83" t="s">
        <v>146</v>
      </c>
      <c r="BM309" s="185" t="s">
        <v>721</v>
      </c>
    </row>
    <row r="310" spans="1:65" s="95" customFormat="1" ht="24.2" customHeight="1">
      <c r="A310" s="91"/>
      <c r="B310" s="92"/>
      <c r="C310" s="217">
        <v>46</v>
      </c>
      <c r="D310" s="217" t="s">
        <v>251</v>
      </c>
      <c r="E310" s="218" t="s">
        <v>722</v>
      </c>
      <c r="F310" s="219" t="s">
        <v>723</v>
      </c>
      <c r="G310" s="220" t="s">
        <v>297</v>
      </c>
      <c r="H310" s="221">
        <v>2</v>
      </c>
      <c r="I310" s="70"/>
      <c r="J310" s="222">
        <f t="shared" si="0"/>
        <v>0</v>
      </c>
      <c r="K310" s="219" t="s">
        <v>1</v>
      </c>
      <c r="L310" s="223"/>
      <c r="M310" s="224" t="s">
        <v>1</v>
      </c>
      <c r="N310" s="225" t="s">
        <v>44</v>
      </c>
      <c r="O310" s="183">
        <v>0</v>
      </c>
      <c r="P310" s="183">
        <f t="shared" si="1"/>
        <v>0</v>
      </c>
      <c r="Q310" s="183">
        <v>0.01926</v>
      </c>
      <c r="R310" s="183">
        <f t="shared" si="2"/>
        <v>0.03852</v>
      </c>
      <c r="S310" s="183">
        <v>0</v>
      </c>
      <c r="T310" s="184">
        <f t="shared" si="3"/>
        <v>0</v>
      </c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R310" s="185" t="s">
        <v>187</v>
      </c>
      <c r="AT310" s="185" t="s">
        <v>251</v>
      </c>
      <c r="AU310" s="185" t="s">
        <v>87</v>
      </c>
      <c r="AY310" s="83" t="s">
        <v>139</v>
      </c>
      <c r="BE310" s="186">
        <f t="shared" si="4"/>
        <v>0</v>
      </c>
      <c r="BF310" s="186">
        <f t="shared" si="5"/>
        <v>0</v>
      </c>
      <c r="BG310" s="186">
        <f t="shared" si="6"/>
        <v>0</v>
      </c>
      <c r="BH310" s="186">
        <f t="shared" si="7"/>
        <v>0</v>
      </c>
      <c r="BI310" s="186">
        <f t="shared" si="8"/>
        <v>0</v>
      </c>
      <c r="BJ310" s="83" t="s">
        <v>85</v>
      </c>
      <c r="BK310" s="186">
        <f t="shared" si="9"/>
        <v>0</v>
      </c>
      <c r="BL310" s="83" t="s">
        <v>146</v>
      </c>
      <c r="BM310" s="185" t="s">
        <v>724</v>
      </c>
    </row>
    <row r="311" spans="1:65" s="95" customFormat="1" ht="48">
      <c r="A311" s="91"/>
      <c r="B311" s="92"/>
      <c r="C311" s="175">
        <v>47</v>
      </c>
      <c r="D311" s="175" t="s">
        <v>141</v>
      </c>
      <c r="E311" s="176" t="s">
        <v>725</v>
      </c>
      <c r="F311" s="177" t="s">
        <v>726</v>
      </c>
      <c r="G311" s="178" t="s">
        <v>297</v>
      </c>
      <c r="H311" s="179">
        <v>1</v>
      </c>
      <c r="I311" s="69"/>
      <c r="J311" s="180">
        <f t="shared" si="0"/>
        <v>0</v>
      </c>
      <c r="K311" s="177" t="s">
        <v>145</v>
      </c>
      <c r="L311" s="92"/>
      <c r="M311" s="181" t="s">
        <v>1</v>
      </c>
      <c r="N311" s="182" t="s">
        <v>44</v>
      </c>
      <c r="O311" s="183">
        <v>0.7</v>
      </c>
      <c r="P311" s="183">
        <f t="shared" si="1"/>
        <v>0.7</v>
      </c>
      <c r="Q311" s="183">
        <v>0.0001</v>
      </c>
      <c r="R311" s="183">
        <f t="shared" si="2"/>
        <v>0.0001</v>
      </c>
      <c r="S311" s="183">
        <v>0</v>
      </c>
      <c r="T311" s="184">
        <f t="shared" si="3"/>
        <v>0</v>
      </c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R311" s="185" t="s">
        <v>146</v>
      </c>
      <c r="AT311" s="185" t="s">
        <v>141</v>
      </c>
      <c r="AU311" s="185" t="s">
        <v>87</v>
      </c>
      <c r="AY311" s="83" t="s">
        <v>139</v>
      </c>
      <c r="BE311" s="186">
        <f t="shared" si="4"/>
        <v>0</v>
      </c>
      <c r="BF311" s="186">
        <f t="shared" si="5"/>
        <v>0</v>
      </c>
      <c r="BG311" s="186">
        <f t="shared" si="6"/>
        <v>0</v>
      </c>
      <c r="BH311" s="186">
        <f t="shared" si="7"/>
        <v>0</v>
      </c>
      <c r="BI311" s="186">
        <f t="shared" si="8"/>
        <v>0</v>
      </c>
      <c r="BJ311" s="83" t="s">
        <v>85</v>
      </c>
      <c r="BK311" s="186">
        <f t="shared" si="9"/>
        <v>0</v>
      </c>
      <c r="BL311" s="83" t="s">
        <v>146</v>
      </c>
      <c r="BM311" s="185" t="s">
        <v>727</v>
      </c>
    </row>
    <row r="312" spans="1:65" s="95" customFormat="1" ht="24">
      <c r="A312" s="91"/>
      <c r="B312" s="92"/>
      <c r="C312" s="217">
        <v>48</v>
      </c>
      <c r="D312" s="217" t="s">
        <v>251</v>
      </c>
      <c r="E312" s="218" t="s">
        <v>728</v>
      </c>
      <c r="F312" s="219" t="s">
        <v>729</v>
      </c>
      <c r="G312" s="220" t="s">
        <v>297</v>
      </c>
      <c r="H312" s="221">
        <v>1</v>
      </c>
      <c r="I312" s="70"/>
      <c r="J312" s="222">
        <f t="shared" si="0"/>
        <v>0</v>
      </c>
      <c r="K312" s="219" t="s">
        <v>145</v>
      </c>
      <c r="L312" s="223"/>
      <c r="M312" s="224" t="s">
        <v>1</v>
      </c>
      <c r="N312" s="225" t="s">
        <v>44</v>
      </c>
      <c r="O312" s="183">
        <v>0</v>
      </c>
      <c r="P312" s="183">
        <f t="shared" si="1"/>
        <v>0</v>
      </c>
      <c r="Q312" s="183">
        <v>0.011</v>
      </c>
      <c r="R312" s="183">
        <f t="shared" si="2"/>
        <v>0.011</v>
      </c>
      <c r="S312" s="183">
        <v>0</v>
      </c>
      <c r="T312" s="184">
        <f t="shared" si="3"/>
        <v>0</v>
      </c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R312" s="185" t="s">
        <v>187</v>
      </c>
      <c r="AT312" s="185" t="s">
        <v>251</v>
      </c>
      <c r="AU312" s="185" t="s">
        <v>87</v>
      </c>
      <c r="AY312" s="83" t="s">
        <v>139</v>
      </c>
      <c r="BE312" s="186">
        <f t="shared" si="4"/>
        <v>0</v>
      </c>
      <c r="BF312" s="186">
        <f t="shared" si="5"/>
        <v>0</v>
      </c>
      <c r="BG312" s="186">
        <f t="shared" si="6"/>
        <v>0</v>
      </c>
      <c r="BH312" s="186">
        <f t="shared" si="7"/>
        <v>0</v>
      </c>
      <c r="BI312" s="186">
        <f t="shared" si="8"/>
        <v>0</v>
      </c>
      <c r="BJ312" s="83" t="s">
        <v>85</v>
      </c>
      <c r="BK312" s="186">
        <f t="shared" si="9"/>
        <v>0</v>
      </c>
      <c r="BL312" s="83" t="s">
        <v>146</v>
      </c>
      <c r="BM312" s="185" t="s">
        <v>730</v>
      </c>
    </row>
    <row r="313" spans="1:65" s="95" customFormat="1" ht="24">
      <c r="A313" s="91"/>
      <c r="B313" s="92"/>
      <c r="C313" s="217">
        <v>49</v>
      </c>
      <c r="D313" s="217" t="s">
        <v>251</v>
      </c>
      <c r="E313" s="218" t="s">
        <v>642</v>
      </c>
      <c r="F313" s="219" t="s">
        <v>643</v>
      </c>
      <c r="G313" s="220" t="s">
        <v>297</v>
      </c>
      <c r="H313" s="221">
        <v>1</v>
      </c>
      <c r="I313" s="70"/>
      <c r="J313" s="222">
        <f t="shared" si="0"/>
        <v>0</v>
      </c>
      <c r="K313" s="219" t="s">
        <v>145</v>
      </c>
      <c r="L313" s="223"/>
      <c r="M313" s="224" t="s">
        <v>1</v>
      </c>
      <c r="N313" s="225" t="s">
        <v>44</v>
      </c>
      <c r="O313" s="183">
        <v>0</v>
      </c>
      <c r="P313" s="183">
        <f t="shared" si="1"/>
        <v>0</v>
      </c>
      <c r="Q313" s="183">
        <v>0.00013</v>
      </c>
      <c r="R313" s="183">
        <f t="shared" si="2"/>
        <v>0.00013</v>
      </c>
      <c r="S313" s="183">
        <v>0</v>
      </c>
      <c r="T313" s="184">
        <f t="shared" si="3"/>
        <v>0</v>
      </c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R313" s="185" t="s">
        <v>187</v>
      </c>
      <c r="AT313" s="185" t="s">
        <v>251</v>
      </c>
      <c r="AU313" s="185" t="s">
        <v>87</v>
      </c>
      <c r="AY313" s="83" t="s">
        <v>139</v>
      </c>
      <c r="BE313" s="186">
        <f t="shared" si="4"/>
        <v>0</v>
      </c>
      <c r="BF313" s="186">
        <f t="shared" si="5"/>
        <v>0</v>
      </c>
      <c r="BG313" s="186">
        <f t="shared" si="6"/>
        <v>0</v>
      </c>
      <c r="BH313" s="186">
        <f t="shared" si="7"/>
        <v>0</v>
      </c>
      <c r="BI313" s="186">
        <f t="shared" si="8"/>
        <v>0</v>
      </c>
      <c r="BJ313" s="83" t="s">
        <v>85</v>
      </c>
      <c r="BK313" s="186">
        <f t="shared" si="9"/>
        <v>0</v>
      </c>
      <c r="BL313" s="83" t="s">
        <v>146</v>
      </c>
      <c r="BM313" s="185" t="s">
        <v>731</v>
      </c>
    </row>
    <row r="314" spans="1:65" s="95" customFormat="1" ht="36">
      <c r="A314" s="91"/>
      <c r="B314" s="92"/>
      <c r="C314" s="175" t="s">
        <v>396</v>
      </c>
      <c r="D314" s="175" t="s">
        <v>141</v>
      </c>
      <c r="E314" s="176" t="s">
        <v>417</v>
      </c>
      <c r="F314" s="177" t="s">
        <v>418</v>
      </c>
      <c r="G314" s="178" t="s">
        <v>171</v>
      </c>
      <c r="H314" s="179">
        <v>2</v>
      </c>
      <c r="I314" s="69"/>
      <c r="J314" s="180">
        <f t="shared" si="0"/>
        <v>0</v>
      </c>
      <c r="K314" s="177" t="s">
        <v>145</v>
      </c>
      <c r="L314" s="92"/>
      <c r="M314" s="181" t="s">
        <v>1</v>
      </c>
      <c r="N314" s="182" t="s">
        <v>44</v>
      </c>
      <c r="O314" s="183">
        <v>0.171</v>
      </c>
      <c r="P314" s="183">
        <f t="shared" si="1"/>
        <v>0.342</v>
      </c>
      <c r="Q314" s="183">
        <v>0</v>
      </c>
      <c r="R314" s="183">
        <f t="shared" si="2"/>
        <v>0</v>
      </c>
      <c r="S314" s="183">
        <v>0</v>
      </c>
      <c r="T314" s="184">
        <f t="shared" si="3"/>
        <v>0</v>
      </c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R314" s="185" t="s">
        <v>146</v>
      </c>
      <c r="AT314" s="185" t="s">
        <v>141</v>
      </c>
      <c r="AU314" s="185" t="s">
        <v>87</v>
      </c>
      <c r="AY314" s="83" t="s">
        <v>139</v>
      </c>
      <c r="BE314" s="186">
        <f t="shared" si="4"/>
        <v>0</v>
      </c>
      <c r="BF314" s="186">
        <f t="shared" si="5"/>
        <v>0</v>
      </c>
      <c r="BG314" s="186">
        <f t="shared" si="6"/>
        <v>0</v>
      </c>
      <c r="BH314" s="186">
        <f t="shared" si="7"/>
        <v>0</v>
      </c>
      <c r="BI314" s="186">
        <f t="shared" si="8"/>
        <v>0</v>
      </c>
      <c r="BJ314" s="83" t="s">
        <v>85</v>
      </c>
      <c r="BK314" s="186">
        <f t="shared" si="9"/>
        <v>0</v>
      </c>
      <c r="BL314" s="83" t="s">
        <v>146</v>
      </c>
      <c r="BM314" s="185" t="s">
        <v>732</v>
      </c>
    </row>
    <row r="315" spans="2:51" s="201" customFormat="1" ht="12">
      <c r="B315" s="202"/>
      <c r="D315" s="189" t="s">
        <v>148</v>
      </c>
      <c r="E315" s="203" t="s">
        <v>1</v>
      </c>
      <c r="F315" s="204" t="s">
        <v>681</v>
      </c>
      <c r="H315" s="203" t="s">
        <v>1</v>
      </c>
      <c r="I315" s="235"/>
      <c r="L315" s="202"/>
      <c r="M315" s="205"/>
      <c r="N315" s="206"/>
      <c r="O315" s="206"/>
      <c r="P315" s="206"/>
      <c r="Q315" s="206"/>
      <c r="R315" s="206"/>
      <c r="S315" s="206"/>
      <c r="T315" s="207"/>
      <c r="AT315" s="203" t="s">
        <v>148</v>
      </c>
      <c r="AU315" s="203" t="s">
        <v>87</v>
      </c>
      <c r="AV315" s="201" t="s">
        <v>85</v>
      </c>
      <c r="AW315" s="201" t="s">
        <v>34</v>
      </c>
      <c r="AX315" s="201" t="s">
        <v>78</v>
      </c>
      <c r="AY315" s="203" t="s">
        <v>139</v>
      </c>
    </row>
    <row r="316" spans="2:51" s="187" customFormat="1" ht="12">
      <c r="B316" s="188"/>
      <c r="D316" s="189" t="s">
        <v>148</v>
      </c>
      <c r="E316" s="190" t="s">
        <v>1</v>
      </c>
      <c r="F316" s="191" t="s">
        <v>733</v>
      </c>
      <c r="H316" s="192">
        <v>2</v>
      </c>
      <c r="I316" s="233"/>
      <c r="L316" s="188"/>
      <c r="M316" s="193"/>
      <c r="N316" s="194"/>
      <c r="O316" s="194"/>
      <c r="P316" s="194"/>
      <c r="Q316" s="194"/>
      <c r="R316" s="194"/>
      <c r="S316" s="194"/>
      <c r="T316" s="195"/>
      <c r="AT316" s="190" t="s">
        <v>148</v>
      </c>
      <c r="AU316" s="190" t="s">
        <v>87</v>
      </c>
      <c r="AV316" s="187" t="s">
        <v>87</v>
      </c>
      <c r="AW316" s="187" t="s">
        <v>34</v>
      </c>
      <c r="AX316" s="187" t="s">
        <v>85</v>
      </c>
      <c r="AY316" s="190" t="s">
        <v>139</v>
      </c>
    </row>
    <row r="317" spans="1:65" s="95" customFormat="1" ht="16.5" customHeight="1">
      <c r="A317" s="91"/>
      <c r="B317" s="92"/>
      <c r="C317" s="217" t="s">
        <v>400</v>
      </c>
      <c r="D317" s="217" t="s">
        <v>251</v>
      </c>
      <c r="E317" s="218" t="s">
        <v>422</v>
      </c>
      <c r="F317" s="219" t="s">
        <v>423</v>
      </c>
      <c r="G317" s="220" t="s">
        <v>171</v>
      </c>
      <c r="H317" s="221">
        <v>2</v>
      </c>
      <c r="I317" s="70"/>
      <c r="J317" s="222">
        <f>ROUND(I317*H317,2)</f>
        <v>0</v>
      </c>
      <c r="K317" s="219" t="s">
        <v>1</v>
      </c>
      <c r="L317" s="223"/>
      <c r="M317" s="224" t="s">
        <v>1</v>
      </c>
      <c r="N317" s="225" t="s">
        <v>44</v>
      </c>
      <c r="O317" s="183">
        <v>0</v>
      </c>
      <c r="P317" s="183">
        <f>O317*H317</f>
        <v>0</v>
      </c>
      <c r="Q317" s="183">
        <v>0.00028</v>
      </c>
      <c r="R317" s="183">
        <f>Q317*H317</f>
        <v>0.00056</v>
      </c>
      <c r="S317" s="183">
        <v>0</v>
      </c>
      <c r="T317" s="184">
        <f>S317*H317</f>
        <v>0</v>
      </c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R317" s="185" t="s">
        <v>187</v>
      </c>
      <c r="AT317" s="185" t="s">
        <v>251</v>
      </c>
      <c r="AU317" s="185" t="s">
        <v>87</v>
      </c>
      <c r="AY317" s="83" t="s">
        <v>139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83" t="s">
        <v>85</v>
      </c>
      <c r="BK317" s="186">
        <f>ROUND(I317*H317,2)</f>
        <v>0</v>
      </c>
      <c r="BL317" s="83" t="s">
        <v>146</v>
      </c>
      <c r="BM317" s="185" t="s">
        <v>734</v>
      </c>
    </row>
    <row r="318" spans="2:51" s="201" customFormat="1" ht="12">
      <c r="B318" s="202"/>
      <c r="D318" s="189" t="s">
        <v>148</v>
      </c>
      <c r="E318" s="203" t="s">
        <v>1</v>
      </c>
      <c r="F318" s="204" t="s">
        <v>361</v>
      </c>
      <c r="H318" s="203" t="s">
        <v>1</v>
      </c>
      <c r="I318" s="235"/>
      <c r="L318" s="202"/>
      <c r="M318" s="205"/>
      <c r="N318" s="206"/>
      <c r="O318" s="206"/>
      <c r="P318" s="206"/>
      <c r="Q318" s="206"/>
      <c r="R318" s="206"/>
      <c r="S318" s="206"/>
      <c r="T318" s="207"/>
      <c r="AT318" s="203" t="s">
        <v>148</v>
      </c>
      <c r="AU318" s="203" t="s">
        <v>87</v>
      </c>
      <c r="AV318" s="201" t="s">
        <v>85</v>
      </c>
      <c r="AW318" s="201" t="s">
        <v>34</v>
      </c>
      <c r="AX318" s="201" t="s">
        <v>78</v>
      </c>
      <c r="AY318" s="203" t="s">
        <v>139</v>
      </c>
    </row>
    <row r="319" spans="2:51" s="187" customFormat="1" ht="12">
      <c r="B319" s="188"/>
      <c r="D319" s="189" t="s">
        <v>148</v>
      </c>
      <c r="E319" s="190" t="s">
        <v>1</v>
      </c>
      <c r="F319" s="191" t="s">
        <v>733</v>
      </c>
      <c r="H319" s="192">
        <v>2</v>
      </c>
      <c r="I319" s="233"/>
      <c r="L319" s="188"/>
      <c r="M319" s="193"/>
      <c r="N319" s="194"/>
      <c r="O319" s="194"/>
      <c r="P319" s="194"/>
      <c r="Q319" s="194"/>
      <c r="R319" s="194"/>
      <c r="S319" s="194"/>
      <c r="T319" s="195"/>
      <c r="AT319" s="190" t="s">
        <v>148</v>
      </c>
      <c r="AU319" s="190" t="s">
        <v>87</v>
      </c>
      <c r="AV319" s="187" t="s">
        <v>87</v>
      </c>
      <c r="AW319" s="187" t="s">
        <v>34</v>
      </c>
      <c r="AX319" s="187" t="s">
        <v>85</v>
      </c>
      <c r="AY319" s="190" t="s">
        <v>139</v>
      </c>
    </row>
    <row r="320" spans="1:65" s="95" customFormat="1" ht="36">
      <c r="A320" s="91"/>
      <c r="B320" s="92"/>
      <c r="C320" s="175" t="s">
        <v>404</v>
      </c>
      <c r="D320" s="175" t="s">
        <v>141</v>
      </c>
      <c r="E320" s="176" t="s">
        <v>735</v>
      </c>
      <c r="F320" s="177" t="s">
        <v>736</v>
      </c>
      <c r="G320" s="178" t="s">
        <v>171</v>
      </c>
      <c r="H320" s="179">
        <v>9.5</v>
      </c>
      <c r="I320" s="69"/>
      <c r="J320" s="180">
        <f>ROUND(I320*H320,2)</f>
        <v>0</v>
      </c>
      <c r="K320" s="177" t="s">
        <v>145</v>
      </c>
      <c r="L320" s="92"/>
      <c r="M320" s="181" t="s">
        <v>1</v>
      </c>
      <c r="N320" s="182" t="s">
        <v>44</v>
      </c>
      <c r="O320" s="183">
        <v>0.24</v>
      </c>
      <c r="P320" s="183">
        <f>O320*H320</f>
        <v>2.28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R320" s="185" t="s">
        <v>146</v>
      </c>
      <c r="AT320" s="185" t="s">
        <v>141</v>
      </c>
      <c r="AU320" s="185" t="s">
        <v>87</v>
      </c>
      <c r="AY320" s="83" t="s">
        <v>139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83" t="s">
        <v>85</v>
      </c>
      <c r="BK320" s="186">
        <f>ROUND(I320*H320,2)</f>
        <v>0</v>
      </c>
      <c r="BL320" s="83" t="s">
        <v>146</v>
      </c>
      <c r="BM320" s="185" t="s">
        <v>737</v>
      </c>
    </row>
    <row r="321" spans="1:65" s="95" customFormat="1" ht="21.75" customHeight="1">
      <c r="A321" s="91"/>
      <c r="B321" s="92"/>
      <c r="C321" s="217" t="s">
        <v>408</v>
      </c>
      <c r="D321" s="217" t="s">
        <v>251</v>
      </c>
      <c r="E321" s="218" t="s">
        <v>738</v>
      </c>
      <c r="F321" s="219" t="s">
        <v>739</v>
      </c>
      <c r="G321" s="220" t="s">
        <v>171</v>
      </c>
      <c r="H321" s="221">
        <v>9.5</v>
      </c>
      <c r="I321" s="70"/>
      <c r="J321" s="222">
        <f>ROUND(I321*H321,2)</f>
        <v>0</v>
      </c>
      <c r="K321" s="219" t="s">
        <v>145</v>
      </c>
      <c r="L321" s="223"/>
      <c r="M321" s="224" t="s">
        <v>1</v>
      </c>
      <c r="N321" s="225" t="s">
        <v>44</v>
      </c>
      <c r="O321" s="183">
        <v>0</v>
      </c>
      <c r="P321" s="183">
        <f>O321*H321</f>
        <v>0</v>
      </c>
      <c r="Q321" s="183">
        <v>0.00106</v>
      </c>
      <c r="R321" s="183">
        <f>Q321*H321</f>
        <v>0.010069999999999999</v>
      </c>
      <c r="S321" s="183">
        <v>0</v>
      </c>
      <c r="T321" s="184">
        <f>S321*H321</f>
        <v>0</v>
      </c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R321" s="185" t="s">
        <v>187</v>
      </c>
      <c r="AT321" s="185" t="s">
        <v>251</v>
      </c>
      <c r="AU321" s="185" t="s">
        <v>87</v>
      </c>
      <c r="AY321" s="83" t="s">
        <v>139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83" t="s">
        <v>85</v>
      </c>
      <c r="BK321" s="186">
        <f>ROUND(I321*H321,2)</f>
        <v>0</v>
      </c>
      <c r="BL321" s="83" t="s">
        <v>146</v>
      </c>
      <c r="BM321" s="185" t="s">
        <v>740</v>
      </c>
    </row>
    <row r="322" spans="1:65" s="95" customFormat="1" ht="36">
      <c r="A322" s="91"/>
      <c r="B322" s="92"/>
      <c r="C322" s="175" t="s">
        <v>412</v>
      </c>
      <c r="D322" s="175" t="s">
        <v>141</v>
      </c>
      <c r="E322" s="176" t="s">
        <v>426</v>
      </c>
      <c r="F322" s="177" t="s">
        <v>427</v>
      </c>
      <c r="G322" s="178" t="s">
        <v>171</v>
      </c>
      <c r="H322" s="179">
        <v>3</v>
      </c>
      <c r="I322" s="69"/>
      <c r="J322" s="180">
        <f>ROUND(I322*H322,2)</f>
        <v>0</v>
      </c>
      <c r="K322" s="177" t="s">
        <v>145</v>
      </c>
      <c r="L322" s="92"/>
      <c r="M322" s="181" t="s">
        <v>1</v>
      </c>
      <c r="N322" s="182" t="s">
        <v>44</v>
      </c>
      <c r="O322" s="183">
        <v>0.248</v>
      </c>
      <c r="P322" s="183">
        <f>O322*H322</f>
        <v>0.744</v>
      </c>
      <c r="Q322" s="183">
        <v>0</v>
      </c>
      <c r="R322" s="183">
        <f>Q322*H322</f>
        <v>0</v>
      </c>
      <c r="S322" s="183">
        <v>0</v>
      </c>
      <c r="T322" s="184">
        <f>S322*H322</f>
        <v>0</v>
      </c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R322" s="185" t="s">
        <v>146</v>
      </c>
      <c r="AT322" s="185" t="s">
        <v>141</v>
      </c>
      <c r="AU322" s="185" t="s">
        <v>87</v>
      </c>
      <c r="AY322" s="83" t="s">
        <v>139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83" t="s">
        <v>85</v>
      </c>
      <c r="BK322" s="186">
        <f>ROUND(I322*H322,2)</f>
        <v>0</v>
      </c>
      <c r="BL322" s="83" t="s">
        <v>146</v>
      </c>
      <c r="BM322" s="185" t="s">
        <v>741</v>
      </c>
    </row>
    <row r="323" spans="2:51" s="187" customFormat="1" ht="12">
      <c r="B323" s="188"/>
      <c r="D323" s="189" t="s">
        <v>148</v>
      </c>
      <c r="E323" s="190" t="s">
        <v>1</v>
      </c>
      <c r="F323" s="191" t="s">
        <v>742</v>
      </c>
      <c r="H323" s="192">
        <v>3</v>
      </c>
      <c r="I323" s="233"/>
      <c r="L323" s="188"/>
      <c r="M323" s="193"/>
      <c r="N323" s="194"/>
      <c r="O323" s="194"/>
      <c r="P323" s="194"/>
      <c r="Q323" s="194"/>
      <c r="R323" s="194"/>
      <c r="S323" s="194"/>
      <c r="T323" s="195"/>
      <c r="AT323" s="190" t="s">
        <v>148</v>
      </c>
      <c r="AU323" s="190" t="s">
        <v>87</v>
      </c>
      <c r="AV323" s="187" t="s">
        <v>87</v>
      </c>
      <c r="AW323" s="187" t="s">
        <v>34</v>
      </c>
      <c r="AX323" s="187" t="s">
        <v>85</v>
      </c>
      <c r="AY323" s="190" t="s">
        <v>139</v>
      </c>
    </row>
    <row r="324" spans="1:65" s="95" customFormat="1" ht="24">
      <c r="A324" s="91"/>
      <c r="B324" s="92"/>
      <c r="C324" s="217" t="s">
        <v>416</v>
      </c>
      <c r="D324" s="217" t="s">
        <v>251</v>
      </c>
      <c r="E324" s="218" t="s">
        <v>432</v>
      </c>
      <c r="F324" s="219" t="s">
        <v>433</v>
      </c>
      <c r="G324" s="220" t="s">
        <v>171</v>
      </c>
      <c r="H324" s="221">
        <v>3</v>
      </c>
      <c r="I324" s="70"/>
      <c r="J324" s="222">
        <f>ROUND(I324*H324,2)</f>
        <v>0</v>
      </c>
      <c r="K324" s="219" t="s">
        <v>145</v>
      </c>
      <c r="L324" s="223"/>
      <c r="M324" s="224" t="s">
        <v>1</v>
      </c>
      <c r="N324" s="225" t="s">
        <v>44</v>
      </c>
      <c r="O324" s="183">
        <v>0</v>
      </c>
      <c r="P324" s="183">
        <f>O324*H324</f>
        <v>0</v>
      </c>
      <c r="Q324" s="183">
        <v>0.0015</v>
      </c>
      <c r="R324" s="183">
        <f>Q324*H324</f>
        <v>0.0045000000000000005</v>
      </c>
      <c r="S324" s="183">
        <v>0</v>
      </c>
      <c r="T324" s="184">
        <f>S324*H324</f>
        <v>0</v>
      </c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R324" s="185" t="s">
        <v>187</v>
      </c>
      <c r="AT324" s="185" t="s">
        <v>251</v>
      </c>
      <c r="AU324" s="185" t="s">
        <v>87</v>
      </c>
      <c r="AY324" s="83" t="s">
        <v>139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83" t="s">
        <v>85</v>
      </c>
      <c r="BK324" s="186">
        <f>ROUND(I324*H324,2)</f>
        <v>0</v>
      </c>
      <c r="BL324" s="83" t="s">
        <v>146</v>
      </c>
      <c r="BM324" s="185" t="s">
        <v>743</v>
      </c>
    </row>
    <row r="325" spans="1:65" s="95" customFormat="1" ht="16.5" customHeight="1">
      <c r="A325" s="91"/>
      <c r="B325" s="92"/>
      <c r="C325" s="175" t="s">
        <v>421</v>
      </c>
      <c r="D325" s="175" t="s">
        <v>141</v>
      </c>
      <c r="E325" s="176" t="s">
        <v>436</v>
      </c>
      <c r="F325" s="177" t="s">
        <v>437</v>
      </c>
      <c r="G325" s="178" t="s">
        <v>438</v>
      </c>
      <c r="H325" s="179">
        <v>3</v>
      </c>
      <c r="I325" s="69"/>
      <c r="J325" s="180">
        <f>ROUND(I325*H325,2)</f>
        <v>0</v>
      </c>
      <c r="K325" s="177" t="s">
        <v>1</v>
      </c>
      <c r="L325" s="92"/>
      <c r="M325" s="181" t="s">
        <v>1</v>
      </c>
      <c r="N325" s="182" t="s">
        <v>44</v>
      </c>
      <c r="O325" s="183">
        <v>0.258</v>
      </c>
      <c r="P325" s="183">
        <f>O325*H325</f>
        <v>0.774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R325" s="185" t="s">
        <v>146</v>
      </c>
      <c r="AT325" s="185" t="s">
        <v>141</v>
      </c>
      <c r="AU325" s="185" t="s">
        <v>87</v>
      </c>
      <c r="AY325" s="83" t="s">
        <v>139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83" t="s">
        <v>85</v>
      </c>
      <c r="BK325" s="186">
        <f>ROUND(I325*H325,2)</f>
        <v>0</v>
      </c>
      <c r="BL325" s="83" t="s">
        <v>146</v>
      </c>
      <c r="BM325" s="185" t="s">
        <v>744</v>
      </c>
    </row>
    <row r="326" spans="2:51" s="201" customFormat="1" ht="12">
      <c r="B326" s="202"/>
      <c r="D326" s="189" t="s">
        <v>148</v>
      </c>
      <c r="E326" s="203" t="s">
        <v>1</v>
      </c>
      <c r="F326" s="204" t="s">
        <v>440</v>
      </c>
      <c r="H326" s="203" t="s">
        <v>1</v>
      </c>
      <c r="I326" s="235"/>
      <c r="L326" s="202"/>
      <c r="M326" s="205"/>
      <c r="N326" s="206"/>
      <c r="O326" s="206"/>
      <c r="P326" s="206"/>
      <c r="Q326" s="206"/>
      <c r="R326" s="206"/>
      <c r="S326" s="206"/>
      <c r="T326" s="207"/>
      <c r="AT326" s="203" t="s">
        <v>148</v>
      </c>
      <c r="AU326" s="203" t="s">
        <v>87</v>
      </c>
      <c r="AV326" s="201" t="s">
        <v>85</v>
      </c>
      <c r="AW326" s="201" t="s">
        <v>34</v>
      </c>
      <c r="AX326" s="201" t="s">
        <v>78</v>
      </c>
      <c r="AY326" s="203" t="s">
        <v>139</v>
      </c>
    </row>
    <row r="327" spans="2:51" s="201" customFormat="1" ht="12">
      <c r="B327" s="202"/>
      <c r="D327" s="189" t="s">
        <v>148</v>
      </c>
      <c r="E327" s="203" t="s">
        <v>1</v>
      </c>
      <c r="F327" s="204" t="s">
        <v>441</v>
      </c>
      <c r="H327" s="203" t="s">
        <v>1</v>
      </c>
      <c r="I327" s="235"/>
      <c r="L327" s="202"/>
      <c r="M327" s="205"/>
      <c r="N327" s="206"/>
      <c r="O327" s="206"/>
      <c r="P327" s="206"/>
      <c r="Q327" s="206"/>
      <c r="R327" s="206"/>
      <c r="S327" s="206"/>
      <c r="T327" s="207"/>
      <c r="AT327" s="203" t="s">
        <v>148</v>
      </c>
      <c r="AU327" s="203" t="s">
        <v>87</v>
      </c>
      <c r="AV327" s="201" t="s">
        <v>85</v>
      </c>
      <c r="AW327" s="201" t="s">
        <v>34</v>
      </c>
      <c r="AX327" s="201" t="s">
        <v>78</v>
      </c>
      <c r="AY327" s="203" t="s">
        <v>139</v>
      </c>
    </row>
    <row r="328" spans="2:51" s="187" customFormat="1" ht="12">
      <c r="B328" s="188"/>
      <c r="D328" s="189" t="s">
        <v>148</v>
      </c>
      <c r="E328" s="190" t="s">
        <v>1</v>
      </c>
      <c r="F328" s="191" t="s">
        <v>160</v>
      </c>
      <c r="H328" s="192">
        <v>3</v>
      </c>
      <c r="I328" s="233"/>
      <c r="L328" s="188"/>
      <c r="M328" s="193"/>
      <c r="N328" s="194"/>
      <c r="O328" s="194"/>
      <c r="P328" s="194"/>
      <c r="Q328" s="194"/>
      <c r="R328" s="194"/>
      <c r="S328" s="194"/>
      <c r="T328" s="195"/>
      <c r="AT328" s="190" t="s">
        <v>148</v>
      </c>
      <c r="AU328" s="190" t="s">
        <v>87</v>
      </c>
      <c r="AV328" s="187" t="s">
        <v>87</v>
      </c>
      <c r="AW328" s="187" t="s">
        <v>34</v>
      </c>
      <c r="AX328" s="187" t="s">
        <v>85</v>
      </c>
      <c r="AY328" s="190" t="s">
        <v>139</v>
      </c>
    </row>
    <row r="329" spans="1:65" s="95" customFormat="1" ht="44.25" customHeight="1">
      <c r="A329" s="91"/>
      <c r="B329" s="92"/>
      <c r="C329" s="175" t="s">
        <v>425</v>
      </c>
      <c r="D329" s="175" t="s">
        <v>141</v>
      </c>
      <c r="E329" s="176" t="s">
        <v>745</v>
      </c>
      <c r="F329" s="177" t="s">
        <v>746</v>
      </c>
      <c r="G329" s="178" t="s">
        <v>297</v>
      </c>
      <c r="H329" s="179">
        <v>3</v>
      </c>
      <c r="I329" s="69"/>
      <c r="J329" s="180">
        <f>ROUND(I329*H329,2)</f>
        <v>0</v>
      </c>
      <c r="K329" s="177" t="s">
        <v>145</v>
      </c>
      <c r="L329" s="92"/>
      <c r="M329" s="181" t="s">
        <v>1</v>
      </c>
      <c r="N329" s="182" t="s">
        <v>44</v>
      </c>
      <c r="O329" s="183">
        <v>0.625</v>
      </c>
      <c r="P329" s="183">
        <f>O329*H329</f>
        <v>1.875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R329" s="185" t="s">
        <v>146</v>
      </c>
      <c r="AT329" s="185" t="s">
        <v>141</v>
      </c>
      <c r="AU329" s="185" t="s">
        <v>87</v>
      </c>
      <c r="AY329" s="83" t="s">
        <v>139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83" t="s">
        <v>85</v>
      </c>
      <c r="BK329" s="186">
        <f>ROUND(I329*H329,2)</f>
        <v>0</v>
      </c>
      <c r="BL329" s="83" t="s">
        <v>146</v>
      </c>
      <c r="BM329" s="185" t="s">
        <v>747</v>
      </c>
    </row>
    <row r="330" spans="1:65" s="95" customFormat="1" ht="16.5" customHeight="1">
      <c r="A330" s="91"/>
      <c r="B330" s="92"/>
      <c r="C330" s="217" t="s">
        <v>431</v>
      </c>
      <c r="D330" s="217" t="s">
        <v>251</v>
      </c>
      <c r="E330" s="218" t="s">
        <v>748</v>
      </c>
      <c r="F330" s="219" t="s">
        <v>749</v>
      </c>
      <c r="G330" s="220" t="s">
        <v>297</v>
      </c>
      <c r="H330" s="221">
        <v>1</v>
      </c>
      <c r="I330" s="70"/>
      <c r="J330" s="222">
        <f>ROUND(I330*H330,2)</f>
        <v>0</v>
      </c>
      <c r="K330" s="219" t="s">
        <v>145</v>
      </c>
      <c r="L330" s="223"/>
      <c r="M330" s="224" t="s">
        <v>1</v>
      </c>
      <c r="N330" s="225" t="s">
        <v>44</v>
      </c>
      <c r="O330" s="183">
        <v>0</v>
      </c>
      <c r="P330" s="183">
        <f>O330*H330</f>
        <v>0</v>
      </c>
      <c r="Q330" s="183">
        <v>0.00048</v>
      </c>
      <c r="R330" s="183">
        <f>Q330*H330</f>
        <v>0.00048</v>
      </c>
      <c r="S330" s="183">
        <v>0</v>
      </c>
      <c r="T330" s="184">
        <f>S330*H330</f>
        <v>0</v>
      </c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R330" s="185" t="s">
        <v>187</v>
      </c>
      <c r="AT330" s="185" t="s">
        <v>251</v>
      </c>
      <c r="AU330" s="185" t="s">
        <v>87</v>
      </c>
      <c r="AY330" s="83" t="s">
        <v>139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83" t="s">
        <v>85</v>
      </c>
      <c r="BK330" s="186">
        <f>ROUND(I330*H330,2)</f>
        <v>0</v>
      </c>
      <c r="BL330" s="83" t="s">
        <v>146</v>
      </c>
      <c r="BM330" s="185" t="s">
        <v>750</v>
      </c>
    </row>
    <row r="331" spans="1:65" s="95" customFormat="1" ht="16.5" customHeight="1">
      <c r="A331" s="91"/>
      <c r="B331" s="92"/>
      <c r="C331" s="217" t="s">
        <v>435</v>
      </c>
      <c r="D331" s="217" t="s">
        <v>251</v>
      </c>
      <c r="E331" s="218" t="s">
        <v>751</v>
      </c>
      <c r="F331" s="219" t="s">
        <v>752</v>
      </c>
      <c r="G331" s="220" t="s">
        <v>297</v>
      </c>
      <c r="H331" s="221">
        <v>1</v>
      </c>
      <c r="I331" s="70"/>
      <c r="J331" s="222">
        <f>ROUND(I331*H331,2)</f>
        <v>0</v>
      </c>
      <c r="K331" s="219" t="s">
        <v>1</v>
      </c>
      <c r="L331" s="223"/>
      <c r="M331" s="224" t="s">
        <v>1</v>
      </c>
      <c r="N331" s="225" t="s">
        <v>44</v>
      </c>
      <c r="O331" s="183">
        <v>0</v>
      </c>
      <c r="P331" s="183">
        <f>O331*H331</f>
        <v>0</v>
      </c>
      <c r="Q331" s="183">
        <v>0.00139</v>
      </c>
      <c r="R331" s="183">
        <f>Q331*H331</f>
        <v>0.00139</v>
      </c>
      <c r="S331" s="183">
        <v>0</v>
      </c>
      <c r="T331" s="184">
        <f>S331*H331</f>
        <v>0</v>
      </c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R331" s="185" t="s">
        <v>187</v>
      </c>
      <c r="AT331" s="185" t="s">
        <v>251</v>
      </c>
      <c r="AU331" s="185" t="s">
        <v>87</v>
      </c>
      <c r="AY331" s="83" t="s">
        <v>139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83" t="s">
        <v>85</v>
      </c>
      <c r="BK331" s="186">
        <f>ROUND(I331*H331,2)</f>
        <v>0</v>
      </c>
      <c r="BL331" s="83" t="s">
        <v>146</v>
      </c>
      <c r="BM331" s="185" t="s">
        <v>753</v>
      </c>
    </row>
    <row r="332" spans="1:47" s="95" customFormat="1" ht="29.25">
      <c r="A332" s="91"/>
      <c r="B332" s="92"/>
      <c r="C332" s="91"/>
      <c r="D332" s="189" t="s">
        <v>153</v>
      </c>
      <c r="E332" s="91"/>
      <c r="F332" s="196" t="s">
        <v>754</v>
      </c>
      <c r="G332" s="91"/>
      <c r="H332" s="91"/>
      <c r="I332" s="234"/>
      <c r="J332" s="91"/>
      <c r="K332" s="91"/>
      <c r="L332" s="92"/>
      <c r="M332" s="197"/>
      <c r="N332" s="198"/>
      <c r="O332" s="199"/>
      <c r="P332" s="199"/>
      <c r="Q332" s="199"/>
      <c r="R332" s="199"/>
      <c r="S332" s="199"/>
      <c r="T332" s="200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T332" s="83" t="s">
        <v>153</v>
      </c>
      <c r="AU332" s="83" t="s">
        <v>87</v>
      </c>
    </row>
    <row r="333" spans="1:65" s="95" customFormat="1" ht="16.5" customHeight="1">
      <c r="A333" s="91"/>
      <c r="B333" s="92"/>
      <c r="C333" s="217" t="s">
        <v>442</v>
      </c>
      <c r="D333" s="217" t="s">
        <v>251</v>
      </c>
      <c r="E333" s="218" t="s">
        <v>755</v>
      </c>
      <c r="F333" s="219" t="s">
        <v>756</v>
      </c>
      <c r="G333" s="220" t="s">
        <v>297</v>
      </c>
      <c r="H333" s="221">
        <v>1</v>
      </c>
      <c r="I333" s="70"/>
      <c r="J333" s="222">
        <f>ROUND(I333*H333,2)</f>
        <v>0</v>
      </c>
      <c r="K333" s="219" t="s">
        <v>145</v>
      </c>
      <c r="L333" s="223"/>
      <c r="M333" s="224" t="s">
        <v>1</v>
      </c>
      <c r="N333" s="225" t="s">
        <v>44</v>
      </c>
      <c r="O333" s="183">
        <v>0</v>
      </c>
      <c r="P333" s="183">
        <f>O333*H333</f>
        <v>0</v>
      </c>
      <c r="Q333" s="183">
        <v>0.00036</v>
      </c>
      <c r="R333" s="183">
        <f>Q333*H333</f>
        <v>0.00036</v>
      </c>
      <c r="S333" s="183">
        <v>0</v>
      </c>
      <c r="T333" s="184">
        <f>S333*H333</f>
        <v>0</v>
      </c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R333" s="185" t="s">
        <v>187</v>
      </c>
      <c r="AT333" s="185" t="s">
        <v>251</v>
      </c>
      <c r="AU333" s="185" t="s">
        <v>87</v>
      </c>
      <c r="AY333" s="83" t="s">
        <v>139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83" t="s">
        <v>85</v>
      </c>
      <c r="BK333" s="186">
        <f>ROUND(I333*H333,2)</f>
        <v>0</v>
      </c>
      <c r="BL333" s="83" t="s">
        <v>146</v>
      </c>
      <c r="BM333" s="185" t="s">
        <v>757</v>
      </c>
    </row>
    <row r="334" spans="1:65" s="95" customFormat="1" ht="36">
      <c r="A334" s="91"/>
      <c r="B334" s="92"/>
      <c r="C334" s="175" t="s">
        <v>449</v>
      </c>
      <c r="D334" s="175" t="s">
        <v>141</v>
      </c>
      <c r="E334" s="176" t="s">
        <v>758</v>
      </c>
      <c r="F334" s="177" t="s">
        <v>759</v>
      </c>
      <c r="G334" s="178" t="s">
        <v>297</v>
      </c>
      <c r="H334" s="179">
        <v>1</v>
      </c>
      <c r="I334" s="69"/>
      <c r="J334" s="180">
        <f>ROUND(I334*H334,2)</f>
        <v>0</v>
      </c>
      <c r="K334" s="177" t="s">
        <v>145</v>
      </c>
      <c r="L334" s="92"/>
      <c r="M334" s="181" t="s">
        <v>1</v>
      </c>
      <c r="N334" s="182" t="s">
        <v>44</v>
      </c>
      <c r="O334" s="183">
        <v>0.52</v>
      </c>
      <c r="P334" s="183">
        <f>O334*H334</f>
        <v>0.52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R334" s="185" t="s">
        <v>146</v>
      </c>
      <c r="AT334" s="185" t="s">
        <v>141</v>
      </c>
      <c r="AU334" s="185" t="s">
        <v>87</v>
      </c>
      <c r="AY334" s="83" t="s">
        <v>139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83" t="s">
        <v>85</v>
      </c>
      <c r="BK334" s="186">
        <f>ROUND(I334*H334,2)</f>
        <v>0</v>
      </c>
      <c r="BL334" s="83" t="s">
        <v>146</v>
      </c>
      <c r="BM334" s="185" t="s">
        <v>760</v>
      </c>
    </row>
    <row r="335" spans="1:65" s="95" customFormat="1" ht="16.5" customHeight="1">
      <c r="A335" s="91"/>
      <c r="B335" s="92"/>
      <c r="C335" s="217" t="s">
        <v>453</v>
      </c>
      <c r="D335" s="217" t="s">
        <v>251</v>
      </c>
      <c r="E335" s="218" t="s">
        <v>761</v>
      </c>
      <c r="F335" s="219" t="s">
        <v>762</v>
      </c>
      <c r="G335" s="220" t="s">
        <v>297</v>
      </c>
      <c r="H335" s="221">
        <v>1</v>
      </c>
      <c r="I335" s="70"/>
      <c r="J335" s="222">
        <f>ROUND(I335*H335,2)</f>
        <v>0</v>
      </c>
      <c r="K335" s="219" t="s">
        <v>145</v>
      </c>
      <c r="L335" s="223"/>
      <c r="M335" s="224" t="s">
        <v>1</v>
      </c>
      <c r="N335" s="225" t="s">
        <v>44</v>
      </c>
      <c r="O335" s="183">
        <v>0</v>
      </c>
      <c r="P335" s="183">
        <f>O335*H335</f>
        <v>0</v>
      </c>
      <c r="Q335" s="183">
        <v>0.00026</v>
      </c>
      <c r="R335" s="183">
        <f>Q335*H335</f>
        <v>0.00026</v>
      </c>
      <c r="S335" s="183">
        <v>0</v>
      </c>
      <c r="T335" s="184">
        <f>S335*H335</f>
        <v>0</v>
      </c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R335" s="185" t="s">
        <v>187</v>
      </c>
      <c r="AT335" s="185" t="s">
        <v>251</v>
      </c>
      <c r="AU335" s="185" t="s">
        <v>87</v>
      </c>
      <c r="AY335" s="83" t="s">
        <v>139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83" t="s">
        <v>85</v>
      </c>
      <c r="BK335" s="186">
        <f>ROUND(I335*H335,2)</f>
        <v>0</v>
      </c>
      <c r="BL335" s="83" t="s">
        <v>146</v>
      </c>
      <c r="BM335" s="185" t="s">
        <v>763</v>
      </c>
    </row>
    <row r="336" spans="1:65" s="95" customFormat="1" ht="24">
      <c r="A336" s="91"/>
      <c r="B336" s="92"/>
      <c r="C336" s="175" t="s">
        <v>457</v>
      </c>
      <c r="D336" s="175" t="s">
        <v>141</v>
      </c>
      <c r="E336" s="176" t="s">
        <v>450</v>
      </c>
      <c r="F336" s="177" t="s">
        <v>451</v>
      </c>
      <c r="G336" s="178" t="s">
        <v>297</v>
      </c>
      <c r="H336" s="179">
        <v>1</v>
      </c>
      <c r="I336" s="69"/>
      <c r="J336" s="180">
        <f>ROUND(I336*H336,2)</f>
        <v>0</v>
      </c>
      <c r="K336" s="177" t="s">
        <v>145</v>
      </c>
      <c r="L336" s="92"/>
      <c r="M336" s="181" t="s">
        <v>1</v>
      </c>
      <c r="N336" s="182" t="s">
        <v>44</v>
      </c>
      <c r="O336" s="183">
        <v>0.432</v>
      </c>
      <c r="P336" s="183">
        <f>O336*H336</f>
        <v>0.432</v>
      </c>
      <c r="Q336" s="183">
        <v>2E-05</v>
      </c>
      <c r="R336" s="183">
        <f>Q336*H336</f>
        <v>2E-05</v>
      </c>
      <c r="S336" s="183">
        <v>0</v>
      </c>
      <c r="T336" s="184">
        <f>S336*H336</f>
        <v>0</v>
      </c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R336" s="185" t="s">
        <v>146</v>
      </c>
      <c r="AT336" s="185" t="s">
        <v>141</v>
      </c>
      <c r="AU336" s="185" t="s">
        <v>87</v>
      </c>
      <c r="AY336" s="83" t="s">
        <v>139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83" t="s">
        <v>85</v>
      </c>
      <c r="BK336" s="186">
        <f>ROUND(I336*H336,2)</f>
        <v>0</v>
      </c>
      <c r="BL336" s="83" t="s">
        <v>146</v>
      </c>
      <c r="BM336" s="185" t="s">
        <v>764</v>
      </c>
    </row>
    <row r="337" spans="2:51" s="187" customFormat="1" ht="12">
      <c r="B337" s="188"/>
      <c r="D337" s="189" t="s">
        <v>148</v>
      </c>
      <c r="E337" s="190" t="s">
        <v>1</v>
      </c>
      <c r="F337" s="191" t="s">
        <v>85</v>
      </c>
      <c r="H337" s="192">
        <v>1</v>
      </c>
      <c r="I337" s="233"/>
      <c r="L337" s="188"/>
      <c r="M337" s="193"/>
      <c r="N337" s="194"/>
      <c r="O337" s="194"/>
      <c r="P337" s="194"/>
      <c r="Q337" s="194"/>
      <c r="R337" s="194"/>
      <c r="S337" s="194"/>
      <c r="T337" s="195"/>
      <c r="AT337" s="190" t="s">
        <v>148</v>
      </c>
      <c r="AU337" s="190" t="s">
        <v>87</v>
      </c>
      <c r="AV337" s="187" t="s">
        <v>87</v>
      </c>
      <c r="AW337" s="187" t="s">
        <v>34</v>
      </c>
      <c r="AX337" s="187" t="s">
        <v>85</v>
      </c>
      <c r="AY337" s="190" t="s">
        <v>139</v>
      </c>
    </row>
    <row r="338" spans="1:65" s="95" customFormat="1" ht="16.5" customHeight="1">
      <c r="A338" s="91"/>
      <c r="B338" s="92"/>
      <c r="C338" s="217" t="s">
        <v>462</v>
      </c>
      <c r="D338" s="217" t="s">
        <v>251</v>
      </c>
      <c r="E338" s="218" t="s">
        <v>454</v>
      </c>
      <c r="F338" s="228" t="s">
        <v>455</v>
      </c>
      <c r="G338" s="220" t="s">
        <v>297</v>
      </c>
      <c r="H338" s="221">
        <v>1</v>
      </c>
      <c r="I338" s="70"/>
      <c r="J338" s="222">
        <f>ROUND(I338*H338,2)</f>
        <v>0</v>
      </c>
      <c r="K338" s="219" t="s">
        <v>1</v>
      </c>
      <c r="L338" s="223"/>
      <c r="M338" s="224" t="s">
        <v>1</v>
      </c>
      <c r="N338" s="225" t="s">
        <v>44</v>
      </c>
      <c r="O338" s="183">
        <v>0</v>
      </c>
      <c r="P338" s="183">
        <f>O338*H338</f>
        <v>0</v>
      </c>
      <c r="Q338" s="183">
        <v>0.00364</v>
      </c>
      <c r="R338" s="183">
        <f>Q338*H338</f>
        <v>0.00364</v>
      </c>
      <c r="S338" s="183">
        <v>0</v>
      </c>
      <c r="T338" s="184">
        <f>S338*H338</f>
        <v>0</v>
      </c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R338" s="185" t="s">
        <v>187</v>
      </c>
      <c r="AT338" s="185" t="s">
        <v>251</v>
      </c>
      <c r="AU338" s="185" t="s">
        <v>87</v>
      </c>
      <c r="AY338" s="83" t="s">
        <v>139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83" t="s">
        <v>85</v>
      </c>
      <c r="BK338" s="186">
        <f>ROUND(I338*H338,2)</f>
        <v>0</v>
      </c>
      <c r="BL338" s="83" t="s">
        <v>146</v>
      </c>
      <c r="BM338" s="185" t="s">
        <v>765</v>
      </c>
    </row>
    <row r="339" spans="1:65" s="95" customFormat="1" ht="21.75" customHeight="1">
      <c r="A339" s="91"/>
      <c r="B339" s="92"/>
      <c r="C339" s="217" t="s">
        <v>466</v>
      </c>
      <c r="D339" s="217" t="s">
        <v>251</v>
      </c>
      <c r="E339" s="218" t="s">
        <v>458</v>
      </c>
      <c r="F339" s="228" t="s">
        <v>459</v>
      </c>
      <c r="G339" s="220" t="s">
        <v>460</v>
      </c>
      <c r="H339" s="221">
        <v>1</v>
      </c>
      <c r="I339" s="70"/>
      <c r="J339" s="222">
        <f>ROUND(I339*H339,2)</f>
        <v>0</v>
      </c>
      <c r="K339" s="219" t="s">
        <v>1</v>
      </c>
      <c r="L339" s="223"/>
      <c r="M339" s="224" t="s">
        <v>1</v>
      </c>
      <c r="N339" s="225" t="s">
        <v>44</v>
      </c>
      <c r="O339" s="183">
        <v>0</v>
      </c>
      <c r="P339" s="183">
        <f>O339*H339</f>
        <v>0</v>
      </c>
      <c r="Q339" s="183">
        <v>0.0033</v>
      </c>
      <c r="R339" s="183">
        <f>Q339*H339</f>
        <v>0.0033</v>
      </c>
      <c r="S339" s="183">
        <v>0</v>
      </c>
      <c r="T339" s="184">
        <f>S339*H339</f>
        <v>0</v>
      </c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R339" s="185" t="s">
        <v>187</v>
      </c>
      <c r="AT339" s="185" t="s">
        <v>251</v>
      </c>
      <c r="AU339" s="185" t="s">
        <v>87</v>
      </c>
      <c r="AY339" s="83" t="s">
        <v>139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83" t="s">
        <v>85</v>
      </c>
      <c r="BK339" s="186">
        <f>ROUND(I339*H339,2)</f>
        <v>0</v>
      </c>
      <c r="BL339" s="83" t="s">
        <v>146</v>
      </c>
      <c r="BM339" s="185" t="s">
        <v>766</v>
      </c>
    </row>
    <row r="340" spans="1:65" s="95" customFormat="1" ht="24">
      <c r="A340" s="91"/>
      <c r="B340" s="92"/>
      <c r="C340" s="175" t="s">
        <v>470</v>
      </c>
      <c r="D340" s="175" t="s">
        <v>141</v>
      </c>
      <c r="E340" s="176" t="s">
        <v>463</v>
      </c>
      <c r="F340" s="177" t="s">
        <v>464</v>
      </c>
      <c r="G340" s="178" t="s">
        <v>297</v>
      </c>
      <c r="H340" s="179">
        <v>1</v>
      </c>
      <c r="I340" s="69"/>
      <c r="J340" s="180">
        <f>ROUND(I340*H340,2)</f>
        <v>0</v>
      </c>
      <c r="K340" s="177" t="s">
        <v>1</v>
      </c>
      <c r="L340" s="92"/>
      <c r="M340" s="181" t="s">
        <v>1</v>
      </c>
      <c r="N340" s="182" t="s">
        <v>44</v>
      </c>
      <c r="O340" s="183">
        <v>0.432</v>
      </c>
      <c r="P340" s="183">
        <f>O340*H340</f>
        <v>0.432</v>
      </c>
      <c r="Q340" s="183">
        <v>2E-05</v>
      </c>
      <c r="R340" s="183">
        <f>Q340*H340</f>
        <v>2E-05</v>
      </c>
      <c r="S340" s="183">
        <v>0</v>
      </c>
      <c r="T340" s="184">
        <f>S340*H340</f>
        <v>0</v>
      </c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R340" s="185" t="s">
        <v>146</v>
      </c>
      <c r="AT340" s="185" t="s">
        <v>141</v>
      </c>
      <c r="AU340" s="185" t="s">
        <v>87</v>
      </c>
      <c r="AY340" s="83" t="s">
        <v>139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83" t="s">
        <v>85</v>
      </c>
      <c r="BK340" s="186">
        <f>ROUND(I340*H340,2)</f>
        <v>0</v>
      </c>
      <c r="BL340" s="83" t="s">
        <v>146</v>
      </c>
      <c r="BM340" s="185" t="s">
        <v>767</v>
      </c>
    </row>
    <row r="341" spans="1:65" s="95" customFormat="1" ht="16.5" customHeight="1">
      <c r="A341" s="91"/>
      <c r="B341" s="92"/>
      <c r="C341" s="217" t="s">
        <v>475</v>
      </c>
      <c r="D341" s="217" t="s">
        <v>251</v>
      </c>
      <c r="E341" s="218" t="s">
        <v>467</v>
      </c>
      <c r="F341" s="219" t="s">
        <v>468</v>
      </c>
      <c r="G341" s="220" t="s">
        <v>438</v>
      </c>
      <c r="H341" s="221">
        <v>1</v>
      </c>
      <c r="I341" s="70"/>
      <c r="J341" s="222">
        <f>ROUND(I341*H341,2)</f>
        <v>0</v>
      </c>
      <c r="K341" s="219" t="s">
        <v>1</v>
      </c>
      <c r="L341" s="223"/>
      <c r="M341" s="224" t="s">
        <v>1</v>
      </c>
      <c r="N341" s="225" t="s">
        <v>44</v>
      </c>
      <c r="O341" s="183">
        <v>0</v>
      </c>
      <c r="P341" s="183">
        <f>O341*H341</f>
        <v>0</v>
      </c>
      <c r="Q341" s="183">
        <v>0.00043</v>
      </c>
      <c r="R341" s="183">
        <f>Q341*H341</f>
        <v>0.00043</v>
      </c>
      <c r="S341" s="183">
        <v>0</v>
      </c>
      <c r="T341" s="184">
        <f>S341*H341</f>
        <v>0</v>
      </c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R341" s="185" t="s">
        <v>187</v>
      </c>
      <c r="AT341" s="185" t="s">
        <v>251</v>
      </c>
      <c r="AU341" s="185" t="s">
        <v>87</v>
      </c>
      <c r="AY341" s="83" t="s">
        <v>139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83" t="s">
        <v>85</v>
      </c>
      <c r="BK341" s="186">
        <f>ROUND(I341*H341,2)</f>
        <v>0</v>
      </c>
      <c r="BL341" s="83" t="s">
        <v>146</v>
      </c>
      <c r="BM341" s="185" t="s">
        <v>768</v>
      </c>
    </row>
    <row r="342" spans="1:65" s="95" customFormat="1" ht="22.5" customHeight="1">
      <c r="A342" s="91"/>
      <c r="B342" s="92"/>
      <c r="C342" s="217" t="s">
        <v>1559</v>
      </c>
      <c r="D342" s="217" t="s">
        <v>251</v>
      </c>
      <c r="E342" s="218"/>
      <c r="F342" s="219" t="s">
        <v>1558</v>
      </c>
      <c r="G342" s="220" t="s">
        <v>438</v>
      </c>
      <c r="H342" s="221">
        <v>3</v>
      </c>
      <c r="I342" s="70"/>
      <c r="J342" s="222">
        <f aca="true" t="shared" si="10" ref="J342">ROUND(I342*H342,2)</f>
        <v>0</v>
      </c>
      <c r="K342" s="219" t="s">
        <v>1</v>
      </c>
      <c r="L342" s="223"/>
      <c r="M342" s="224" t="s">
        <v>1</v>
      </c>
      <c r="N342" s="225" t="s">
        <v>44</v>
      </c>
      <c r="O342" s="183">
        <v>0</v>
      </c>
      <c r="P342" s="183">
        <f aca="true" t="shared" si="11" ref="P342">O342*H342</f>
        <v>0</v>
      </c>
      <c r="Q342" s="183">
        <v>0.00043</v>
      </c>
      <c r="R342" s="183">
        <f aca="true" t="shared" si="12" ref="R342">Q342*H342</f>
        <v>0.00129</v>
      </c>
      <c r="S342" s="183">
        <v>0</v>
      </c>
      <c r="T342" s="184">
        <f aca="true" t="shared" si="13" ref="T342">S342*H342</f>
        <v>0</v>
      </c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R342" s="185" t="s">
        <v>187</v>
      </c>
      <c r="AT342" s="185" t="s">
        <v>251</v>
      </c>
      <c r="AU342" s="185" t="s">
        <v>87</v>
      </c>
      <c r="AY342" s="83" t="s">
        <v>139</v>
      </c>
      <c r="BE342" s="186">
        <f aca="true" t="shared" si="14" ref="BE342">IF(N342="základní",J342,0)</f>
        <v>0</v>
      </c>
      <c r="BF342" s="186">
        <f aca="true" t="shared" si="15" ref="BF342">IF(N342="snížená",J342,0)</f>
        <v>0</v>
      </c>
      <c r="BG342" s="186">
        <f aca="true" t="shared" si="16" ref="BG342">IF(N342="zákl. přenesená",J342,0)</f>
        <v>0</v>
      </c>
      <c r="BH342" s="186">
        <f aca="true" t="shared" si="17" ref="BH342">IF(N342="sníž. přenesená",J342,0)</f>
        <v>0</v>
      </c>
      <c r="BI342" s="186">
        <f aca="true" t="shared" si="18" ref="BI342">IF(N342="nulová",J342,0)</f>
        <v>0</v>
      </c>
      <c r="BJ342" s="83" t="s">
        <v>85</v>
      </c>
      <c r="BK342" s="186">
        <f aca="true" t="shared" si="19" ref="BK342">ROUND(I342*H342,2)</f>
        <v>0</v>
      </c>
      <c r="BL342" s="83" t="s">
        <v>146</v>
      </c>
      <c r="BM342" s="185" t="s">
        <v>1422</v>
      </c>
    </row>
    <row r="343" spans="1:65" s="95" customFormat="1" ht="36">
      <c r="A343" s="91"/>
      <c r="B343" s="92"/>
      <c r="C343" s="175" t="s">
        <v>479</v>
      </c>
      <c r="D343" s="175" t="s">
        <v>141</v>
      </c>
      <c r="E343" s="176" t="s">
        <v>471</v>
      </c>
      <c r="F343" s="177" t="s">
        <v>472</v>
      </c>
      <c r="G343" s="178" t="s">
        <v>297</v>
      </c>
      <c r="H343" s="179">
        <v>1</v>
      </c>
      <c r="I343" s="69"/>
      <c r="J343" s="180">
        <f>ROUND(I343*H343,2)</f>
        <v>0</v>
      </c>
      <c r="K343" s="177" t="s">
        <v>145</v>
      </c>
      <c r="L343" s="92"/>
      <c r="M343" s="181" t="s">
        <v>1</v>
      </c>
      <c r="N343" s="182" t="s">
        <v>44</v>
      </c>
      <c r="O343" s="183">
        <v>1.359</v>
      </c>
      <c r="P343" s="183">
        <f>O343*H343</f>
        <v>1.359</v>
      </c>
      <c r="Q343" s="183">
        <v>0</v>
      </c>
      <c r="R343" s="183">
        <f>Q343*H343</f>
        <v>0</v>
      </c>
      <c r="S343" s="183">
        <v>0.00768</v>
      </c>
      <c r="T343" s="184">
        <f>S343*H343</f>
        <v>0.00768</v>
      </c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R343" s="185" t="s">
        <v>146</v>
      </c>
      <c r="AT343" s="185" t="s">
        <v>141</v>
      </c>
      <c r="AU343" s="185" t="s">
        <v>87</v>
      </c>
      <c r="AY343" s="83" t="s">
        <v>139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83" t="s">
        <v>85</v>
      </c>
      <c r="BK343" s="186">
        <f>ROUND(I343*H343,2)</f>
        <v>0</v>
      </c>
      <c r="BL343" s="83" t="s">
        <v>146</v>
      </c>
      <c r="BM343" s="185" t="s">
        <v>769</v>
      </c>
    </row>
    <row r="344" spans="2:51" s="201" customFormat="1" ht="22.5">
      <c r="B344" s="202"/>
      <c r="D344" s="189" t="s">
        <v>148</v>
      </c>
      <c r="E344" s="203" t="s">
        <v>1</v>
      </c>
      <c r="F344" s="204" t="s">
        <v>474</v>
      </c>
      <c r="H344" s="203" t="s">
        <v>1</v>
      </c>
      <c r="I344" s="235"/>
      <c r="L344" s="202"/>
      <c r="M344" s="205"/>
      <c r="N344" s="206"/>
      <c r="O344" s="206"/>
      <c r="P344" s="206"/>
      <c r="Q344" s="206"/>
      <c r="R344" s="206"/>
      <c r="S344" s="206"/>
      <c r="T344" s="207"/>
      <c r="AT344" s="203" t="s">
        <v>148</v>
      </c>
      <c r="AU344" s="203" t="s">
        <v>87</v>
      </c>
      <c r="AV344" s="201" t="s">
        <v>85</v>
      </c>
      <c r="AW344" s="201" t="s">
        <v>34</v>
      </c>
      <c r="AX344" s="201" t="s">
        <v>78</v>
      </c>
      <c r="AY344" s="203" t="s">
        <v>139</v>
      </c>
    </row>
    <row r="345" spans="2:51" s="187" customFormat="1" ht="12">
      <c r="B345" s="188"/>
      <c r="D345" s="189" t="s">
        <v>148</v>
      </c>
      <c r="E345" s="190" t="s">
        <v>1</v>
      </c>
      <c r="F345" s="191" t="s">
        <v>85</v>
      </c>
      <c r="H345" s="192">
        <v>1</v>
      </c>
      <c r="I345" s="233"/>
      <c r="L345" s="188"/>
      <c r="M345" s="193"/>
      <c r="N345" s="194"/>
      <c r="O345" s="194"/>
      <c r="P345" s="194"/>
      <c r="Q345" s="194"/>
      <c r="R345" s="194"/>
      <c r="S345" s="194"/>
      <c r="T345" s="195"/>
      <c r="AT345" s="190" t="s">
        <v>148</v>
      </c>
      <c r="AU345" s="190" t="s">
        <v>87</v>
      </c>
      <c r="AV345" s="187" t="s">
        <v>87</v>
      </c>
      <c r="AW345" s="187" t="s">
        <v>34</v>
      </c>
      <c r="AX345" s="187" t="s">
        <v>85</v>
      </c>
      <c r="AY345" s="190" t="s">
        <v>139</v>
      </c>
    </row>
    <row r="346" spans="1:65" s="95" customFormat="1" ht="24">
      <c r="A346" s="91"/>
      <c r="B346" s="92"/>
      <c r="C346" s="175" t="s">
        <v>483</v>
      </c>
      <c r="D346" s="175" t="s">
        <v>141</v>
      </c>
      <c r="E346" s="176" t="s">
        <v>770</v>
      </c>
      <c r="F346" s="177" t="s">
        <v>771</v>
      </c>
      <c r="G346" s="178" t="s">
        <v>297</v>
      </c>
      <c r="H346" s="179">
        <v>1</v>
      </c>
      <c r="I346" s="69"/>
      <c r="J346" s="180">
        <f aca="true" t="shared" si="20" ref="J346:J360">ROUND(I346*H346,2)</f>
        <v>0</v>
      </c>
      <c r="K346" s="177" t="s">
        <v>145</v>
      </c>
      <c r="L346" s="92"/>
      <c r="M346" s="181" t="s">
        <v>1</v>
      </c>
      <c r="N346" s="182" t="s">
        <v>44</v>
      </c>
      <c r="O346" s="183">
        <v>0.612</v>
      </c>
      <c r="P346" s="183">
        <f aca="true" t="shared" si="21" ref="P346:P360">O346*H346</f>
        <v>0.612</v>
      </c>
      <c r="Q346" s="183">
        <v>2E-05</v>
      </c>
      <c r="R346" s="183">
        <f aca="true" t="shared" si="22" ref="R346:R360">Q346*H346</f>
        <v>2E-05</v>
      </c>
      <c r="S346" s="183">
        <v>0</v>
      </c>
      <c r="T346" s="184">
        <f aca="true" t="shared" si="23" ref="T346:T360">S346*H346</f>
        <v>0</v>
      </c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R346" s="185" t="s">
        <v>146</v>
      </c>
      <c r="AT346" s="185" t="s">
        <v>141</v>
      </c>
      <c r="AU346" s="185" t="s">
        <v>87</v>
      </c>
      <c r="AY346" s="83" t="s">
        <v>139</v>
      </c>
      <c r="BE346" s="186">
        <f aca="true" t="shared" si="24" ref="BE346:BE360">IF(N346="základní",J346,0)</f>
        <v>0</v>
      </c>
      <c r="BF346" s="186">
        <f aca="true" t="shared" si="25" ref="BF346:BF360">IF(N346="snížená",J346,0)</f>
        <v>0</v>
      </c>
      <c r="BG346" s="186">
        <f aca="true" t="shared" si="26" ref="BG346:BG360">IF(N346="zákl. přenesená",J346,0)</f>
        <v>0</v>
      </c>
      <c r="BH346" s="186">
        <f aca="true" t="shared" si="27" ref="BH346:BH360">IF(N346="sníž. přenesená",J346,0)</f>
        <v>0</v>
      </c>
      <c r="BI346" s="186">
        <f aca="true" t="shared" si="28" ref="BI346:BI360">IF(N346="nulová",J346,0)</f>
        <v>0</v>
      </c>
      <c r="BJ346" s="83" t="s">
        <v>85</v>
      </c>
      <c r="BK346" s="186">
        <f aca="true" t="shared" si="29" ref="BK346:BK360">ROUND(I346*H346,2)</f>
        <v>0</v>
      </c>
      <c r="BL346" s="83" t="s">
        <v>146</v>
      </c>
      <c r="BM346" s="185" t="s">
        <v>772</v>
      </c>
    </row>
    <row r="347" spans="1:65" s="95" customFormat="1" ht="24.2" customHeight="1">
      <c r="A347" s="91"/>
      <c r="B347" s="92"/>
      <c r="C347" s="217" t="s">
        <v>487</v>
      </c>
      <c r="D347" s="217" t="s">
        <v>251</v>
      </c>
      <c r="E347" s="218" t="s">
        <v>773</v>
      </c>
      <c r="F347" s="228" t="s">
        <v>774</v>
      </c>
      <c r="G347" s="220" t="s">
        <v>297</v>
      </c>
      <c r="H347" s="221">
        <v>1</v>
      </c>
      <c r="I347" s="70"/>
      <c r="J347" s="222">
        <f t="shared" si="20"/>
        <v>0</v>
      </c>
      <c r="K347" s="219" t="s">
        <v>1</v>
      </c>
      <c r="L347" s="223"/>
      <c r="M347" s="224" t="s">
        <v>1</v>
      </c>
      <c r="N347" s="225" t="s">
        <v>44</v>
      </c>
      <c r="O347" s="183">
        <v>0</v>
      </c>
      <c r="P347" s="183">
        <f t="shared" si="21"/>
        <v>0</v>
      </c>
      <c r="Q347" s="183">
        <v>0.0052</v>
      </c>
      <c r="R347" s="183">
        <f t="shared" si="22"/>
        <v>0.0052</v>
      </c>
      <c r="S347" s="183">
        <v>0</v>
      </c>
      <c r="T347" s="184">
        <f t="shared" si="23"/>
        <v>0</v>
      </c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R347" s="185" t="s">
        <v>187</v>
      </c>
      <c r="AT347" s="185" t="s">
        <v>251</v>
      </c>
      <c r="AU347" s="185" t="s">
        <v>87</v>
      </c>
      <c r="AY347" s="83" t="s">
        <v>139</v>
      </c>
      <c r="BE347" s="186">
        <f t="shared" si="24"/>
        <v>0</v>
      </c>
      <c r="BF347" s="186">
        <f t="shared" si="25"/>
        <v>0</v>
      </c>
      <c r="BG347" s="186">
        <f t="shared" si="26"/>
        <v>0</v>
      </c>
      <c r="BH347" s="186">
        <f t="shared" si="27"/>
        <v>0</v>
      </c>
      <c r="BI347" s="186">
        <f t="shared" si="28"/>
        <v>0</v>
      </c>
      <c r="BJ347" s="83" t="s">
        <v>85</v>
      </c>
      <c r="BK347" s="186">
        <f t="shared" si="29"/>
        <v>0</v>
      </c>
      <c r="BL347" s="83" t="s">
        <v>146</v>
      </c>
      <c r="BM347" s="185" t="s">
        <v>775</v>
      </c>
    </row>
    <row r="348" spans="1:65" s="95" customFormat="1" ht="24">
      <c r="A348" s="91"/>
      <c r="B348" s="92"/>
      <c r="C348" s="217" t="s">
        <v>493</v>
      </c>
      <c r="D348" s="217" t="s">
        <v>251</v>
      </c>
      <c r="E348" s="218" t="s">
        <v>776</v>
      </c>
      <c r="F348" s="228" t="s">
        <v>777</v>
      </c>
      <c r="G348" s="220" t="s">
        <v>297</v>
      </c>
      <c r="H348" s="221">
        <v>1</v>
      </c>
      <c r="I348" s="70"/>
      <c r="J348" s="222">
        <f t="shared" si="20"/>
        <v>0</v>
      </c>
      <c r="K348" s="219" t="s">
        <v>1</v>
      </c>
      <c r="L348" s="223"/>
      <c r="M348" s="224" t="s">
        <v>1</v>
      </c>
      <c r="N348" s="225" t="s">
        <v>44</v>
      </c>
      <c r="O348" s="183">
        <v>0</v>
      </c>
      <c r="P348" s="183">
        <f t="shared" si="21"/>
        <v>0</v>
      </c>
      <c r="Q348" s="183">
        <v>0.0073</v>
      </c>
      <c r="R348" s="183">
        <f t="shared" si="22"/>
        <v>0.0073</v>
      </c>
      <c r="S348" s="183">
        <v>0</v>
      </c>
      <c r="T348" s="184">
        <f t="shared" si="23"/>
        <v>0</v>
      </c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R348" s="185" t="s">
        <v>187</v>
      </c>
      <c r="AT348" s="185" t="s">
        <v>251</v>
      </c>
      <c r="AU348" s="185" t="s">
        <v>87</v>
      </c>
      <c r="AY348" s="83" t="s">
        <v>139</v>
      </c>
      <c r="BE348" s="186">
        <f t="shared" si="24"/>
        <v>0</v>
      </c>
      <c r="BF348" s="186">
        <f t="shared" si="25"/>
        <v>0</v>
      </c>
      <c r="BG348" s="186">
        <f t="shared" si="26"/>
        <v>0</v>
      </c>
      <c r="BH348" s="186">
        <f t="shared" si="27"/>
        <v>0</v>
      </c>
      <c r="BI348" s="186">
        <f t="shared" si="28"/>
        <v>0</v>
      </c>
      <c r="BJ348" s="83" t="s">
        <v>85</v>
      </c>
      <c r="BK348" s="186">
        <f t="shared" si="29"/>
        <v>0</v>
      </c>
      <c r="BL348" s="83" t="s">
        <v>146</v>
      </c>
      <c r="BM348" s="185" t="s">
        <v>778</v>
      </c>
    </row>
    <row r="349" spans="1:65" s="95" customFormat="1" ht="24">
      <c r="A349" s="91"/>
      <c r="B349" s="92"/>
      <c r="C349" s="175" t="s">
        <v>497</v>
      </c>
      <c r="D349" s="175" t="s">
        <v>141</v>
      </c>
      <c r="E349" s="176" t="s">
        <v>779</v>
      </c>
      <c r="F349" s="177" t="s">
        <v>780</v>
      </c>
      <c r="G349" s="178" t="s">
        <v>297</v>
      </c>
      <c r="H349" s="179">
        <v>1</v>
      </c>
      <c r="I349" s="69"/>
      <c r="J349" s="180">
        <f t="shared" si="20"/>
        <v>0</v>
      </c>
      <c r="K349" s="177" t="s">
        <v>1</v>
      </c>
      <c r="L349" s="92"/>
      <c r="M349" s="181" t="s">
        <v>1</v>
      </c>
      <c r="N349" s="182" t="s">
        <v>44</v>
      </c>
      <c r="O349" s="183">
        <v>0.612</v>
      </c>
      <c r="P349" s="183">
        <f t="shared" si="21"/>
        <v>0.612</v>
      </c>
      <c r="Q349" s="183">
        <v>2E-05</v>
      </c>
      <c r="R349" s="183">
        <f t="shared" si="22"/>
        <v>2E-05</v>
      </c>
      <c r="S349" s="183">
        <v>0</v>
      </c>
      <c r="T349" s="184">
        <f t="shared" si="23"/>
        <v>0</v>
      </c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R349" s="185" t="s">
        <v>146</v>
      </c>
      <c r="AT349" s="185" t="s">
        <v>141</v>
      </c>
      <c r="AU349" s="185" t="s">
        <v>87</v>
      </c>
      <c r="AY349" s="83" t="s">
        <v>139</v>
      </c>
      <c r="BE349" s="186">
        <f t="shared" si="24"/>
        <v>0</v>
      </c>
      <c r="BF349" s="186">
        <f t="shared" si="25"/>
        <v>0</v>
      </c>
      <c r="BG349" s="186">
        <f t="shared" si="26"/>
        <v>0</v>
      </c>
      <c r="BH349" s="186">
        <f t="shared" si="27"/>
        <v>0</v>
      </c>
      <c r="BI349" s="186">
        <f t="shared" si="28"/>
        <v>0</v>
      </c>
      <c r="BJ349" s="83" t="s">
        <v>85</v>
      </c>
      <c r="BK349" s="186">
        <f t="shared" si="29"/>
        <v>0</v>
      </c>
      <c r="BL349" s="83" t="s">
        <v>146</v>
      </c>
      <c r="BM349" s="185" t="s">
        <v>781</v>
      </c>
    </row>
    <row r="350" spans="1:65" s="95" customFormat="1" ht="16.5" customHeight="1">
      <c r="A350" s="91"/>
      <c r="B350" s="92"/>
      <c r="C350" s="217" t="s">
        <v>501</v>
      </c>
      <c r="D350" s="217" t="s">
        <v>251</v>
      </c>
      <c r="E350" s="218" t="s">
        <v>782</v>
      </c>
      <c r="F350" s="219" t="s">
        <v>783</v>
      </c>
      <c r="G350" s="220" t="s">
        <v>297</v>
      </c>
      <c r="H350" s="221">
        <v>1</v>
      </c>
      <c r="I350" s="70"/>
      <c r="J350" s="222">
        <f t="shared" si="20"/>
        <v>0</v>
      </c>
      <c r="K350" s="219" t="s">
        <v>1</v>
      </c>
      <c r="L350" s="223"/>
      <c r="M350" s="224" t="s">
        <v>1</v>
      </c>
      <c r="N350" s="225" t="s">
        <v>44</v>
      </c>
      <c r="O350" s="183">
        <v>0</v>
      </c>
      <c r="P350" s="183">
        <f t="shared" si="21"/>
        <v>0</v>
      </c>
      <c r="Q350" s="183">
        <v>0.00107</v>
      </c>
      <c r="R350" s="183">
        <f t="shared" si="22"/>
        <v>0.00107</v>
      </c>
      <c r="S350" s="183">
        <v>0</v>
      </c>
      <c r="T350" s="184">
        <f t="shared" si="23"/>
        <v>0</v>
      </c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R350" s="185" t="s">
        <v>187</v>
      </c>
      <c r="AT350" s="185" t="s">
        <v>251</v>
      </c>
      <c r="AU350" s="185" t="s">
        <v>87</v>
      </c>
      <c r="AY350" s="83" t="s">
        <v>139</v>
      </c>
      <c r="BE350" s="186">
        <f t="shared" si="24"/>
        <v>0</v>
      </c>
      <c r="BF350" s="186">
        <f t="shared" si="25"/>
        <v>0</v>
      </c>
      <c r="BG350" s="186">
        <f t="shared" si="26"/>
        <v>0</v>
      </c>
      <c r="BH350" s="186">
        <f t="shared" si="27"/>
        <v>0</v>
      </c>
      <c r="BI350" s="186">
        <f t="shared" si="28"/>
        <v>0</v>
      </c>
      <c r="BJ350" s="83" t="s">
        <v>85</v>
      </c>
      <c r="BK350" s="186">
        <f t="shared" si="29"/>
        <v>0</v>
      </c>
      <c r="BL350" s="83" t="s">
        <v>146</v>
      </c>
      <c r="BM350" s="185" t="s">
        <v>784</v>
      </c>
    </row>
    <row r="351" spans="1:65" s="95" customFormat="1" ht="22.5" customHeight="1">
      <c r="A351" s="91"/>
      <c r="B351" s="92"/>
      <c r="C351" s="217" t="s">
        <v>1559</v>
      </c>
      <c r="D351" s="217" t="s">
        <v>251</v>
      </c>
      <c r="E351" s="218"/>
      <c r="F351" s="219" t="s">
        <v>1560</v>
      </c>
      <c r="G351" s="220" t="s">
        <v>438</v>
      </c>
      <c r="H351" s="221">
        <v>3</v>
      </c>
      <c r="I351" s="70"/>
      <c r="J351" s="222">
        <f t="shared" si="20"/>
        <v>0</v>
      </c>
      <c r="K351" s="219" t="s">
        <v>1</v>
      </c>
      <c r="L351" s="223"/>
      <c r="M351" s="224" t="s">
        <v>1</v>
      </c>
      <c r="N351" s="225" t="s">
        <v>44</v>
      </c>
      <c r="O351" s="183">
        <v>0</v>
      </c>
      <c r="P351" s="183">
        <f t="shared" si="21"/>
        <v>0</v>
      </c>
      <c r="Q351" s="183">
        <v>0.00043</v>
      </c>
      <c r="R351" s="183">
        <f t="shared" si="22"/>
        <v>0.00129</v>
      </c>
      <c r="S351" s="183">
        <v>0</v>
      </c>
      <c r="T351" s="184">
        <f t="shared" si="23"/>
        <v>0</v>
      </c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R351" s="185" t="s">
        <v>187</v>
      </c>
      <c r="AT351" s="185" t="s">
        <v>251</v>
      </c>
      <c r="AU351" s="185" t="s">
        <v>87</v>
      </c>
      <c r="AY351" s="83" t="s">
        <v>139</v>
      </c>
      <c r="BE351" s="186">
        <f t="shared" si="24"/>
        <v>0</v>
      </c>
      <c r="BF351" s="186">
        <f t="shared" si="25"/>
        <v>0</v>
      </c>
      <c r="BG351" s="186">
        <f t="shared" si="26"/>
        <v>0</v>
      </c>
      <c r="BH351" s="186">
        <f t="shared" si="27"/>
        <v>0</v>
      </c>
      <c r="BI351" s="186">
        <f t="shared" si="28"/>
        <v>0</v>
      </c>
      <c r="BJ351" s="83" t="s">
        <v>85</v>
      </c>
      <c r="BK351" s="186">
        <f t="shared" si="29"/>
        <v>0</v>
      </c>
      <c r="BL351" s="83" t="s">
        <v>146</v>
      </c>
      <c r="BM351" s="185" t="s">
        <v>1422</v>
      </c>
    </row>
    <row r="352" spans="1:65" s="95" customFormat="1" ht="44.25" customHeight="1">
      <c r="A352" s="91"/>
      <c r="B352" s="92"/>
      <c r="C352" s="175" t="s">
        <v>508</v>
      </c>
      <c r="D352" s="175" t="s">
        <v>141</v>
      </c>
      <c r="E352" s="176" t="s">
        <v>785</v>
      </c>
      <c r="F352" s="177" t="s">
        <v>786</v>
      </c>
      <c r="G352" s="178" t="s">
        <v>297</v>
      </c>
      <c r="H352" s="179">
        <v>1</v>
      </c>
      <c r="I352" s="69"/>
      <c r="J352" s="180">
        <f t="shared" si="20"/>
        <v>0</v>
      </c>
      <c r="K352" s="177" t="s">
        <v>145</v>
      </c>
      <c r="L352" s="92"/>
      <c r="M352" s="181" t="s">
        <v>1</v>
      </c>
      <c r="N352" s="182" t="s">
        <v>44</v>
      </c>
      <c r="O352" s="183">
        <v>2.128</v>
      </c>
      <c r="P352" s="183">
        <f t="shared" si="21"/>
        <v>2.128</v>
      </c>
      <c r="Q352" s="183">
        <v>0.00296</v>
      </c>
      <c r="R352" s="183">
        <f t="shared" si="22"/>
        <v>0.00296</v>
      </c>
      <c r="S352" s="183">
        <v>0</v>
      </c>
      <c r="T352" s="184">
        <f t="shared" si="23"/>
        <v>0</v>
      </c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R352" s="185" t="s">
        <v>146</v>
      </c>
      <c r="AT352" s="185" t="s">
        <v>141</v>
      </c>
      <c r="AU352" s="185" t="s">
        <v>87</v>
      </c>
      <c r="AY352" s="83" t="s">
        <v>139</v>
      </c>
      <c r="BE352" s="186">
        <f t="shared" si="24"/>
        <v>0</v>
      </c>
      <c r="BF352" s="186">
        <f t="shared" si="25"/>
        <v>0</v>
      </c>
      <c r="BG352" s="186">
        <f t="shared" si="26"/>
        <v>0</v>
      </c>
      <c r="BH352" s="186">
        <f t="shared" si="27"/>
        <v>0</v>
      </c>
      <c r="BI352" s="186">
        <f t="shared" si="28"/>
        <v>0</v>
      </c>
      <c r="BJ352" s="83" t="s">
        <v>85</v>
      </c>
      <c r="BK352" s="186">
        <f t="shared" si="29"/>
        <v>0</v>
      </c>
      <c r="BL352" s="83" t="s">
        <v>146</v>
      </c>
      <c r="BM352" s="185" t="s">
        <v>787</v>
      </c>
    </row>
    <row r="353" spans="1:65" s="95" customFormat="1" ht="24">
      <c r="A353" s="91"/>
      <c r="B353" s="92"/>
      <c r="C353" s="217" t="s">
        <v>512</v>
      </c>
      <c r="D353" s="217" t="s">
        <v>251</v>
      </c>
      <c r="E353" s="218" t="s">
        <v>788</v>
      </c>
      <c r="F353" s="228" t="s">
        <v>789</v>
      </c>
      <c r="G353" s="220" t="s">
        <v>297</v>
      </c>
      <c r="H353" s="221">
        <v>1</v>
      </c>
      <c r="I353" s="70"/>
      <c r="J353" s="222">
        <f t="shared" si="20"/>
        <v>0</v>
      </c>
      <c r="K353" s="219" t="s">
        <v>145</v>
      </c>
      <c r="L353" s="223"/>
      <c r="M353" s="224" t="s">
        <v>1</v>
      </c>
      <c r="N353" s="225" t="s">
        <v>44</v>
      </c>
      <c r="O353" s="183">
        <v>0</v>
      </c>
      <c r="P353" s="183">
        <f t="shared" si="21"/>
        <v>0</v>
      </c>
      <c r="Q353" s="183">
        <v>0.046</v>
      </c>
      <c r="R353" s="183">
        <f t="shared" si="22"/>
        <v>0.046</v>
      </c>
      <c r="S353" s="183">
        <v>0</v>
      </c>
      <c r="T353" s="184">
        <f t="shared" si="23"/>
        <v>0</v>
      </c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R353" s="185" t="s">
        <v>187</v>
      </c>
      <c r="AT353" s="185" t="s">
        <v>251</v>
      </c>
      <c r="AU353" s="185" t="s">
        <v>87</v>
      </c>
      <c r="AY353" s="83" t="s">
        <v>139</v>
      </c>
      <c r="BE353" s="186">
        <f t="shared" si="24"/>
        <v>0</v>
      </c>
      <c r="BF353" s="186">
        <f t="shared" si="25"/>
        <v>0</v>
      </c>
      <c r="BG353" s="186">
        <f t="shared" si="26"/>
        <v>0</v>
      </c>
      <c r="BH353" s="186">
        <f t="shared" si="27"/>
        <v>0</v>
      </c>
      <c r="BI353" s="186">
        <f t="shared" si="28"/>
        <v>0</v>
      </c>
      <c r="BJ353" s="83" t="s">
        <v>85</v>
      </c>
      <c r="BK353" s="186">
        <f t="shared" si="29"/>
        <v>0</v>
      </c>
      <c r="BL353" s="83" t="s">
        <v>146</v>
      </c>
      <c r="BM353" s="185" t="s">
        <v>790</v>
      </c>
    </row>
    <row r="354" spans="1:65" s="95" customFormat="1" ht="24">
      <c r="A354" s="91"/>
      <c r="B354" s="92"/>
      <c r="C354" s="217" t="s">
        <v>516</v>
      </c>
      <c r="D354" s="217" t="s">
        <v>251</v>
      </c>
      <c r="E354" s="218" t="s">
        <v>791</v>
      </c>
      <c r="F354" s="228" t="s">
        <v>792</v>
      </c>
      <c r="G354" s="220" t="s">
        <v>297</v>
      </c>
      <c r="H354" s="221">
        <v>1</v>
      </c>
      <c r="I354" s="70"/>
      <c r="J354" s="222">
        <f t="shared" si="20"/>
        <v>0</v>
      </c>
      <c r="K354" s="219" t="s">
        <v>1</v>
      </c>
      <c r="L354" s="223"/>
      <c r="M354" s="224" t="s">
        <v>1</v>
      </c>
      <c r="N354" s="225" t="s">
        <v>44</v>
      </c>
      <c r="O354" s="183">
        <v>0</v>
      </c>
      <c r="P354" s="183">
        <f t="shared" si="21"/>
        <v>0</v>
      </c>
      <c r="Q354" s="183">
        <v>0.00654</v>
      </c>
      <c r="R354" s="183">
        <f t="shared" si="22"/>
        <v>0.00654</v>
      </c>
      <c r="S354" s="183">
        <v>0</v>
      </c>
      <c r="T354" s="184">
        <f t="shared" si="23"/>
        <v>0</v>
      </c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R354" s="185" t="s">
        <v>187</v>
      </c>
      <c r="AT354" s="185" t="s">
        <v>251</v>
      </c>
      <c r="AU354" s="185" t="s">
        <v>87</v>
      </c>
      <c r="AY354" s="83" t="s">
        <v>139</v>
      </c>
      <c r="BE354" s="186">
        <f t="shared" si="24"/>
        <v>0</v>
      </c>
      <c r="BF354" s="186">
        <f t="shared" si="25"/>
        <v>0</v>
      </c>
      <c r="BG354" s="186">
        <f t="shared" si="26"/>
        <v>0</v>
      </c>
      <c r="BH354" s="186">
        <f t="shared" si="27"/>
        <v>0</v>
      </c>
      <c r="BI354" s="186">
        <f t="shared" si="28"/>
        <v>0</v>
      </c>
      <c r="BJ354" s="83" t="s">
        <v>85</v>
      </c>
      <c r="BK354" s="186">
        <f t="shared" si="29"/>
        <v>0</v>
      </c>
      <c r="BL354" s="83" t="s">
        <v>146</v>
      </c>
      <c r="BM354" s="185" t="s">
        <v>793</v>
      </c>
    </row>
    <row r="355" spans="1:65" s="95" customFormat="1" ht="44.25" customHeight="1">
      <c r="A355" s="91"/>
      <c r="B355" s="92"/>
      <c r="C355" s="175" t="s">
        <v>520</v>
      </c>
      <c r="D355" s="175" t="s">
        <v>141</v>
      </c>
      <c r="E355" s="176" t="s">
        <v>794</v>
      </c>
      <c r="F355" s="177" t="s">
        <v>795</v>
      </c>
      <c r="G355" s="178" t="s">
        <v>297</v>
      </c>
      <c r="H355" s="179">
        <v>2</v>
      </c>
      <c r="I355" s="69"/>
      <c r="J355" s="180">
        <f t="shared" si="20"/>
        <v>0</v>
      </c>
      <c r="K355" s="177" t="s">
        <v>145</v>
      </c>
      <c r="L355" s="92"/>
      <c r="M355" s="181" t="s">
        <v>1</v>
      </c>
      <c r="N355" s="182" t="s">
        <v>44</v>
      </c>
      <c r="O355" s="183">
        <v>3.592</v>
      </c>
      <c r="P355" s="183">
        <f t="shared" si="21"/>
        <v>7.184</v>
      </c>
      <c r="Q355" s="183">
        <v>0</v>
      </c>
      <c r="R355" s="183">
        <f t="shared" si="22"/>
        <v>0</v>
      </c>
      <c r="S355" s="183">
        <v>0</v>
      </c>
      <c r="T355" s="184">
        <f t="shared" si="23"/>
        <v>0</v>
      </c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R355" s="185" t="s">
        <v>146</v>
      </c>
      <c r="AT355" s="185" t="s">
        <v>141</v>
      </c>
      <c r="AU355" s="185" t="s">
        <v>87</v>
      </c>
      <c r="AY355" s="83" t="s">
        <v>139</v>
      </c>
      <c r="BE355" s="186">
        <f t="shared" si="24"/>
        <v>0</v>
      </c>
      <c r="BF355" s="186">
        <f t="shared" si="25"/>
        <v>0</v>
      </c>
      <c r="BG355" s="186">
        <f t="shared" si="26"/>
        <v>0</v>
      </c>
      <c r="BH355" s="186">
        <f t="shared" si="27"/>
        <v>0</v>
      </c>
      <c r="BI355" s="186">
        <f t="shared" si="28"/>
        <v>0</v>
      </c>
      <c r="BJ355" s="83" t="s">
        <v>85</v>
      </c>
      <c r="BK355" s="186">
        <f t="shared" si="29"/>
        <v>0</v>
      </c>
      <c r="BL355" s="83" t="s">
        <v>146</v>
      </c>
      <c r="BM355" s="185" t="s">
        <v>796</v>
      </c>
    </row>
    <row r="356" spans="1:65" s="95" customFormat="1" ht="24">
      <c r="A356" s="91"/>
      <c r="B356" s="92"/>
      <c r="C356" s="217" t="s">
        <v>524</v>
      </c>
      <c r="D356" s="217" t="s">
        <v>251</v>
      </c>
      <c r="E356" s="218" t="s">
        <v>797</v>
      </c>
      <c r="F356" s="228" t="s">
        <v>798</v>
      </c>
      <c r="G356" s="220" t="s">
        <v>297</v>
      </c>
      <c r="H356" s="221">
        <v>2</v>
      </c>
      <c r="I356" s="70"/>
      <c r="J356" s="222">
        <f t="shared" si="20"/>
        <v>0</v>
      </c>
      <c r="K356" s="219" t="s">
        <v>145</v>
      </c>
      <c r="L356" s="223"/>
      <c r="M356" s="224" t="s">
        <v>1</v>
      </c>
      <c r="N356" s="225" t="s">
        <v>44</v>
      </c>
      <c r="O356" s="183">
        <v>0</v>
      </c>
      <c r="P356" s="183">
        <f t="shared" si="21"/>
        <v>0</v>
      </c>
      <c r="Q356" s="183">
        <v>0.0021</v>
      </c>
      <c r="R356" s="183">
        <f t="shared" si="22"/>
        <v>0.0042</v>
      </c>
      <c r="S356" s="183">
        <v>0</v>
      </c>
      <c r="T356" s="184">
        <f t="shared" si="23"/>
        <v>0</v>
      </c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R356" s="185" t="s">
        <v>187</v>
      </c>
      <c r="AT356" s="185" t="s">
        <v>251</v>
      </c>
      <c r="AU356" s="185" t="s">
        <v>87</v>
      </c>
      <c r="AY356" s="83" t="s">
        <v>139</v>
      </c>
      <c r="BE356" s="186">
        <f t="shared" si="24"/>
        <v>0</v>
      </c>
      <c r="BF356" s="186">
        <f t="shared" si="25"/>
        <v>0</v>
      </c>
      <c r="BG356" s="186">
        <f t="shared" si="26"/>
        <v>0</v>
      </c>
      <c r="BH356" s="186">
        <f t="shared" si="27"/>
        <v>0</v>
      </c>
      <c r="BI356" s="186">
        <f t="shared" si="28"/>
        <v>0</v>
      </c>
      <c r="BJ356" s="83" t="s">
        <v>85</v>
      </c>
      <c r="BK356" s="186">
        <f t="shared" si="29"/>
        <v>0</v>
      </c>
      <c r="BL356" s="83" t="s">
        <v>146</v>
      </c>
      <c r="BM356" s="185" t="s">
        <v>799</v>
      </c>
    </row>
    <row r="357" spans="1:65" s="95" customFormat="1" ht="21.75" customHeight="1">
      <c r="A357" s="91"/>
      <c r="B357" s="92"/>
      <c r="C357" s="175" t="s">
        <v>528</v>
      </c>
      <c r="D357" s="175" t="s">
        <v>141</v>
      </c>
      <c r="E357" s="176" t="s">
        <v>800</v>
      </c>
      <c r="F357" s="177" t="s">
        <v>801</v>
      </c>
      <c r="G357" s="178" t="s">
        <v>171</v>
      </c>
      <c r="H357" s="179">
        <v>170.11</v>
      </c>
      <c r="I357" s="69"/>
      <c r="J357" s="180">
        <f t="shared" si="20"/>
        <v>0</v>
      </c>
      <c r="K357" s="177" t="s">
        <v>145</v>
      </c>
      <c r="L357" s="92"/>
      <c r="M357" s="181" t="s">
        <v>1</v>
      </c>
      <c r="N357" s="182" t="s">
        <v>44</v>
      </c>
      <c r="O357" s="183">
        <v>0.055</v>
      </c>
      <c r="P357" s="183">
        <f t="shared" si="21"/>
        <v>9.356050000000002</v>
      </c>
      <c r="Q357" s="183">
        <v>0</v>
      </c>
      <c r="R357" s="183">
        <f t="shared" si="22"/>
        <v>0</v>
      </c>
      <c r="S357" s="183">
        <v>0</v>
      </c>
      <c r="T357" s="184">
        <f t="shared" si="23"/>
        <v>0</v>
      </c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R357" s="185" t="s">
        <v>146</v>
      </c>
      <c r="AT357" s="185" t="s">
        <v>141</v>
      </c>
      <c r="AU357" s="185" t="s">
        <v>87</v>
      </c>
      <c r="AY357" s="83" t="s">
        <v>139</v>
      </c>
      <c r="BE357" s="186">
        <f t="shared" si="24"/>
        <v>0</v>
      </c>
      <c r="BF357" s="186">
        <f t="shared" si="25"/>
        <v>0</v>
      </c>
      <c r="BG357" s="186">
        <f t="shared" si="26"/>
        <v>0</v>
      </c>
      <c r="BH357" s="186">
        <f t="shared" si="27"/>
        <v>0</v>
      </c>
      <c r="BI357" s="186">
        <f t="shared" si="28"/>
        <v>0</v>
      </c>
      <c r="BJ357" s="83" t="s">
        <v>85</v>
      </c>
      <c r="BK357" s="186">
        <f t="shared" si="29"/>
        <v>0</v>
      </c>
      <c r="BL357" s="83" t="s">
        <v>146</v>
      </c>
      <c r="BM357" s="185" t="s">
        <v>802</v>
      </c>
    </row>
    <row r="358" spans="1:65" s="95" customFormat="1" ht="24">
      <c r="A358" s="91"/>
      <c r="B358" s="92"/>
      <c r="C358" s="175" t="s">
        <v>532</v>
      </c>
      <c r="D358" s="175" t="s">
        <v>141</v>
      </c>
      <c r="E358" s="176" t="s">
        <v>803</v>
      </c>
      <c r="F358" s="177" t="s">
        <v>804</v>
      </c>
      <c r="G358" s="178" t="s">
        <v>171</v>
      </c>
      <c r="H358" s="179">
        <v>170.11</v>
      </c>
      <c r="I358" s="69"/>
      <c r="J358" s="180">
        <f t="shared" si="20"/>
        <v>0</v>
      </c>
      <c r="K358" s="177" t="s">
        <v>145</v>
      </c>
      <c r="L358" s="92"/>
      <c r="M358" s="181" t="s">
        <v>1</v>
      </c>
      <c r="N358" s="182" t="s">
        <v>44</v>
      </c>
      <c r="O358" s="183">
        <v>0.124</v>
      </c>
      <c r="P358" s="183">
        <f t="shared" si="21"/>
        <v>21.09364</v>
      </c>
      <c r="Q358" s="183">
        <v>0</v>
      </c>
      <c r="R358" s="183">
        <f t="shared" si="22"/>
        <v>0</v>
      </c>
      <c r="S358" s="183">
        <v>0</v>
      </c>
      <c r="T358" s="184">
        <f t="shared" si="23"/>
        <v>0</v>
      </c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R358" s="185" t="s">
        <v>146</v>
      </c>
      <c r="AT358" s="185" t="s">
        <v>141</v>
      </c>
      <c r="AU358" s="185" t="s">
        <v>87</v>
      </c>
      <c r="AY358" s="83" t="s">
        <v>139</v>
      </c>
      <c r="BE358" s="186">
        <f t="shared" si="24"/>
        <v>0</v>
      </c>
      <c r="BF358" s="186">
        <f t="shared" si="25"/>
        <v>0</v>
      </c>
      <c r="BG358" s="186">
        <f t="shared" si="26"/>
        <v>0</v>
      </c>
      <c r="BH358" s="186">
        <f t="shared" si="27"/>
        <v>0</v>
      </c>
      <c r="BI358" s="186">
        <f t="shared" si="28"/>
        <v>0</v>
      </c>
      <c r="BJ358" s="83" t="s">
        <v>85</v>
      </c>
      <c r="BK358" s="186">
        <f t="shared" si="29"/>
        <v>0</v>
      </c>
      <c r="BL358" s="83" t="s">
        <v>146</v>
      </c>
      <c r="BM358" s="185" t="s">
        <v>805</v>
      </c>
    </row>
    <row r="359" spans="1:65" s="95" customFormat="1" ht="24">
      <c r="A359" s="91"/>
      <c r="B359" s="92"/>
      <c r="C359" s="175" t="s">
        <v>536</v>
      </c>
      <c r="D359" s="175" t="s">
        <v>141</v>
      </c>
      <c r="E359" s="176" t="s">
        <v>525</v>
      </c>
      <c r="F359" s="177" t="s">
        <v>526</v>
      </c>
      <c r="G359" s="178" t="s">
        <v>297</v>
      </c>
      <c r="H359" s="179">
        <v>2</v>
      </c>
      <c r="I359" s="69"/>
      <c r="J359" s="180">
        <f t="shared" si="20"/>
        <v>0</v>
      </c>
      <c r="K359" s="177" t="s">
        <v>145</v>
      </c>
      <c r="L359" s="92"/>
      <c r="M359" s="181" t="s">
        <v>1</v>
      </c>
      <c r="N359" s="182" t="s">
        <v>44</v>
      </c>
      <c r="O359" s="183">
        <v>10.3</v>
      </c>
      <c r="P359" s="183">
        <f t="shared" si="21"/>
        <v>20.6</v>
      </c>
      <c r="Q359" s="183">
        <v>0.46009</v>
      </c>
      <c r="R359" s="183">
        <f t="shared" si="22"/>
        <v>0.92018</v>
      </c>
      <c r="S359" s="183">
        <v>0</v>
      </c>
      <c r="T359" s="184">
        <f t="shared" si="23"/>
        <v>0</v>
      </c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R359" s="185" t="s">
        <v>146</v>
      </c>
      <c r="AT359" s="185" t="s">
        <v>141</v>
      </c>
      <c r="AU359" s="185" t="s">
        <v>87</v>
      </c>
      <c r="AY359" s="83" t="s">
        <v>139</v>
      </c>
      <c r="BE359" s="186">
        <f t="shared" si="24"/>
        <v>0</v>
      </c>
      <c r="BF359" s="186">
        <f t="shared" si="25"/>
        <v>0</v>
      </c>
      <c r="BG359" s="186">
        <f t="shared" si="26"/>
        <v>0</v>
      </c>
      <c r="BH359" s="186">
        <f t="shared" si="27"/>
        <v>0</v>
      </c>
      <c r="BI359" s="186">
        <f t="shared" si="28"/>
        <v>0</v>
      </c>
      <c r="BJ359" s="83" t="s">
        <v>85</v>
      </c>
      <c r="BK359" s="186">
        <f t="shared" si="29"/>
        <v>0</v>
      </c>
      <c r="BL359" s="83" t="s">
        <v>146</v>
      </c>
      <c r="BM359" s="185" t="s">
        <v>806</v>
      </c>
    </row>
    <row r="360" spans="1:65" s="95" customFormat="1" ht="24">
      <c r="A360" s="91"/>
      <c r="B360" s="92"/>
      <c r="C360" s="175" t="s">
        <v>537</v>
      </c>
      <c r="D360" s="175" t="s">
        <v>141</v>
      </c>
      <c r="E360" s="176" t="s">
        <v>807</v>
      </c>
      <c r="F360" s="177" t="s">
        <v>808</v>
      </c>
      <c r="G360" s="178" t="s">
        <v>297</v>
      </c>
      <c r="H360" s="179">
        <v>1</v>
      </c>
      <c r="I360" s="69"/>
      <c r="J360" s="180">
        <f t="shared" si="20"/>
        <v>0</v>
      </c>
      <c r="K360" s="177" t="s">
        <v>145</v>
      </c>
      <c r="L360" s="92"/>
      <c r="M360" s="181" t="s">
        <v>1</v>
      </c>
      <c r="N360" s="182" t="s">
        <v>44</v>
      </c>
      <c r="O360" s="183">
        <v>0.641</v>
      </c>
      <c r="P360" s="183">
        <f t="shared" si="21"/>
        <v>0.641</v>
      </c>
      <c r="Q360" s="183">
        <v>0</v>
      </c>
      <c r="R360" s="183">
        <f t="shared" si="22"/>
        <v>0</v>
      </c>
      <c r="S360" s="183">
        <v>0.1</v>
      </c>
      <c r="T360" s="184">
        <f t="shared" si="23"/>
        <v>0.1</v>
      </c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R360" s="185" t="s">
        <v>146</v>
      </c>
      <c r="AT360" s="185" t="s">
        <v>141</v>
      </c>
      <c r="AU360" s="185" t="s">
        <v>87</v>
      </c>
      <c r="AY360" s="83" t="s">
        <v>139</v>
      </c>
      <c r="BE360" s="186">
        <f t="shared" si="24"/>
        <v>0</v>
      </c>
      <c r="BF360" s="186">
        <f t="shared" si="25"/>
        <v>0</v>
      </c>
      <c r="BG360" s="186">
        <f t="shared" si="26"/>
        <v>0</v>
      </c>
      <c r="BH360" s="186">
        <f t="shared" si="27"/>
        <v>0</v>
      </c>
      <c r="BI360" s="186">
        <f t="shared" si="28"/>
        <v>0</v>
      </c>
      <c r="BJ360" s="83" t="s">
        <v>85</v>
      </c>
      <c r="BK360" s="186">
        <f t="shared" si="29"/>
        <v>0</v>
      </c>
      <c r="BL360" s="83" t="s">
        <v>146</v>
      </c>
      <c r="BM360" s="185" t="s">
        <v>809</v>
      </c>
    </row>
    <row r="361" spans="2:51" s="187" customFormat="1" ht="12">
      <c r="B361" s="188"/>
      <c r="D361" s="189" t="s">
        <v>148</v>
      </c>
      <c r="E361" s="190" t="s">
        <v>1</v>
      </c>
      <c r="F361" s="191" t="s">
        <v>810</v>
      </c>
      <c r="H361" s="192">
        <v>1</v>
      </c>
      <c r="I361" s="233"/>
      <c r="L361" s="188"/>
      <c r="M361" s="193"/>
      <c r="N361" s="194"/>
      <c r="O361" s="194"/>
      <c r="P361" s="194"/>
      <c r="Q361" s="194"/>
      <c r="R361" s="194"/>
      <c r="S361" s="194"/>
      <c r="T361" s="195"/>
      <c r="AT361" s="190" t="s">
        <v>148</v>
      </c>
      <c r="AU361" s="190" t="s">
        <v>87</v>
      </c>
      <c r="AV361" s="187" t="s">
        <v>87</v>
      </c>
      <c r="AW361" s="187" t="s">
        <v>34</v>
      </c>
      <c r="AX361" s="187" t="s">
        <v>85</v>
      </c>
      <c r="AY361" s="190" t="s">
        <v>139</v>
      </c>
    </row>
    <row r="362" spans="1:65" s="95" customFormat="1" ht="16.5" customHeight="1">
      <c r="A362" s="91"/>
      <c r="B362" s="92"/>
      <c r="C362" s="175" t="s">
        <v>542</v>
      </c>
      <c r="D362" s="175" t="s">
        <v>141</v>
      </c>
      <c r="E362" s="176" t="s">
        <v>529</v>
      </c>
      <c r="F362" s="177" t="s">
        <v>530</v>
      </c>
      <c r="G362" s="178" t="s">
        <v>297</v>
      </c>
      <c r="H362" s="179">
        <v>3</v>
      </c>
      <c r="I362" s="69"/>
      <c r="J362" s="180">
        <f>ROUND(I362*H362,2)</f>
        <v>0</v>
      </c>
      <c r="K362" s="177" t="s">
        <v>145</v>
      </c>
      <c r="L362" s="92"/>
      <c r="M362" s="181" t="s">
        <v>1</v>
      </c>
      <c r="N362" s="182" t="s">
        <v>44</v>
      </c>
      <c r="O362" s="183">
        <v>0.863</v>
      </c>
      <c r="P362" s="183">
        <f>O362*H362</f>
        <v>2.589</v>
      </c>
      <c r="Q362" s="183">
        <v>0.12303</v>
      </c>
      <c r="R362" s="183">
        <f>Q362*H362</f>
        <v>0.36909000000000003</v>
      </c>
      <c r="S362" s="183">
        <v>0</v>
      </c>
      <c r="T362" s="184">
        <f>S362*H362</f>
        <v>0</v>
      </c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R362" s="185" t="s">
        <v>146</v>
      </c>
      <c r="AT362" s="185" t="s">
        <v>141</v>
      </c>
      <c r="AU362" s="185" t="s">
        <v>87</v>
      </c>
      <c r="AY362" s="83" t="s">
        <v>139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83" t="s">
        <v>85</v>
      </c>
      <c r="BK362" s="186">
        <f>ROUND(I362*H362,2)</f>
        <v>0</v>
      </c>
      <c r="BL362" s="83" t="s">
        <v>146</v>
      </c>
      <c r="BM362" s="185" t="s">
        <v>811</v>
      </c>
    </row>
    <row r="363" spans="2:51" s="187" customFormat="1" ht="12">
      <c r="B363" s="188"/>
      <c r="D363" s="189" t="s">
        <v>148</v>
      </c>
      <c r="E363" s="190" t="s">
        <v>1</v>
      </c>
      <c r="F363" s="191" t="s">
        <v>160</v>
      </c>
      <c r="H363" s="192">
        <v>3</v>
      </c>
      <c r="I363" s="233"/>
      <c r="L363" s="188"/>
      <c r="M363" s="193"/>
      <c r="N363" s="194"/>
      <c r="O363" s="194"/>
      <c r="P363" s="194"/>
      <c r="Q363" s="194"/>
      <c r="R363" s="194"/>
      <c r="S363" s="194"/>
      <c r="T363" s="195"/>
      <c r="AT363" s="190" t="s">
        <v>148</v>
      </c>
      <c r="AU363" s="190" t="s">
        <v>87</v>
      </c>
      <c r="AV363" s="187" t="s">
        <v>87</v>
      </c>
      <c r="AW363" s="187" t="s">
        <v>34</v>
      </c>
      <c r="AX363" s="187" t="s">
        <v>85</v>
      </c>
      <c r="AY363" s="190" t="s">
        <v>139</v>
      </c>
    </row>
    <row r="364" spans="1:65" s="95" customFormat="1" ht="24.2" customHeight="1">
      <c r="A364" s="91"/>
      <c r="B364" s="92"/>
      <c r="C364" s="217" t="s">
        <v>545</v>
      </c>
      <c r="D364" s="217" t="s">
        <v>251</v>
      </c>
      <c r="E364" s="218" t="s">
        <v>533</v>
      </c>
      <c r="F364" s="228" t="s">
        <v>534</v>
      </c>
      <c r="G364" s="220" t="s">
        <v>460</v>
      </c>
      <c r="H364" s="221">
        <v>3</v>
      </c>
      <c r="I364" s="70"/>
      <c r="J364" s="222">
        <f>ROUND(I364*H364,2)</f>
        <v>0</v>
      </c>
      <c r="K364" s="219" t="s">
        <v>1</v>
      </c>
      <c r="L364" s="223"/>
      <c r="M364" s="224" t="s">
        <v>1</v>
      </c>
      <c r="N364" s="225" t="s">
        <v>44</v>
      </c>
      <c r="O364" s="183">
        <v>0</v>
      </c>
      <c r="P364" s="183">
        <f>O364*H364</f>
        <v>0</v>
      </c>
      <c r="Q364" s="183">
        <v>0.0071</v>
      </c>
      <c r="R364" s="183">
        <f>Q364*H364</f>
        <v>0.0213</v>
      </c>
      <c r="S364" s="183">
        <v>0</v>
      </c>
      <c r="T364" s="184">
        <f>S364*H364</f>
        <v>0</v>
      </c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R364" s="185" t="s">
        <v>187</v>
      </c>
      <c r="AT364" s="185" t="s">
        <v>251</v>
      </c>
      <c r="AU364" s="185" t="s">
        <v>87</v>
      </c>
      <c r="AY364" s="83" t="s">
        <v>139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83" t="s">
        <v>85</v>
      </c>
      <c r="BK364" s="186">
        <f>ROUND(I364*H364,2)</f>
        <v>0</v>
      </c>
      <c r="BL364" s="83" t="s">
        <v>146</v>
      </c>
      <c r="BM364" s="185" t="s">
        <v>812</v>
      </c>
    </row>
    <row r="365" spans="1:65" s="95" customFormat="1" ht="21.75" customHeight="1">
      <c r="A365" s="91"/>
      <c r="B365" s="92"/>
      <c r="C365" s="175" t="s">
        <v>553</v>
      </c>
      <c r="D365" s="175" t="s">
        <v>141</v>
      </c>
      <c r="E365" s="176" t="s">
        <v>554</v>
      </c>
      <c r="F365" s="177" t="s">
        <v>555</v>
      </c>
      <c r="G365" s="178" t="s">
        <v>171</v>
      </c>
      <c r="H365" s="179">
        <v>28</v>
      </c>
      <c r="I365" s="69"/>
      <c r="J365" s="180">
        <f>ROUND(I365*H365,2)</f>
        <v>0</v>
      </c>
      <c r="K365" s="177" t="s">
        <v>145</v>
      </c>
      <c r="L365" s="92"/>
      <c r="M365" s="181" t="s">
        <v>1</v>
      </c>
      <c r="N365" s="182" t="s">
        <v>44</v>
      </c>
      <c r="O365" s="183">
        <v>0.025</v>
      </c>
      <c r="P365" s="183">
        <f>O365*H365</f>
        <v>0.7000000000000001</v>
      </c>
      <c r="Q365" s="183">
        <v>9E-05</v>
      </c>
      <c r="R365" s="183">
        <f>Q365*H365</f>
        <v>0.00252</v>
      </c>
      <c r="S365" s="183">
        <v>0</v>
      </c>
      <c r="T365" s="184">
        <f>S365*H365</f>
        <v>0</v>
      </c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R365" s="185" t="s">
        <v>146</v>
      </c>
      <c r="AT365" s="185" t="s">
        <v>141</v>
      </c>
      <c r="AU365" s="185" t="s">
        <v>87</v>
      </c>
      <c r="AY365" s="83" t="s">
        <v>139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83" t="s">
        <v>85</v>
      </c>
      <c r="BK365" s="186">
        <f>ROUND(I365*H365,2)</f>
        <v>0</v>
      </c>
      <c r="BL365" s="83" t="s">
        <v>146</v>
      </c>
      <c r="BM365" s="185" t="s">
        <v>813</v>
      </c>
    </row>
    <row r="366" spans="2:51" s="187" customFormat="1" ht="12">
      <c r="B366" s="188"/>
      <c r="D366" s="189" t="s">
        <v>148</v>
      </c>
      <c r="E366" s="190" t="s">
        <v>1</v>
      </c>
      <c r="F366" s="191" t="s">
        <v>814</v>
      </c>
      <c r="H366" s="192">
        <v>28</v>
      </c>
      <c r="I366" s="233"/>
      <c r="L366" s="188"/>
      <c r="M366" s="193"/>
      <c r="N366" s="194"/>
      <c r="O366" s="194"/>
      <c r="P366" s="194"/>
      <c r="Q366" s="194"/>
      <c r="R366" s="194"/>
      <c r="S366" s="194"/>
      <c r="T366" s="195"/>
      <c r="AT366" s="190" t="s">
        <v>148</v>
      </c>
      <c r="AU366" s="190" t="s">
        <v>87</v>
      </c>
      <c r="AV366" s="187" t="s">
        <v>87</v>
      </c>
      <c r="AW366" s="187" t="s">
        <v>34</v>
      </c>
      <c r="AX366" s="187" t="s">
        <v>85</v>
      </c>
      <c r="AY366" s="190" t="s">
        <v>139</v>
      </c>
    </row>
    <row r="367" spans="1:65" s="95" customFormat="1" ht="24">
      <c r="A367" s="91"/>
      <c r="B367" s="92"/>
      <c r="C367" s="175" t="s">
        <v>557</v>
      </c>
      <c r="D367" s="175" t="s">
        <v>141</v>
      </c>
      <c r="E367" s="176" t="s">
        <v>815</v>
      </c>
      <c r="F367" s="177" t="s">
        <v>816</v>
      </c>
      <c r="G367" s="178" t="s">
        <v>297</v>
      </c>
      <c r="H367" s="179">
        <v>4</v>
      </c>
      <c r="I367" s="69"/>
      <c r="J367" s="180">
        <f>ROUND(I367*H367,2)</f>
        <v>0</v>
      </c>
      <c r="K367" s="177" t="s">
        <v>1</v>
      </c>
      <c r="L367" s="92"/>
      <c r="M367" s="181" t="s">
        <v>1</v>
      </c>
      <c r="N367" s="182" t="s">
        <v>44</v>
      </c>
      <c r="O367" s="183">
        <v>0.066</v>
      </c>
      <c r="P367" s="183">
        <f>O367*H367</f>
        <v>0.264</v>
      </c>
      <c r="Q367" s="183">
        <v>0.0002</v>
      </c>
      <c r="R367" s="183">
        <f>Q367*H367</f>
        <v>0.0008</v>
      </c>
      <c r="S367" s="183">
        <v>0</v>
      </c>
      <c r="T367" s="184">
        <f>S367*H367</f>
        <v>0</v>
      </c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R367" s="185" t="s">
        <v>146</v>
      </c>
      <c r="AT367" s="185" t="s">
        <v>141</v>
      </c>
      <c r="AU367" s="185" t="s">
        <v>87</v>
      </c>
      <c r="AY367" s="83" t="s">
        <v>139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83" t="s">
        <v>85</v>
      </c>
      <c r="BK367" s="186">
        <f>ROUND(I367*H367,2)</f>
        <v>0</v>
      </c>
      <c r="BL367" s="83" t="s">
        <v>146</v>
      </c>
      <c r="BM367" s="185" t="s">
        <v>817</v>
      </c>
    </row>
    <row r="368" spans="2:51" s="201" customFormat="1" ht="12">
      <c r="B368" s="202"/>
      <c r="D368" s="189" t="s">
        <v>148</v>
      </c>
      <c r="E368" s="203" t="s">
        <v>1</v>
      </c>
      <c r="F368" s="204" t="s">
        <v>561</v>
      </c>
      <c r="H368" s="203" t="s">
        <v>1</v>
      </c>
      <c r="I368" s="235"/>
      <c r="L368" s="202"/>
      <c r="M368" s="205"/>
      <c r="N368" s="206"/>
      <c r="O368" s="206"/>
      <c r="P368" s="206"/>
      <c r="Q368" s="206"/>
      <c r="R368" s="206"/>
      <c r="S368" s="206"/>
      <c r="T368" s="207"/>
      <c r="AT368" s="203" t="s">
        <v>148</v>
      </c>
      <c r="AU368" s="203" t="s">
        <v>87</v>
      </c>
      <c r="AV368" s="201" t="s">
        <v>85</v>
      </c>
      <c r="AW368" s="201" t="s">
        <v>34</v>
      </c>
      <c r="AX368" s="201" t="s">
        <v>78</v>
      </c>
      <c r="AY368" s="203" t="s">
        <v>139</v>
      </c>
    </row>
    <row r="369" spans="2:51" s="187" customFormat="1" ht="12">
      <c r="B369" s="188"/>
      <c r="D369" s="189" t="s">
        <v>148</v>
      </c>
      <c r="E369" s="190" t="s">
        <v>1</v>
      </c>
      <c r="F369" s="191" t="s">
        <v>146</v>
      </c>
      <c r="H369" s="192">
        <v>4</v>
      </c>
      <c r="I369" s="233"/>
      <c r="L369" s="188"/>
      <c r="M369" s="193"/>
      <c r="N369" s="194"/>
      <c r="O369" s="194"/>
      <c r="P369" s="194"/>
      <c r="Q369" s="194"/>
      <c r="R369" s="194"/>
      <c r="S369" s="194"/>
      <c r="T369" s="195"/>
      <c r="AT369" s="190" t="s">
        <v>148</v>
      </c>
      <c r="AU369" s="190" t="s">
        <v>87</v>
      </c>
      <c r="AV369" s="187" t="s">
        <v>87</v>
      </c>
      <c r="AW369" s="187" t="s">
        <v>34</v>
      </c>
      <c r="AX369" s="187" t="s">
        <v>85</v>
      </c>
      <c r="AY369" s="190" t="s">
        <v>139</v>
      </c>
    </row>
    <row r="370" spans="2:63" s="162" customFormat="1" ht="22.9" customHeight="1">
      <c r="B370" s="163"/>
      <c r="D370" s="164" t="s">
        <v>77</v>
      </c>
      <c r="E370" s="173" t="s">
        <v>191</v>
      </c>
      <c r="F370" s="173" t="s">
        <v>562</v>
      </c>
      <c r="I370" s="237"/>
      <c r="J370" s="174">
        <f>SUM(J371:J395)</f>
        <v>0</v>
      </c>
      <c r="L370" s="163"/>
      <c r="M370" s="167"/>
      <c r="N370" s="168"/>
      <c r="O370" s="168"/>
      <c r="P370" s="169">
        <f>SUM(P371:P401)</f>
        <v>58.98297405000001</v>
      </c>
      <c r="Q370" s="168"/>
      <c r="R370" s="169">
        <f>SUM(R371:R401)</f>
        <v>0.024395000000000003</v>
      </c>
      <c r="S370" s="168"/>
      <c r="T370" s="170">
        <f>SUM(T371:T401)</f>
        <v>4.66302</v>
      </c>
      <c r="AR370" s="164" t="s">
        <v>85</v>
      </c>
      <c r="AT370" s="171" t="s">
        <v>77</v>
      </c>
      <c r="AU370" s="171" t="s">
        <v>85</v>
      </c>
      <c r="AY370" s="164" t="s">
        <v>139</v>
      </c>
      <c r="BK370" s="172">
        <f>SUM(BK371:BK401)</f>
        <v>0</v>
      </c>
    </row>
    <row r="371" spans="1:65" s="95" customFormat="1" ht="36">
      <c r="A371" s="91"/>
      <c r="B371" s="92"/>
      <c r="C371" s="175" t="s">
        <v>563</v>
      </c>
      <c r="D371" s="175" t="s">
        <v>141</v>
      </c>
      <c r="E371" s="176" t="s">
        <v>818</v>
      </c>
      <c r="F371" s="177" t="s">
        <v>819</v>
      </c>
      <c r="G371" s="178" t="s">
        <v>171</v>
      </c>
      <c r="H371" s="179">
        <v>69.7</v>
      </c>
      <c r="I371" s="69"/>
      <c r="J371" s="180">
        <f>ROUND(I371*H371,2)</f>
        <v>0</v>
      </c>
      <c r="K371" s="177" t="s">
        <v>145</v>
      </c>
      <c r="L371" s="92"/>
      <c r="M371" s="181" t="s">
        <v>1</v>
      </c>
      <c r="N371" s="182" t="s">
        <v>44</v>
      </c>
      <c r="O371" s="183">
        <v>0.24</v>
      </c>
      <c r="P371" s="183">
        <f>O371*H371</f>
        <v>16.728</v>
      </c>
      <c r="Q371" s="183">
        <v>1E-05</v>
      </c>
      <c r="R371" s="183">
        <f>Q371*H371</f>
        <v>0.0006970000000000001</v>
      </c>
      <c r="S371" s="183">
        <v>0</v>
      </c>
      <c r="T371" s="184">
        <f>S371*H371</f>
        <v>0</v>
      </c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R371" s="185" t="s">
        <v>146</v>
      </c>
      <c r="AT371" s="185" t="s">
        <v>141</v>
      </c>
      <c r="AU371" s="185" t="s">
        <v>87</v>
      </c>
      <c r="AY371" s="83" t="s">
        <v>139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83" t="s">
        <v>85</v>
      </c>
      <c r="BK371" s="186">
        <f>ROUND(I371*H371,2)</f>
        <v>0</v>
      </c>
      <c r="BL371" s="83" t="s">
        <v>146</v>
      </c>
      <c r="BM371" s="185" t="s">
        <v>820</v>
      </c>
    </row>
    <row r="372" spans="2:51" s="201" customFormat="1" ht="12">
      <c r="B372" s="202"/>
      <c r="D372" s="189" t="s">
        <v>148</v>
      </c>
      <c r="E372" s="203" t="s">
        <v>1</v>
      </c>
      <c r="F372" s="204" t="s">
        <v>206</v>
      </c>
      <c r="H372" s="203" t="s">
        <v>1</v>
      </c>
      <c r="I372" s="235"/>
      <c r="L372" s="202"/>
      <c r="M372" s="205"/>
      <c r="N372" s="206"/>
      <c r="O372" s="206"/>
      <c r="P372" s="206"/>
      <c r="Q372" s="206"/>
      <c r="R372" s="206"/>
      <c r="S372" s="206"/>
      <c r="T372" s="207"/>
      <c r="AT372" s="203" t="s">
        <v>148</v>
      </c>
      <c r="AU372" s="203" t="s">
        <v>87</v>
      </c>
      <c r="AV372" s="201" t="s">
        <v>85</v>
      </c>
      <c r="AW372" s="201" t="s">
        <v>34</v>
      </c>
      <c r="AX372" s="201" t="s">
        <v>78</v>
      </c>
      <c r="AY372" s="203" t="s">
        <v>139</v>
      </c>
    </row>
    <row r="373" spans="2:51" s="187" customFormat="1" ht="12">
      <c r="B373" s="188"/>
      <c r="D373" s="189" t="s">
        <v>148</v>
      </c>
      <c r="E373" s="190" t="s">
        <v>1</v>
      </c>
      <c r="F373" s="191" t="s">
        <v>821</v>
      </c>
      <c r="H373" s="192">
        <v>10.5</v>
      </c>
      <c r="I373" s="233"/>
      <c r="L373" s="188"/>
      <c r="M373" s="193"/>
      <c r="N373" s="194"/>
      <c r="O373" s="194"/>
      <c r="P373" s="194"/>
      <c r="Q373" s="194"/>
      <c r="R373" s="194"/>
      <c r="S373" s="194"/>
      <c r="T373" s="195"/>
      <c r="AT373" s="190" t="s">
        <v>148</v>
      </c>
      <c r="AU373" s="190" t="s">
        <v>87</v>
      </c>
      <c r="AV373" s="187" t="s">
        <v>87</v>
      </c>
      <c r="AW373" s="187" t="s">
        <v>34</v>
      </c>
      <c r="AX373" s="187" t="s">
        <v>78</v>
      </c>
      <c r="AY373" s="190" t="s">
        <v>139</v>
      </c>
    </row>
    <row r="374" spans="2:51" s="187" customFormat="1" ht="12">
      <c r="B374" s="188"/>
      <c r="D374" s="189" t="s">
        <v>148</v>
      </c>
      <c r="E374" s="190" t="s">
        <v>1</v>
      </c>
      <c r="F374" s="191" t="s">
        <v>822</v>
      </c>
      <c r="H374" s="192">
        <v>10</v>
      </c>
      <c r="I374" s="233"/>
      <c r="L374" s="188"/>
      <c r="M374" s="193"/>
      <c r="N374" s="194"/>
      <c r="O374" s="194"/>
      <c r="P374" s="194"/>
      <c r="Q374" s="194"/>
      <c r="R374" s="194"/>
      <c r="S374" s="194"/>
      <c r="T374" s="195"/>
      <c r="AT374" s="190" t="s">
        <v>148</v>
      </c>
      <c r="AU374" s="190" t="s">
        <v>87</v>
      </c>
      <c r="AV374" s="187" t="s">
        <v>87</v>
      </c>
      <c r="AW374" s="187" t="s">
        <v>34</v>
      </c>
      <c r="AX374" s="187" t="s">
        <v>78</v>
      </c>
      <c r="AY374" s="190" t="s">
        <v>139</v>
      </c>
    </row>
    <row r="375" spans="2:51" s="187" customFormat="1" ht="12">
      <c r="B375" s="188"/>
      <c r="D375" s="189" t="s">
        <v>148</v>
      </c>
      <c r="E375" s="190" t="s">
        <v>1</v>
      </c>
      <c r="F375" s="191" t="s">
        <v>823</v>
      </c>
      <c r="H375" s="192">
        <v>10</v>
      </c>
      <c r="I375" s="233"/>
      <c r="L375" s="188"/>
      <c r="M375" s="193"/>
      <c r="N375" s="194"/>
      <c r="O375" s="194"/>
      <c r="P375" s="194"/>
      <c r="Q375" s="194"/>
      <c r="R375" s="194"/>
      <c r="S375" s="194"/>
      <c r="T375" s="195"/>
      <c r="AT375" s="190" t="s">
        <v>148</v>
      </c>
      <c r="AU375" s="190" t="s">
        <v>87</v>
      </c>
      <c r="AV375" s="187" t="s">
        <v>87</v>
      </c>
      <c r="AW375" s="187" t="s">
        <v>34</v>
      </c>
      <c r="AX375" s="187" t="s">
        <v>78</v>
      </c>
      <c r="AY375" s="190" t="s">
        <v>139</v>
      </c>
    </row>
    <row r="376" spans="2:51" s="187" customFormat="1" ht="12">
      <c r="B376" s="188"/>
      <c r="D376" s="189" t="s">
        <v>148</v>
      </c>
      <c r="E376" s="190" t="s">
        <v>1</v>
      </c>
      <c r="F376" s="191" t="s">
        <v>824</v>
      </c>
      <c r="H376" s="192">
        <v>6</v>
      </c>
      <c r="I376" s="233"/>
      <c r="L376" s="188"/>
      <c r="M376" s="193"/>
      <c r="N376" s="194"/>
      <c r="O376" s="194"/>
      <c r="P376" s="194"/>
      <c r="Q376" s="194"/>
      <c r="R376" s="194"/>
      <c r="S376" s="194"/>
      <c r="T376" s="195"/>
      <c r="AT376" s="190" t="s">
        <v>148</v>
      </c>
      <c r="AU376" s="190" t="s">
        <v>87</v>
      </c>
      <c r="AV376" s="187" t="s">
        <v>87</v>
      </c>
      <c r="AW376" s="187" t="s">
        <v>34</v>
      </c>
      <c r="AX376" s="187" t="s">
        <v>78</v>
      </c>
      <c r="AY376" s="190" t="s">
        <v>139</v>
      </c>
    </row>
    <row r="377" spans="2:51" s="187" customFormat="1" ht="12">
      <c r="B377" s="188"/>
      <c r="D377" s="189" t="s">
        <v>148</v>
      </c>
      <c r="E377" s="190" t="s">
        <v>1</v>
      </c>
      <c r="F377" s="191" t="s">
        <v>825</v>
      </c>
      <c r="H377" s="192">
        <v>33.2</v>
      </c>
      <c r="I377" s="233"/>
      <c r="L377" s="188"/>
      <c r="M377" s="193"/>
      <c r="N377" s="194"/>
      <c r="O377" s="194"/>
      <c r="P377" s="194"/>
      <c r="Q377" s="194"/>
      <c r="R377" s="194"/>
      <c r="S377" s="194"/>
      <c r="T377" s="195"/>
      <c r="AT377" s="190" t="s">
        <v>148</v>
      </c>
      <c r="AU377" s="190" t="s">
        <v>87</v>
      </c>
      <c r="AV377" s="187" t="s">
        <v>87</v>
      </c>
      <c r="AW377" s="187" t="s">
        <v>34</v>
      </c>
      <c r="AX377" s="187" t="s">
        <v>78</v>
      </c>
      <c r="AY377" s="190" t="s">
        <v>139</v>
      </c>
    </row>
    <row r="378" spans="2:51" s="208" customFormat="1" ht="12">
      <c r="B378" s="209"/>
      <c r="D378" s="189" t="s">
        <v>148</v>
      </c>
      <c r="E378" s="210" t="s">
        <v>1</v>
      </c>
      <c r="F378" s="211" t="s">
        <v>159</v>
      </c>
      <c r="H378" s="212">
        <v>69.7</v>
      </c>
      <c r="I378" s="236"/>
      <c r="L378" s="209"/>
      <c r="M378" s="213"/>
      <c r="N378" s="214"/>
      <c r="O378" s="214"/>
      <c r="P378" s="214"/>
      <c r="Q378" s="214"/>
      <c r="R378" s="214"/>
      <c r="S378" s="214"/>
      <c r="T378" s="215"/>
      <c r="AT378" s="210" t="s">
        <v>148</v>
      </c>
      <c r="AU378" s="210" t="s">
        <v>87</v>
      </c>
      <c r="AV378" s="208" t="s">
        <v>146</v>
      </c>
      <c r="AW378" s="208" t="s">
        <v>34</v>
      </c>
      <c r="AX378" s="208" t="s">
        <v>85</v>
      </c>
      <c r="AY378" s="210" t="s">
        <v>139</v>
      </c>
    </row>
    <row r="379" spans="1:65" s="95" customFormat="1" ht="55.5" customHeight="1">
      <c r="A379" s="91"/>
      <c r="B379" s="92"/>
      <c r="C379" s="175" t="s">
        <v>567</v>
      </c>
      <c r="D379" s="175" t="s">
        <v>141</v>
      </c>
      <c r="E379" s="176" t="s">
        <v>826</v>
      </c>
      <c r="F379" s="177" t="s">
        <v>827</v>
      </c>
      <c r="G379" s="178" t="s">
        <v>171</v>
      </c>
      <c r="H379" s="179">
        <v>69.7</v>
      </c>
      <c r="I379" s="69"/>
      <c r="J379" s="180">
        <f>ROUND(I379*H379,2)</f>
        <v>0</v>
      </c>
      <c r="K379" s="177" t="s">
        <v>145</v>
      </c>
      <c r="L379" s="92"/>
      <c r="M379" s="181" t="s">
        <v>1</v>
      </c>
      <c r="N379" s="182" t="s">
        <v>44</v>
      </c>
      <c r="O379" s="183">
        <v>0.104</v>
      </c>
      <c r="P379" s="183">
        <f>O379*H379</f>
        <v>7.2488</v>
      </c>
      <c r="Q379" s="183">
        <v>0.00034</v>
      </c>
      <c r="R379" s="183">
        <f>Q379*H379</f>
        <v>0.023698000000000004</v>
      </c>
      <c r="S379" s="183">
        <v>0</v>
      </c>
      <c r="T379" s="184">
        <f>S379*H379</f>
        <v>0</v>
      </c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R379" s="185" t="s">
        <v>146</v>
      </c>
      <c r="AT379" s="185" t="s">
        <v>141</v>
      </c>
      <c r="AU379" s="185" t="s">
        <v>87</v>
      </c>
      <c r="AY379" s="83" t="s">
        <v>139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83" t="s">
        <v>85</v>
      </c>
      <c r="BK379" s="186">
        <f>ROUND(I379*H379,2)</f>
        <v>0</v>
      </c>
      <c r="BL379" s="83" t="s">
        <v>146</v>
      </c>
      <c r="BM379" s="185" t="s">
        <v>828</v>
      </c>
    </row>
    <row r="380" spans="2:51" s="201" customFormat="1" ht="12">
      <c r="B380" s="202"/>
      <c r="D380" s="189" t="s">
        <v>148</v>
      </c>
      <c r="E380" s="203" t="s">
        <v>1</v>
      </c>
      <c r="F380" s="204" t="s">
        <v>206</v>
      </c>
      <c r="H380" s="203" t="s">
        <v>1</v>
      </c>
      <c r="I380" s="235"/>
      <c r="L380" s="202"/>
      <c r="M380" s="205"/>
      <c r="N380" s="206"/>
      <c r="O380" s="206"/>
      <c r="P380" s="206"/>
      <c r="Q380" s="206"/>
      <c r="R380" s="206"/>
      <c r="S380" s="206"/>
      <c r="T380" s="207"/>
      <c r="AT380" s="203" t="s">
        <v>148</v>
      </c>
      <c r="AU380" s="203" t="s">
        <v>87</v>
      </c>
      <c r="AV380" s="201" t="s">
        <v>85</v>
      </c>
      <c r="AW380" s="201" t="s">
        <v>34</v>
      </c>
      <c r="AX380" s="201" t="s">
        <v>78</v>
      </c>
      <c r="AY380" s="203" t="s">
        <v>139</v>
      </c>
    </row>
    <row r="381" spans="2:51" s="187" customFormat="1" ht="12">
      <c r="B381" s="188"/>
      <c r="D381" s="189" t="s">
        <v>148</v>
      </c>
      <c r="E381" s="190" t="s">
        <v>1</v>
      </c>
      <c r="F381" s="191" t="s">
        <v>821</v>
      </c>
      <c r="H381" s="192">
        <v>10.5</v>
      </c>
      <c r="I381" s="233"/>
      <c r="L381" s="188"/>
      <c r="M381" s="193"/>
      <c r="N381" s="194"/>
      <c r="O381" s="194"/>
      <c r="P381" s="194"/>
      <c r="Q381" s="194"/>
      <c r="R381" s="194"/>
      <c r="S381" s="194"/>
      <c r="T381" s="195"/>
      <c r="AT381" s="190" t="s">
        <v>148</v>
      </c>
      <c r="AU381" s="190" t="s">
        <v>87</v>
      </c>
      <c r="AV381" s="187" t="s">
        <v>87</v>
      </c>
      <c r="AW381" s="187" t="s">
        <v>34</v>
      </c>
      <c r="AX381" s="187" t="s">
        <v>78</v>
      </c>
      <c r="AY381" s="190" t="s">
        <v>139</v>
      </c>
    </row>
    <row r="382" spans="2:51" s="187" customFormat="1" ht="12">
      <c r="B382" s="188"/>
      <c r="D382" s="189" t="s">
        <v>148</v>
      </c>
      <c r="E382" s="190" t="s">
        <v>1</v>
      </c>
      <c r="F382" s="191" t="s">
        <v>822</v>
      </c>
      <c r="H382" s="192">
        <v>10</v>
      </c>
      <c r="I382" s="233"/>
      <c r="L382" s="188"/>
      <c r="M382" s="193"/>
      <c r="N382" s="194"/>
      <c r="O382" s="194"/>
      <c r="P382" s="194"/>
      <c r="Q382" s="194"/>
      <c r="R382" s="194"/>
      <c r="S382" s="194"/>
      <c r="T382" s="195"/>
      <c r="AT382" s="190" t="s">
        <v>148</v>
      </c>
      <c r="AU382" s="190" t="s">
        <v>87</v>
      </c>
      <c r="AV382" s="187" t="s">
        <v>87</v>
      </c>
      <c r="AW382" s="187" t="s">
        <v>34</v>
      </c>
      <c r="AX382" s="187" t="s">
        <v>78</v>
      </c>
      <c r="AY382" s="190" t="s">
        <v>139</v>
      </c>
    </row>
    <row r="383" spans="2:51" s="187" customFormat="1" ht="12">
      <c r="B383" s="188"/>
      <c r="D383" s="189" t="s">
        <v>148</v>
      </c>
      <c r="E383" s="190" t="s">
        <v>1</v>
      </c>
      <c r="F383" s="191" t="s">
        <v>823</v>
      </c>
      <c r="H383" s="192">
        <v>10</v>
      </c>
      <c r="I383" s="233"/>
      <c r="L383" s="188"/>
      <c r="M383" s="193"/>
      <c r="N383" s="194"/>
      <c r="O383" s="194"/>
      <c r="P383" s="194"/>
      <c r="Q383" s="194"/>
      <c r="R383" s="194"/>
      <c r="S383" s="194"/>
      <c r="T383" s="195"/>
      <c r="AT383" s="190" t="s">
        <v>148</v>
      </c>
      <c r="AU383" s="190" t="s">
        <v>87</v>
      </c>
      <c r="AV383" s="187" t="s">
        <v>87</v>
      </c>
      <c r="AW383" s="187" t="s">
        <v>34</v>
      </c>
      <c r="AX383" s="187" t="s">
        <v>78</v>
      </c>
      <c r="AY383" s="190" t="s">
        <v>139</v>
      </c>
    </row>
    <row r="384" spans="2:51" s="187" customFormat="1" ht="12">
      <c r="B384" s="188"/>
      <c r="D384" s="189" t="s">
        <v>148</v>
      </c>
      <c r="E384" s="190" t="s">
        <v>1</v>
      </c>
      <c r="F384" s="191" t="s">
        <v>824</v>
      </c>
      <c r="H384" s="192">
        <v>6</v>
      </c>
      <c r="I384" s="233"/>
      <c r="L384" s="188"/>
      <c r="M384" s="193"/>
      <c r="N384" s="194"/>
      <c r="O384" s="194"/>
      <c r="P384" s="194"/>
      <c r="Q384" s="194"/>
      <c r="R384" s="194"/>
      <c r="S384" s="194"/>
      <c r="T384" s="195"/>
      <c r="AT384" s="190" t="s">
        <v>148</v>
      </c>
      <c r="AU384" s="190" t="s">
        <v>87</v>
      </c>
      <c r="AV384" s="187" t="s">
        <v>87</v>
      </c>
      <c r="AW384" s="187" t="s">
        <v>34</v>
      </c>
      <c r="AX384" s="187" t="s">
        <v>78</v>
      </c>
      <c r="AY384" s="190" t="s">
        <v>139</v>
      </c>
    </row>
    <row r="385" spans="2:51" s="187" customFormat="1" ht="12">
      <c r="B385" s="188"/>
      <c r="D385" s="189" t="s">
        <v>148</v>
      </c>
      <c r="E385" s="190" t="s">
        <v>1</v>
      </c>
      <c r="F385" s="191" t="s">
        <v>825</v>
      </c>
      <c r="H385" s="192">
        <v>33.2</v>
      </c>
      <c r="I385" s="233"/>
      <c r="L385" s="188"/>
      <c r="M385" s="193"/>
      <c r="N385" s="194"/>
      <c r="O385" s="194"/>
      <c r="P385" s="194"/>
      <c r="Q385" s="194"/>
      <c r="R385" s="194"/>
      <c r="S385" s="194"/>
      <c r="T385" s="195"/>
      <c r="AT385" s="190" t="s">
        <v>148</v>
      </c>
      <c r="AU385" s="190" t="s">
        <v>87</v>
      </c>
      <c r="AV385" s="187" t="s">
        <v>87</v>
      </c>
      <c r="AW385" s="187" t="s">
        <v>34</v>
      </c>
      <c r="AX385" s="187" t="s">
        <v>78</v>
      </c>
      <c r="AY385" s="190" t="s">
        <v>139</v>
      </c>
    </row>
    <row r="386" spans="2:51" s="208" customFormat="1" ht="12">
      <c r="B386" s="209"/>
      <c r="D386" s="189" t="s">
        <v>148</v>
      </c>
      <c r="E386" s="210" t="s">
        <v>1</v>
      </c>
      <c r="F386" s="211" t="s">
        <v>159</v>
      </c>
      <c r="H386" s="212">
        <v>69.7</v>
      </c>
      <c r="I386" s="236"/>
      <c r="L386" s="209"/>
      <c r="M386" s="213"/>
      <c r="N386" s="214"/>
      <c r="O386" s="214"/>
      <c r="P386" s="214"/>
      <c r="Q386" s="214"/>
      <c r="R386" s="214"/>
      <c r="S386" s="214"/>
      <c r="T386" s="215"/>
      <c r="AT386" s="210" t="s">
        <v>148</v>
      </c>
      <c r="AU386" s="210" t="s">
        <v>87</v>
      </c>
      <c r="AV386" s="208" t="s">
        <v>146</v>
      </c>
      <c r="AW386" s="208" t="s">
        <v>34</v>
      </c>
      <c r="AX386" s="208" t="s">
        <v>85</v>
      </c>
      <c r="AY386" s="210" t="s">
        <v>139</v>
      </c>
    </row>
    <row r="387" spans="1:65" s="95" customFormat="1" ht="24">
      <c r="A387" s="91"/>
      <c r="B387" s="92"/>
      <c r="C387" s="175" t="s">
        <v>571</v>
      </c>
      <c r="D387" s="175" t="s">
        <v>141</v>
      </c>
      <c r="E387" s="176" t="s">
        <v>829</v>
      </c>
      <c r="F387" s="177" t="s">
        <v>830</v>
      </c>
      <c r="G387" s="178" t="s">
        <v>171</v>
      </c>
      <c r="H387" s="179">
        <v>69.7</v>
      </c>
      <c r="I387" s="69"/>
      <c r="J387" s="180">
        <f>ROUND(I387*H387,2)</f>
        <v>0</v>
      </c>
      <c r="K387" s="177" t="s">
        <v>145</v>
      </c>
      <c r="L387" s="92"/>
      <c r="M387" s="181" t="s">
        <v>1</v>
      </c>
      <c r="N387" s="182" t="s">
        <v>44</v>
      </c>
      <c r="O387" s="183">
        <v>0.196</v>
      </c>
      <c r="P387" s="183">
        <f>O387*H387</f>
        <v>13.661200000000001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R387" s="185" t="s">
        <v>146</v>
      </c>
      <c r="AT387" s="185" t="s">
        <v>141</v>
      </c>
      <c r="AU387" s="185" t="s">
        <v>87</v>
      </c>
      <c r="AY387" s="83" t="s">
        <v>139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83" t="s">
        <v>85</v>
      </c>
      <c r="BK387" s="186">
        <f>ROUND(I387*H387,2)</f>
        <v>0</v>
      </c>
      <c r="BL387" s="83" t="s">
        <v>146</v>
      </c>
      <c r="BM387" s="185" t="s">
        <v>831</v>
      </c>
    </row>
    <row r="388" spans="2:51" s="201" customFormat="1" ht="12">
      <c r="B388" s="202"/>
      <c r="D388" s="189" t="s">
        <v>148</v>
      </c>
      <c r="E388" s="203" t="s">
        <v>1</v>
      </c>
      <c r="F388" s="204" t="s">
        <v>206</v>
      </c>
      <c r="H388" s="203" t="s">
        <v>1</v>
      </c>
      <c r="I388" s="235"/>
      <c r="L388" s="202"/>
      <c r="M388" s="205"/>
      <c r="N388" s="206"/>
      <c r="O388" s="206"/>
      <c r="P388" s="206"/>
      <c r="Q388" s="206"/>
      <c r="R388" s="206"/>
      <c r="S388" s="206"/>
      <c r="T388" s="207"/>
      <c r="AT388" s="203" t="s">
        <v>148</v>
      </c>
      <c r="AU388" s="203" t="s">
        <v>87</v>
      </c>
      <c r="AV388" s="201" t="s">
        <v>85</v>
      </c>
      <c r="AW388" s="201" t="s">
        <v>34</v>
      </c>
      <c r="AX388" s="201" t="s">
        <v>78</v>
      </c>
      <c r="AY388" s="203" t="s">
        <v>139</v>
      </c>
    </row>
    <row r="389" spans="2:51" s="187" customFormat="1" ht="12">
      <c r="B389" s="188"/>
      <c r="D389" s="189" t="s">
        <v>148</v>
      </c>
      <c r="E389" s="190" t="s">
        <v>1</v>
      </c>
      <c r="F389" s="191" t="s">
        <v>821</v>
      </c>
      <c r="H389" s="192">
        <v>10.5</v>
      </c>
      <c r="I389" s="233"/>
      <c r="L389" s="188"/>
      <c r="M389" s="193"/>
      <c r="N389" s="194"/>
      <c r="O389" s="194"/>
      <c r="P389" s="194"/>
      <c r="Q389" s="194"/>
      <c r="R389" s="194"/>
      <c r="S389" s="194"/>
      <c r="T389" s="195"/>
      <c r="AT389" s="190" t="s">
        <v>148</v>
      </c>
      <c r="AU389" s="190" t="s">
        <v>87</v>
      </c>
      <c r="AV389" s="187" t="s">
        <v>87</v>
      </c>
      <c r="AW389" s="187" t="s">
        <v>34</v>
      </c>
      <c r="AX389" s="187" t="s">
        <v>78</v>
      </c>
      <c r="AY389" s="190" t="s">
        <v>139</v>
      </c>
    </row>
    <row r="390" spans="2:51" s="187" customFormat="1" ht="12">
      <c r="B390" s="188"/>
      <c r="D390" s="189" t="s">
        <v>148</v>
      </c>
      <c r="E390" s="190" t="s">
        <v>1</v>
      </c>
      <c r="F390" s="191" t="s">
        <v>822</v>
      </c>
      <c r="H390" s="192">
        <v>10</v>
      </c>
      <c r="I390" s="233"/>
      <c r="L390" s="188"/>
      <c r="M390" s="193"/>
      <c r="N390" s="194"/>
      <c r="O390" s="194"/>
      <c r="P390" s="194"/>
      <c r="Q390" s="194"/>
      <c r="R390" s="194"/>
      <c r="S390" s="194"/>
      <c r="T390" s="195"/>
      <c r="AT390" s="190" t="s">
        <v>148</v>
      </c>
      <c r="AU390" s="190" t="s">
        <v>87</v>
      </c>
      <c r="AV390" s="187" t="s">
        <v>87</v>
      </c>
      <c r="AW390" s="187" t="s">
        <v>34</v>
      </c>
      <c r="AX390" s="187" t="s">
        <v>78</v>
      </c>
      <c r="AY390" s="190" t="s">
        <v>139</v>
      </c>
    </row>
    <row r="391" spans="2:51" s="187" customFormat="1" ht="12">
      <c r="B391" s="188"/>
      <c r="D391" s="189" t="s">
        <v>148</v>
      </c>
      <c r="E391" s="190" t="s">
        <v>1</v>
      </c>
      <c r="F391" s="191" t="s">
        <v>823</v>
      </c>
      <c r="H391" s="192">
        <v>10</v>
      </c>
      <c r="I391" s="233"/>
      <c r="L391" s="188"/>
      <c r="M391" s="193"/>
      <c r="N391" s="194"/>
      <c r="O391" s="194"/>
      <c r="P391" s="194"/>
      <c r="Q391" s="194"/>
      <c r="R391" s="194"/>
      <c r="S391" s="194"/>
      <c r="T391" s="195"/>
      <c r="AT391" s="190" t="s">
        <v>148</v>
      </c>
      <c r="AU391" s="190" t="s">
        <v>87</v>
      </c>
      <c r="AV391" s="187" t="s">
        <v>87</v>
      </c>
      <c r="AW391" s="187" t="s">
        <v>34</v>
      </c>
      <c r="AX391" s="187" t="s">
        <v>78</v>
      </c>
      <c r="AY391" s="190" t="s">
        <v>139</v>
      </c>
    </row>
    <row r="392" spans="2:51" s="187" customFormat="1" ht="12">
      <c r="B392" s="188"/>
      <c r="D392" s="189" t="s">
        <v>148</v>
      </c>
      <c r="E392" s="190" t="s">
        <v>1</v>
      </c>
      <c r="F392" s="191" t="s">
        <v>824</v>
      </c>
      <c r="H392" s="192">
        <v>6</v>
      </c>
      <c r="I392" s="233"/>
      <c r="L392" s="188"/>
      <c r="M392" s="193"/>
      <c r="N392" s="194"/>
      <c r="O392" s="194"/>
      <c r="P392" s="194"/>
      <c r="Q392" s="194"/>
      <c r="R392" s="194"/>
      <c r="S392" s="194"/>
      <c r="T392" s="195"/>
      <c r="AT392" s="190" t="s">
        <v>148</v>
      </c>
      <c r="AU392" s="190" t="s">
        <v>87</v>
      </c>
      <c r="AV392" s="187" t="s">
        <v>87</v>
      </c>
      <c r="AW392" s="187" t="s">
        <v>34</v>
      </c>
      <c r="AX392" s="187" t="s">
        <v>78</v>
      </c>
      <c r="AY392" s="190" t="s">
        <v>139</v>
      </c>
    </row>
    <row r="393" spans="2:51" s="187" customFormat="1" ht="12">
      <c r="B393" s="188"/>
      <c r="D393" s="189" t="s">
        <v>148</v>
      </c>
      <c r="E393" s="190" t="s">
        <v>1</v>
      </c>
      <c r="F393" s="191" t="s">
        <v>825</v>
      </c>
      <c r="H393" s="192">
        <v>33.2</v>
      </c>
      <c r="I393" s="233"/>
      <c r="L393" s="188"/>
      <c r="M393" s="193"/>
      <c r="N393" s="194"/>
      <c r="O393" s="194"/>
      <c r="P393" s="194"/>
      <c r="Q393" s="194"/>
      <c r="R393" s="194"/>
      <c r="S393" s="194"/>
      <c r="T393" s="195"/>
      <c r="AT393" s="190" t="s">
        <v>148</v>
      </c>
      <c r="AU393" s="190" t="s">
        <v>87</v>
      </c>
      <c r="AV393" s="187" t="s">
        <v>87</v>
      </c>
      <c r="AW393" s="187" t="s">
        <v>34</v>
      </c>
      <c r="AX393" s="187" t="s">
        <v>78</v>
      </c>
      <c r="AY393" s="190" t="s">
        <v>139</v>
      </c>
    </row>
    <row r="394" spans="2:51" s="208" customFormat="1" ht="12">
      <c r="B394" s="209"/>
      <c r="D394" s="189" t="s">
        <v>148</v>
      </c>
      <c r="E394" s="210" t="s">
        <v>1</v>
      </c>
      <c r="F394" s="211" t="s">
        <v>159</v>
      </c>
      <c r="H394" s="212">
        <v>69.7</v>
      </c>
      <c r="I394" s="236"/>
      <c r="L394" s="209"/>
      <c r="M394" s="213"/>
      <c r="N394" s="214"/>
      <c r="O394" s="214"/>
      <c r="P394" s="214"/>
      <c r="Q394" s="214"/>
      <c r="R394" s="214"/>
      <c r="S394" s="214"/>
      <c r="T394" s="215"/>
      <c r="AT394" s="210" t="s">
        <v>148</v>
      </c>
      <c r="AU394" s="210" t="s">
        <v>87</v>
      </c>
      <c r="AV394" s="208" t="s">
        <v>146</v>
      </c>
      <c r="AW394" s="208" t="s">
        <v>34</v>
      </c>
      <c r="AX394" s="208" t="s">
        <v>85</v>
      </c>
      <c r="AY394" s="210" t="s">
        <v>139</v>
      </c>
    </row>
    <row r="395" spans="1:65" s="95" customFormat="1" ht="16.5" customHeight="1">
      <c r="A395" s="91"/>
      <c r="B395" s="92"/>
      <c r="C395" s="175" t="s">
        <v>578</v>
      </c>
      <c r="D395" s="175" t="s">
        <v>141</v>
      </c>
      <c r="E395" s="176" t="s">
        <v>832</v>
      </c>
      <c r="F395" s="177" t="s">
        <v>833</v>
      </c>
      <c r="G395" s="178" t="s">
        <v>194</v>
      </c>
      <c r="H395" s="179">
        <f>H401</f>
        <v>1.9429250000000002</v>
      </c>
      <c r="I395" s="69"/>
      <c r="J395" s="180">
        <f>ROUND(I395*H395,2)</f>
        <v>0</v>
      </c>
      <c r="K395" s="177" t="s">
        <v>145</v>
      </c>
      <c r="L395" s="92"/>
      <c r="M395" s="181" t="s">
        <v>1</v>
      </c>
      <c r="N395" s="182" t="s">
        <v>44</v>
      </c>
      <c r="O395" s="183">
        <v>10.986</v>
      </c>
      <c r="P395" s="183">
        <f>O395*H395</f>
        <v>21.344974050000005</v>
      </c>
      <c r="Q395" s="183">
        <v>0</v>
      </c>
      <c r="R395" s="183">
        <f>Q395*H395</f>
        <v>0</v>
      </c>
      <c r="S395" s="183">
        <v>2.4</v>
      </c>
      <c r="T395" s="184">
        <f>S395*H395</f>
        <v>4.66302</v>
      </c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R395" s="185" t="s">
        <v>146</v>
      </c>
      <c r="AT395" s="185" t="s">
        <v>141</v>
      </c>
      <c r="AU395" s="185" t="s">
        <v>87</v>
      </c>
      <c r="AY395" s="83" t="s">
        <v>139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83" t="s">
        <v>85</v>
      </c>
      <c r="BK395" s="186">
        <f>ROUND(I395*H395,2)</f>
        <v>0</v>
      </c>
      <c r="BL395" s="83" t="s">
        <v>146</v>
      </c>
      <c r="BM395" s="185" t="s">
        <v>834</v>
      </c>
    </row>
    <row r="396" spans="1:47" s="95" customFormat="1" ht="19.5">
      <c r="A396" s="91"/>
      <c r="B396" s="92"/>
      <c r="C396" s="91"/>
      <c r="D396" s="189" t="s">
        <v>153</v>
      </c>
      <c r="E396" s="91"/>
      <c r="F396" s="196" t="s">
        <v>835</v>
      </c>
      <c r="G396" s="91"/>
      <c r="H396" s="91"/>
      <c r="I396" s="234"/>
      <c r="J396" s="91"/>
      <c r="K396" s="91"/>
      <c r="L396" s="92"/>
      <c r="M396" s="197"/>
      <c r="N396" s="198"/>
      <c r="O396" s="199"/>
      <c r="P396" s="199"/>
      <c r="Q396" s="199"/>
      <c r="R396" s="199"/>
      <c r="S396" s="199"/>
      <c r="T396" s="200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T396" s="83" t="s">
        <v>153</v>
      </c>
      <c r="AU396" s="83" t="s">
        <v>87</v>
      </c>
    </row>
    <row r="397" spans="2:51" s="201" customFormat="1" ht="12">
      <c r="B397" s="202"/>
      <c r="D397" s="189" t="s">
        <v>148</v>
      </c>
      <c r="E397" s="203" t="s">
        <v>1</v>
      </c>
      <c r="F397" s="204" t="s">
        <v>836</v>
      </c>
      <c r="H397" s="203" t="s">
        <v>1</v>
      </c>
      <c r="I397" s="235"/>
      <c r="L397" s="202"/>
      <c r="M397" s="205"/>
      <c r="N397" s="206"/>
      <c r="O397" s="206"/>
      <c r="P397" s="206"/>
      <c r="Q397" s="206"/>
      <c r="R397" s="206"/>
      <c r="S397" s="206"/>
      <c r="T397" s="207"/>
      <c r="AT397" s="203" t="s">
        <v>148</v>
      </c>
      <c r="AU397" s="203" t="s">
        <v>87</v>
      </c>
      <c r="AV397" s="201" t="s">
        <v>85</v>
      </c>
      <c r="AW397" s="201" t="s">
        <v>34</v>
      </c>
      <c r="AX397" s="201" t="s">
        <v>78</v>
      </c>
      <c r="AY397" s="203" t="s">
        <v>139</v>
      </c>
    </row>
    <row r="398" spans="2:51" s="187" customFormat="1" ht="12">
      <c r="B398" s="188"/>
      <c r="D398" s="189" t="s">
        <v>148</v>
      </c>
      <c r="E398" s="190" t="s">
        <v>1</v>
      </c>
      <c r="F398" s="191" t="s">
        <v>1522</v>
      </c>
      <c r="H398" s="192">
        <f>(2.37*1.37-0.6*0.6)*0.25</f>
        <v>0.7217250000000002</v>
      </c>
      <c r="I398" s="233"/>
      <c r="L398" s="188"/>
      <c r="M398" s="193"/>
      <c r="N398" s="194"/>
      <c r="O398" s="194"/>
      <c r="P398" s="194"/>
      <c r="Q398" s="194"/>
      <c r="R398" s="194"/>
      <c r="S398" s="194"/>
      <c r="T398" s="195"/>
      <c r="AT398" s="190" t="s">
        <v>148</v>
      </c>
      <c r="AU398" s="190" t="s">
        <v>87</v>
      </c>
      <c r="AV398" s="187" t="s">
        <v>87</v>
      </c>
      <c r="AW398" s="187" t="s">
        <v>34</v>
      </c>
      <c r="AX398" s="187" t="s">
        <v>78</v>
      </c>
      <c r="AY398" s="190" t="s">
        <v>139</v>
      </c>
    </row>
    <row r="399" spans="2:51" s="187" customFormat="1" ht="12">
      <c r="B399" s="188"/>
      <c r="D399" s="189" t="s">
        <v>148</v>
      </c>
      <c r="E399" s="190" t="s">
        <v>1</v>
      </c>
      <c r="F399" s="191" t="s">
        <v>1521</v>
      </c>
      <c r="H399" s="192">
        <f>2*(0.6+1)*0.83*0.2</f>
        <v>0.5312</v>
      </c>
      <c r="I399" s="233"/>
      <c r="L399" s="188"/>
      <c r="M399" s="193"/>
      <c r="N399" s="194"/>
      <c r="O399" s="194"/>
      <c r="P399" s="194"/>
      <c r="Q399" s="194"/>
      <c r="R399" s="194"/>
      <c r="S399" s="194"/>
      <c r="T399" s="195"/>
      <c r="AT399" s="190" t="s">
        <v>148</v>
      </c>
      <c r="AU399" s="190" t="s">
        <v>87</v>
      </c>
      <c r="AV399" s="187" t="s">
        <v>87</v>
      </c>
      <c r="AW399" s="187" t="s">
        <v>34</v>
      </c>
      <c r="AX399" s="187" t="s">
        <v>78</v>
      </c>
      <c r="AY399" s="190" t="s">
        <v>139</v>
      </c>
    </row>
    <row r="400" spans="2:51" s="187" customFormat="1" ht="12">
      <c r="B400" s="188"/>
      <c r="D400" s="189" t="s">
        <v>148</v>
      </c>
      <c r="E400" s="190" t="s">
        <v>1</v>
      </c>
      <c r="F400" s="191" t="s">
        <v>1523</v>
      </c>
      <c r="H400" s="192">
        <f>2*1*1.15*0.3</f>
        <v>0.69</v>
      </c>
      <c r="I400" s="233"/>
      <c r="L400" s="188"/>
      <c r="M400" s="193"/>
      <c r="N400" s="194"/>
      <c r="O400" s="194"/>
      <c r="P400" s="194"/>
      <c r="Q400" s="194"/>
      <c r="R400" s="194"/>
      <c r="S400" s="194"/>
      <c r="T400" s="195"/>
      <c r="AT400" s="190" t="s">
        <v>148</v>
      </c>
      <c r="AU400" s="190" t="s">
        <v>87</v>
      </c>
      <c r="AV400" s="187" t="s">
        <v>87</v>
      </c>
      <c r="AW400" s="187" t="s">
        <v>34</v>
      </c>
      <c r="AX400" s="187" t="s">
        <v>78</v>
      </c>
      <c r="AY400" s="190" t="s">
        <v>139</v>
      </c>
    </row>
    <row r="401" spans="2:51" s="208" customFormat="1" ht="12">
      <c r="B401" s="209"/>
      <c r="D401" s="189" t="s">
        <v>148</v>
      </c>
      <c r="E401" s="210" t="s">
        <v>1</v>
      </c>
      <c r="F401" s="211" t="s">
        <v>159</v>
      </c>
      <c r="H401" s="212">
        <f>SUM(H398:H400)</f>
        <v>1.9429250000000002</v>
      </c>
      <c r="I401" s="236"/>
      <c r="L401" s="209"/>
      <c r="M401" s="213"/>
      <c r="N401" s="214"/>
      <c r="O401" s="214"/>
      <c r="P401" s="214"/>
      <c r="Q401" s="214"/>
      <c r="R401" s="214"/>
      <c r="S401" s="214"/>
      <c r="T401" s="215"/>
      <c r="AT401" s="210" t="s">
        <v>148</v>
      </c>
      <c r="AU401" s="210" t="s">
        <v>87</v>
      </c>
      <c r="AV401" s="208" t="s">
        <v>146</v>
      </c>
      <c r="AW401" s="208" t="s">
        <v>34</v>
      </c>
      <c r="AX401" s="208" t="s">
        <v>85</v>
      </c>
      <c r="AY401" s="210" t="s">
        <v>139</v>
      </c>
    </row>
    <row r="402" spans="2:63" s="162" customFormat="1" ht="22.9" customHeight="1">
      <c r="B402" s="163"/>
      <c r="D402" s="164" t="s">
        <v>77</v>
      </c>
      <c r="E402" s="173" t="s">
        <v>576</v>
      </c>
      <c r="F402" s="173" t="s">
        <v>577</v>
      </c>
      <c r="I402" s="237"/>
      <c r="J402" s="174">
        <f>J403</f>
        <v>0</v>
      </c>
      <c r="L402" s="163"/>
      <c r="M402" s="167"/>
      <c r="N402" s="168"/>
      <c r="O402" s="168"/>
      <c r="P402" s="169">
        <f>SUM(P403:P409)</f>
        <v>0.77556</v>
      </c>
      <c r="Q402" s="168"/>
      <c r="R402" s="169">
        <f>SUM(R403:R409)</f>
        <v>0</v>
      </c>
      <c r="S402" s="168"/>
      <c r="T402" s="170">
        <f>SUM(T403:T409)</f>
        <v>0</v>
      </c>
      <c r="AR402" s="164" t="s">
        <v>85</v>
      </c>
      <c r="AT402" s="171" t="s">
        <v>77</v>
      </c>
      <c r="AU402" s="171" t="s">
        <v>85</v>
      </c>
      <c r="AY402" s="164" t="s">
        <v>139</v>
      </c>
      <c r="BK402" s="172">
        <f>SUM(BK403:BK409)</f>
        <v>0</v>
      </c>
    </row>
    <row r="403" spans="1:65" s="95" customFormat="1" ht="24">
      <c r="A403" s="91"/>
      <c r="B403" s="92"/>
      <c r="C403" s="175" t="s">
        <v>586</v>
      </c>
      <c r="D403" s="175" t="s">
        <v>141</v>
      </c>
      <c r="E403" s="176" t="s">
        <v>579</v>
      </c>
      <c r="F403" s="177" t="s">
        <v>580</v>
      </c>
      <c r="G403" s="178" t="s">
        <v>254</v>
      </c>
      <c r="H403" s="179">
        <f>H409</f>
        <v>25.852</v>
      </c>
      <c r="I403" s="69"/>
      <c r="J403" s="180">
        <f>ROUND(I403*H403,2)</f>
        <v>0</v>
      </c>
      <c r="K403" s="177" t="s">
        <v>1</v>
      </c>
      <c r="L403" s="92"/>
      <c r="M403" s="181" t="s">
        <v>1</v>
      </c>
      <c r="N403" s="182" t="s">
        <v>44</v>
      </c>
      <c r="O403" s="183">
        <v>0.03</v>
      </c>
      <c r="P403" s="183">
        <f>O403*H403</f>
        <v>0.77556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R403" s="185" t="s">
        <v>146</v>
      </c>
      <c r="AT403" s="185" t="s">
        <v>141</v>
      </c>
      <c r="AU403" s="185" t="s">
        <v>87</v>
      </c>
      <c r="AY403" s="83" t="s">
        <v>139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83" t="s">
        <v>85</v>
      </c>
      <c r="BK403" s="186">
        <f>ROUND(I403*H403,2)</f>
        <v>0</v>
      </c>
      <c r="BL403" s="83" t="s">
        <v>146</v>
      </c>
      <c r="BM403" s="185" t="s">
        <v>837</v>
      </c>
    </row>
    <row r="404" spans="2:51" s="201" customFormat="1" ht="12">
      <c r="B404" s="202"/>
      <c r="D404" s="189" t="s">
        <v>148</v>
      </c>
      <c r="E404" s="203" t="s">
        <v>1</v>
      </c>
      <c r="F404" s="204" t="s">
        <v>583</v>
      </c>
      <c r="H404" s="203" t="s">
        <v>1</v>
      </c>
      <c r="I404" s="235"/>
      <c r="L404" s="202"/>
      <c r="M404" s="205"/>
      <c r="N404" s="206"/>
      <c r="O404" s="206"/>
      <c r="P404" s="206"/>
      <c r="Q404" s="206"/>
      <c r="R404" s="206"/>
      <c r="S404" s="206"/>
      <c r="T404" s="207"/>
      <c r="AT404" s="203" t="s">
        <v>148</v>
      </c>
      <c r="AU404" s="203" t="s">
        <v>87</v>
      </c>
      <c r="AV404" s="201" t="s">
        <v>85</v>
      </c>
      <c r="AW404" s="201" t="s">
        <v>34</v>
      </c>
      <c r="AX404" s="201" t="s">
        <v>78</v>
      </c>
      <c r="AY404" s="203" t="s">
        <v>139</v>
      </c>
    </row>
    <row r="405" spans="2:51" s="201" customFormat="1" ht="12">
      <c r="B405" s="202"/>
      <c r="D405" s="189" t="s">
        <v>148</v>
      </c>
      <c r="E405" s="203" t="s">
        <v>1</v>
      </c>
      <c r="F405" s="204" t="s">
        <v>243</v>
      </c>
      <c r="H405" s="203" t="s">
        <v>1</v>
      </c>
      <c r="I405" s="235"/>
      <c r="L405" s="202"/>
      <c r="M405" s="205"/>
      <c r="N405" s="206"/>
      <c r="O405" s="206"/>
      <c r="P405" s="206"/>
      <c r="Q405" s="206"/>
      <c r="R405" s="206"/>
      <c r="S405" s="206"/>
      <c r="T405" s="207"/>
      <c r="AT405" s="203" t="s">
        <v>148</v>
      </c>
      <c r="AU405" s="203" t="s">
        <v>87</v>
      </c>
      <c r="AV405" s="201" t="s">
        <v>85</v>
      </c>
      <c r="AW405" s="201" t="s">
        <v>34</v>
      </c>
      <c r="AX405" s="201" t="s">
        <v>78</v>
      </c>
      <c r="AY405" s="203" t="s">
        <v>139</v>
      </c>
    </row>
    <row r="406" spans="2:51" s="238" customFormat="1" ht="12">
      <c r="B406" s="239"/>
      <c r="D406" s="240" t="s">
        <v>148</v>
      </c>
      <c r="E406" s="241" t="s">
        <v>1</v>
      </c>
      <c r="F406" s="242" t="s">
        <v>1524</v>
      </c>
      <c r="H406" s="243">
        <f>1.943*2.4</f>
        <v>4.6632</v>
      </c>
      <c r="I406" s="247"/>
      <c r="L406" s="239"/>
      <c r="M406" s="244"/>
      <c r="N406" s="245"/>
      <c r="O406" s="245"/>
      <c r="P406" s="245"/>
      <c r="Q406" s="245"/>
      <c r="R406" s="245"/>
      <c r="S406" s="245"/>
      <c r="T406" s="246"/>
      <c r="AT406" s="241" t="s">
        <v>148</v>
      </c>
      <c r="AU406" s="241" t="s">
        <v>87</v>
      </c>
      <c r="AV406" s="238" t="s">
        <v>87</v>
      </c>
      <c r="AW406" s="238" t="s">
        <v>34</v>
      </c>
      <c r="AX406" s="238" t="s">
        <v>78</v>
      </c>
      <c r="AY406" s="241" t="s">
        <v>139</v>
      </c>
    </row>
    <row r="407" spans="2:51" s="238" customFormat="1" ht="22.5">
      <c r="B407" s="239"/>
      <c r="D407" s="240" t="s">
        <v>148</v>
      </c>
      <c r="E407" s="241" t="s">
        <v>1</v>
      </c>
      <c r="F407" s="242" t="s">
        <v>838</v>
      </c>
      <c r="H407" s="243">
        <f>34*0.22</f>
        <v>7.48</v>
      </c>
      <c r="I407" s="247"/>
      <c r="L407" s="239"/>
      <c r="M407" s="244"/>
      <c r="N407" s="245"/>
      <c r="O407" s="245"/>
      <c r="P407" s="245"/>
      <c r="Q407" s="245"/>
      <c r="R407" s="245"/>
      <c r="S407" s="245"/>
      <c r="T407" s="246"/>
      <c r="AT407" s="241" t="s">
        <v>148</v>
      </c>
      <c r="AU407" s="241" t="s">
        <v>87</v>
      </c>
      <c r="AV407" s="238" t="s">
        <v>87</v>
      </c>
      <c r="AW407" s="238" t="s">
        <v>34</v>
      </c>
      <c r="AX407" s="238" t="s">
        <v>78</v>
      </c>
      <c r="AY407" s="241" t="s">
        <v>139</v>
      </c>
    </row>
    <row r="408" spans="2:51" s="238" customFormat="1" ht="12">
      <c r="B408" s="239"/>
      <c r="D408" s="240" t="s">
        <v>148</v>
      </c>
      <c r="E408" s="241" t="s">
        <v>1</v>
      </c>
      <c r="F408" s="242" t="s">
        <v>839</v>
      </c>
      <c r="H408" s="243">
        <f>107.1*0.128</f>
        <v>13.7088</v>
      </c>
      <c r="I408" s="247"/>
      <c r="L408" s="239"/>
      <c r="M408" s="244"/>
      <c r="N408" s="245"/>
      <c r="O408" s="245"/>
      <c r="P408" s="245"/>
      <c r="Q408" s="245"/>
      <c r="R408" s="245"/>
      <c r="S408" s="245"/>
      <c r="T408" s="246"/>
      <c r="AT408" s="241" t="s">
        <v>148</v>
      </c>
      <c r="AU408" s="241" t="s">
        <v>87</v>
      </c>
      <c r="AV408" s="238" t="s">
        <v>87</v>
      </c>
      <c r="AW408" s="238" t="s">
        <v>34</v>
      </c>
      <c r="AX408" s="238" t="s">
        <v>78</v>
      </c>
      <c r="AY408" s="241" t="s">
        <v>139</v>
      </c>
    </row>
    <row r="409" spans="2:51" s="208" customFormat="1" ht="12">
      <c r="B409" s="209"/>
      <c r="D409" s="189" t="s">
        <v>148</v>
      </c>
      <c r="E409" s="210" t="s">
        <v>1</v>
      </c>
      <c r="F409" s="211" t="s">
        <v>159</v>
      </c>
      <c r="H409" s="212">
        <f>SUM(H406:H408)</f>
        <v>25.852</v>
      </c>
      <c r="I409" s="236"/>
      <c r="L409" s="209"/>
      <c r="M409" s="213"/>
      <c r="N409" s="214"/>
      <c r="O409" s="214"/>
      <c r="P409" s="214"/>
      <c r="Q409" s="214"/>
      <c r="R409" s="214"/>
      <c r="S409" s="214"/>
      <c r="T409" s="215"/>
      <c r="AT409" s="210" t="s">
        <v>148</v>
      </c>
      <c r="AU409" s="210" t="s">
        <v>87</v>
      </c>
      <c r="AV409" s="208" t="s">
        <v>146</v>
      </c>
      <c r="AW409" s="208" t="s">
        <v>34</v>
      </c>
      <c r="AX409" s="208" t="s">
        <v>85</v>
      </c>
      <c r="AY409" s="210" t="s">
        <v>139</v>
      </c>
    </row>
    <row r="410" spans="2:63" s="162" customFormat="1" ht="22.9" customHeight="1">
      <c r="B410" s="163"/>
      <c r="D410" s="164" t="s">
        <v>77</v>
      </c>
      <c r="E410" s="173" t="s">
        <v>584</v>
      </c>
      <c r="F410" s="173" t="s">
        <v>585</v>
      </c>
      <c r="I410" s="237"/>
      <c r="J410" s="174">
        <f>J411</f>
        <v>0</v>
      </c>
      <c r="L410" s="163"/>
      <c r="M410" s="167"/>
      <c r="N410" s="168"/>
      <c r="O410" s="168"/>
      <c r="P410" s="169">
        <f>P411</f>
        <v>6.089112</v>
      </c>
      <c r="Q410" s="168"/>
      <c r="R410" s="169">
        <f>R411</f>
        <v>0</v>
      </c>
      <c r="S410" s="168"/>
      <c r="T410" s="170">
        <f>T411</f>
        <v>0</v>
      </c>
      <c r="AR410" s="164" t="s">
        <v>85</v>
      </c>
      <c r="AT410" s="171" t="s">
        <v>77</v>
      </c>
      <c r="AU410" s="171" t="s">
        <v>85</v>
      </c>
      <c r="AY410" s="164" t="s">
        <v>139</v>
      </c>
      <c r="BK410" s="172">
        <f>BK411</f>
        <v>0</v>
      </c>
    </row>
    <row r="411" spans="1:65" s="95" customFormat="1" ht="36">
      <c r="A411" s="91"/>
      <c r="B411" s="92"/>
      <c r="C411" s="175" t="s">
        <v>592</v>
      </c>
      <c r="D411" s="175" t="s">
        <v>141</v>
      </c>
      <c r="E411" s="176" t="s">
        <v>587</v>
      </c>
      <c r="F411" s="177" t="s">
        <v>588</v>
      </c>
      <c r="G411" s="178" t="s">
        <v>254</v>
      </c>
      <c r="H411" s="179">
        <v>7.354</v>
      </c>
      <c r="I411" s="69"/>
      <c r="J411" s="180">
        <f>ROUND(I411*H411,2)</f>
        <v>0</v>
      </c>
      <c r="K411" s="177" t="s">
        <v>145</v>
      </c>
      <c r="L411" s="92"/>
      <c r="M411" s="181" t="s">
        <v>1</v>
      </c>
      <c r="N411" s="182" t="s">
        <v>44</v>
      </c>
      <c r="O411" s="183">
        <v>0.828</v>
      </c>
      <c r="P411" s="183">
        <f>O411*H411</f>
        <v>6.089112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R411" s="185" t="s">
        <v>146</v>
      </c>
      <c r="AT411" s="185" t="s">
        <v>141</v>
      </c>
      <c r="AU411" s="185" t="s">
        <v>87</v>
      </c>
      <c r="AY411" s="83" t="s">
        <v>139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83" t="s">
        <v>85</v>
      </c>
      <c r="BK411" s="186">
        <f>ROUND(I411*H411,2)</f>
        <v>0</v>
      </c>
      <c r="BL411" s="83" t="s">
        <v>146</v>
      </c>
      <c r="BM411" s="185" t="s">
        <v>840</v>
      </c>
    </row>
    <row r="412" spans="2:63" s="162" customFormat="1" ht="25.9" customHeight="1">
      <c r="B412" s="163"/>
      <c r="D412" s="164" t="s">
        <v>77</v>
      </c>
      <c r="E412" s="165" t="s">
        <v>590</v>
      </c>
      <c r="F412" s="165" t="s">
        <v>591</v>
      </c>
      <c r="I412" s="237"/>
      <c r="J412" s="166">
        <f>SUM(J413:J414)</f>
        <v>0</v>
      </c>
      <c r="L412" s="163"/>
      <c r="M412" s="167"/>
      <c r="N412" s="168"/>
      <c r="O412" s="168"/>
      <c r="P412" s="169">
        <f>SUM(P413:P414)</f>
        <v>0</v>
      </c>
      <c r="Q412" s="168"/>
      <c r="R412" s="169">
        <f>SUM(R413:R414)</f>
        <v>0</v>
      </c>
      <c r="S412" s="168"/>
      <c r="T412" s="170">
        <f>SUM(T413:T414)</f>
        <v>0</v>
      </c>
      <c r="AR412" s="164" t="s">
        <v>146</v>
      </c>
      <c r="AT412" s="171" t="s">
        <v>77</v>
      </c>
      <c r="AU412" s="171" t="s">
        <v>78</v>
      </c>
      <c r="AY412" s="164" t="s">
        <v>139</v>
      </c>
      <c r="BK412" s="172">
        <f>SUM(BK413:BK414)</f>
        <v>0</v>
      </c>
    </row>
    <row r="413" spans="1:65" s="95" customFormat="1" ht="16.5" customHeight="1">
      <c r="A413" s="91"/>
      <c r="B413" s="92"/>
      <c r="C413" s="175" t="s">
        <v>597</v>
      </c>
      <c r="D413" s="175" t="s">
        <v>141</v>
      </c>
      <c r="E413" s="176" t="s">
        <v>841</v>
      </c>
      <c r="F413" s="177" t="s">
        <v>842</v>
      </c>
      <c r="G413" s="178" t="s">
        <v>171</v>
      </c>
      <c r="H413" s="179">
        <v>170.11</v>
      </c>
      <c r="I413" s="69"/>
      <c r="J413" s="180">
        <f>ROUND(I413*H413,2)</f>
        <v>0</v>
      </c>
      <c r="K413" s="177" t="s">
        <v>1</v>
      </c>
      <c r="L413" s="92"/>
      <c r="M413" s="181" t="s">
        <v>1</v>
      </c>
      <c r="N413" s="182" t="s">
        <v>44</v>
      </c>
      <c r="O413" s="183">
        <v>0</v>
      </c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R413" s="185" t="s">
        <v>595</v>
      </c>
      <c r="AT413" s="185" t="s">
        <v>141</v>
      </c>
      <c r="AU413" s="185" t="s">
        <v>85</v>
      </c>
      <c r="AY413" s="83" t="s">
        <v>139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83" t="s">
        <v>85</v>
      </c>
      <c r="BK413" s="186">
        <f>ROUND(I413*H413,2)</f>
        <v>0</v>
      </c>
      <c r="BL413" s="83" t="s">
        <v>595</v>
      </c>
      <c r="BM413" s="185" t="s">
        <v>843</v>
      </c>
    </row>
    <row r="414" spans="1:65" s="95" customFormat="1" ht="16.5" customHeight="1">
      <c r="A414" s="91"/>
      <c r="B414" s="92"/>
      <c r="C414" s="175" t="s">
        <v>844</v>
      </c>
      <c r="D414" s="175" t="s">
        <v>141</v>
      </c>
      <c r="E414" s="176" t="s">
        <v>598</v>
      </c>
      <c r="F414" s="177" t="s">
        <v>599</v>
      </c>
      <c r="G414" s="178" t="s">
        <v>600</v>
      </c>
      <c r="H414" s="179">
        <v>1</v>
      </c>
      <c r="I414" s="69"/>
      <c r="J414" s="180">
        <f>ROUND(I414*H414,2)</f>
        <v>0</v>
      </c>
      <c r="K414" s="177" t="s">
        <v>1</v>
      </c>
      <c r="L414" s="92"/>
      <c r="M414" s="229" t="s">
        <v>1</v>
      </c>
      <c r="N414" s="230" t="s">
        <v>44</v>
      </c>
      <c r="O414" s="231">
        <v>0</v>
      </c>
      <c r="P414" s="231">
        <f>O414*H414</f>
        <v>0</v>
      </c>
      <c r="Q414" s="231">
        <v>0</v>
      </c>
      <c r="R414" s="231">
        <f>Q414*H414</f>
        <v>0</v>
      </c>
      <c r="S414" s="231">
        <v>0</v>
      </c>
      <c r="T414" s="232">
        <f>S414*H414</f>
        <v>0</v>
      </c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R414" s="185" t="s">
        <v>595</v>
      </c>
      <c r="AT414" s="185" t="s">
        <v>141</v>
      </c>
      <c r="AU414" s="185" t="s">
        <v>85</v>
      </c>
      <c r="AY414" s="83" t="s">
        <v>139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83" t="s">
        <v>85</v>
      </c>
      <c r="BK414" s="186">
        <f>ROUND(I414*H414,2)</f>
        <v>0</v>
      </c>
      <c r="BL414" s="83" t="s">
        <v>595</v>
      </c>
      <c r="BM414" s="185" t="s">
        <v>845</v>
      </c>
    </row>
    <row r="415" spans="1:31" s="95" customFormat="1" ht="6.95" customHeight="1">
      <c r="A415" s="91"/>
      <c r="B415" s="123"/>
      <c r="C415" s="124"/>
      <c r="D415" s="124"/>
      <c r="E415" s="124"/>
      <c r="F415" s="124"/>
      <c r="G415" s="124"/>
      <c r="H415" s="124"/>
      <c r="I415" s="248"/>
      <c r="J415" s="124"/>
      <c r="K415" s="124"/>
      <c r="L415" s="92"/>
      <c r="M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</row>
  </sheetData>
  <sheetProtection password="CC2C" sheet="1" objects="1" scenarios="1"/>
  <autoFilter ref="C128:K414"/>
  <mergeCells count="11">
    <mergeCell ref="E121:H121"/>
    <mergeCell ref="E7:H7"/>
    <mergeCell ref="E9:H9"/>
    <mergeCell ref="E11:H11"/>
    <mergeCell ref="E29:H29"/>
    <mergeCell ref="E85:H85"/>
    <mergeCell ref="L2:V2"/>
    <mergeCell ref="E87:H87"/>
    <mergeCell ref="E89:H89"/>
    <mergeCell ref="E117:H117"/>
    <mergeCell ref="E119:H119"/>
  </mergeCell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C648-76DE-4667-A1FE-26FDE50AB5C5}">
  <dimension ref="A2:BM415"/>
  <sheetViews>
    <sheetView workbookViewId="0" topLeftCell="A78">
      <selection activeCell="I138" sqref="I138:I414"/>
    </sheetView>
  </sheetViews>
  <sheetFormatPr defaultColWidth="9.140625" defaultRowHeight="12"/>
  <cols>
    <col min="1" max="1" width="8.28125" style="82" customWidth="1"/>
    <col min="2" max="2" width="1.1484375" style="82" customWidth="1"/>
    <col min="3" max="3" width="4.140625" style="82" customWidth="1"/>
    <col min="4" max="4" width="4.28125" style="82" customWidth="1"/>
    <col min="5" max="5" width="16.00390625" style="82" customWidth="1"/>
    <col min="6" max="6" width="50.8515625" style="82" customWidth="1"/>
    <col min="7" max="7" width="7.421875" style="82" customWidth="1"/>
    <col min="8" max="8" width="11.421875" style="82" customWidth="1"/>
    <col min="9" max="9" width="17.28125" style="82" customWidth="1"/>
    <col min="10" max="10" width="19.28125" style="82" customWidth="1"/>
    <col min="11" max="11" width="20.140625" style="82" hidden="1" customWidth="1"/>
    <col min="12" max="12" width="14.00390625" style="82" hidden="1" customWidth="1"/>
    <col min="13" max="13" width="10.8515625" style="82" hidden="1" customWidth="1"/>
    <col min="14" max="14" width="9.140625" style="82" hidden="1" customWidth="1"/>
    <col min="15" max="20" width="14.140625" style="82" hidden="1" customWidth="1"/>
    <col min="21" max="21" width="20.8515625" style="82" customWidth="1"/>
    <col min="22" max="22" width="12.28125" style="82" customWidth="1"/>
    <col min="23" max="23" width="16.28125" style="82" customWidth="1"/>
    <col min="24" max="24" width="12.28125" style="82" customWidth="1"/>
    <col min="25" max="25" width="15.00390625" style="82" customWidth="1"/>
    <col min="26" max="26" width="11.00390625" style="82" customWidth="1"/>
    <col min="27" max="27" width="15.00390625" style="82" customWidth="1"/>
    <col min="28" max="28" width="16.28125" style="82" customWidth="1"/>
    <col min="29" max="29" width="11.00390625" style="82" customWidth="1"/>
    <col min="30" max="30" width="15.00390625" style="82" customWidth="1"/>
    <col min="31" max="31" width="16.28125" style="82" customWidth="1"/>
    <col min="32" max="16384" width="9.28125" style="82" customWidth="1"/>
  </cols>
  <sheetData>
    <row r="1" ht="12" hidden="1"/>
    <row r="2" spans="12:46" ht="36.95" customHeight="1" hidden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83" t="s">
        <v>964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90" t="s">
        <v>14</v>
      </c>
      <c r="L6" s="86"/>
    </row>
    <row r="7" spans="2:12" ht="16.5" customHeight="1" hidden="1">
      <c r="B7" s="86"/>
      <c r="E7" s="286" t="s">
        <v>15</v>
      </c>
      <c r="F7" s="289"/>
      <c r="G7" s="289"/>
      <c r="H7" s="289"/>
      <c r="L7" s="86"/>
    </row>
    <row r="8" spans="2:12" ht="12.75" hidden="1">
      <c r="B8" s="86"/>
      <c r="D8" s="90" t="s">
        <v>106</v>
      </c>
      <c r="L8" s="86"/>
    </row>
    <row r="9" spans="2:12" ht="16.5" customHeight="1" hidden="1">
      <c r="B9" s="86"/>
      <c r="E9" s="286" t="s">
        <v>1500</v>
      </c>
      <c r="F9" s="285"/>
      <c r="G9" s="285"/>
      <c r="H9" s="285"/>
      <c r="L9" s="86"/>
    </row>
    <row r="10" spans="2:12" ht="12" customHeight="1" hidden="1">
      <c r="B10" s="86"/>
      <c r="D10" s="90" t="s">
        <v>108</v>
      </c>
      <c r="L10" s="86"/>
    </row>
    <row r="11" spans="1:31" s="95" customFormat="1" ht="16.5" customHeight="1" hidden="1">
      <c r="A11" s="93"/>
      <c r="B11" s="92"/>
      <c r="C11" s="93"/>
      <c r="D11" s="93"/>
      <c r="E11" s="291" t="s">
        <v>1503</v>
      </c>
      <c r="F11" s="287"/>
      <c r="G11" s="287"/>
      <c r="H11" s="287"/>
      <c r="I11" s="93"/>
      <c r="J11" s="93"/>
      <c r="K11" s="93"/>
      <c r="L11" s="9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5" customFormat="1" ht="12" customHeight="1" hidden="1">
      <c r="A12" s="93"/>
      <c r="B12" s="92"/>
      <c r="C12" s="93"/>
      <c r="D12" s="90" t="s">
        <v>965</v>
      </c>
      <c r="E12" s="93"/>
      <c r="F12" s="93"/>
      <c r="G12" s="93"/>
      <c r="H12" s="93"/>
      <c r="I12" s="93"/>
      <c r="J12" s="93"/>
      <c r="K12" s="93"/>
      <c r="L12" s="9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5" customFormat="1" ht="16.5" customHeight="1" hidden="1">
      <c r="A13" s="93"/>
      <c r="B13" s="92"/>
      <c r="C13" s="93"/>
      <c r="D13" s="93"/>
      <c r="E13" s="288" t="s">
        <v>1492</v>
      </c>
      <c r="F13" s="287"/>
      <c r="G13" s="287"/>
      <c r="H13" s="287"/>
      <c r="I13" s="93"/>
      <c r="J13" s="93"/>
      <c r="K13" s="93"/>
      <c r="L13" s="94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5" customFormat="1" ht="12" hidden="1">
      <c r="A14" s="93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5" customFormat="1" ht="12" customHeight="1" hidden="1">
      <c r="A15" s="93"/>
      <c r="B15" s="92"/>
      <c r="C15" s="93"/>
      <c r="D15" s="90" t="s">
        <v>16</v>
      </c>
      <c r="E15" s="93"/>
      <c r="F15" s="96" t="s">
        <v>1</v>
      </c>
      <c r="G15" s="93"/>
      <c r="H15" s="93"/>
      <c r="I15" s="90" t="s">
        <v>17</v>
      </c>
      <c r="J15" s="96" t="s">
        <v>1</v>
      </c>
      <c r="K15" s="93"/>
      <c r="L15" s="9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5" customFormat="1" ht="12" customHeight="1" hidden="1">
      <c r="A16" s="93"/>
      <c r="B16" s="92"/>
      <c r="C16" s="93"/>
      <c r="D16" s="90" t="s">
        <v>18</v>
      </c>
      <c r="E16" s="93"/>
      <c r="F16" s="96" t="s">
        <v>19</v>
      </c>
      <c r="G16" s="93"/>
      <c r="H16" s="93"/>
      <c r="I16" s="90" t="s">
        <v>20</v>
      </c>
      <c r="J16" s="97" t="str">
        <f>'[1]Rekapitulace stavby'!AN8</f>
        <v>25. 5. 2020</v>
      </c>
      <c r="K16" s="93"/>
      <c r="L16" s="9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5" customFormat="1" ht="10.9" customHeight="1" hidden="1">
      <c r="A17" s="93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4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5" customFormat="1" ht="12" customHeight="1" hidden="1">
      <c r="A18" s="93"/>
      <c r="B18" s="92"/>
      <c r="C18" s="93"/>
      <c r="D18" s="90" t="s">
        <v>22</v>
      </c>
      <c r="E18" s="93"/>
      <c r="F18" s="93"/>
      <c r="G18" s="93"/>
      <c r="H18" s="93"/>
      <c r="I18" s="90" t="s">
        <v>23</v>
      </c>
      <c r="J18" s="96" t="s">
        <v>24</v>
      </c>
      <c r="K18" s="93"/>
      <c r="L18" s="94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5" customFormat="1" ht="18" customHeight="1" hidden="1">
      <c r="A19" s="93"/>
      <c r="B19" s="92"/>
      <c r="C19" s="93"/>
      <c r="D19" s="93"/>
      <c r="E19" s="96" t="s">
        <v>25</v>
      </c>
      <c r="F19" s="93"/>
      <c r="G19" s="93"/>
      <c r="H19" s="93"/>
      <c r="I19" s="90" t="s">
        <v>26</v>
      </c>
      <c r="J19" s="96" t="s">
        <v>27</v>
      </c>
      <c r="K19" s="93"/>
      <c r="L19" s="9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5" customFormat="1" ht="6.95" customHeight="1" hidden="1">
      <c r="A20" s="93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4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5" customFormat="1" ht="12" customHeight="1" hidden="1">
      <c r="A21" s="93"/>
      <c r="B21" s="92"/>
      <c r="C21" s="93"/>
      <c r="D21" s="90" t="s">
        <v>28</v>
      </c>
      <c r="E21" s="93"/>
      <c r="F21" s="93"/>
      <c r="G21" s="93"/>
      <c r="H21" s="93"/>
      <c r="I21" s="90" t="s">
        <v>23</v>
      </c>
      <c r="J21" s="96" t="s">
        <v>1</v>
      </c>
      <c r="K21" s="93"/>
      <c r="L21" s="9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5" customFormat="1" ht="18" customHeight="1" hidden="1">
      <c r="A22" s="93"/>
      <c r="B22" s="92"/>
      <c r="C22" s="93"/>
      <c r="D22" s="93"/>
      <c r="E22" s="96" t="s">
        <v>29</v>
      </c>
      <c r="F22" s="93"/>
      <c r="G22" s="93"/>
      <c r="H22" s="93"/>
      <c r="I22" s="90" t="s">
        <v>26</v>
      </c>
      <c r="J22" s="96" t="s">
        <v>1</v>
      </c>
      <c r="K22" s="93"/>
      <c r="L22" s="9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5" customFormat="1" ht="6.95" customHeight="1" hidden="1">
      <c r="A23" s="93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4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5" customFormat="1" ht="12" customHeight="1" hidden="1">
      <c r="A24" s="93"/>
      <c r="B24" s="92"/>
      <c r="C24" s="93"/>
      <c r="D24" s="90" t="s">
        <v>30</v>
      </c>
      <c r="E24" s="93"/>
      <c r="F24" s="93"/>
      <c r="G24" s="93"/>
      <c r="H24" s="93"/>
      <c r="I24" s="90" t="s">
        <v>23</v>
      </c>
      <c r="J24" s="96" t="s">
        <v>31</v>
      </c>
      <c r="K24" s="93"/>
      <c r="L24" s="94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5" customFormat="1" ht="18" customHeight="1" hidden="1">
      <c r="A25" s="93"/>
      <c r="B25" s="92"/>
      <c r="C25" s="93"/>
      <c r="D25" s="93"/>
      <c r="E25" s="96" t="s">
        <v>32</v>
      </c>
      <c r="F25" s="93"/>
      <c r="G25" s="93"/>
      <c r="H25" s="93"/>
      <c r="I25" s="90" t="s">
        <v>26</v>
      </c>
      <c r="J25" s="96" t="s">
        <v>33</v>
      </c>
      <c r="K25" s="93"/>
      <c r="L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5" customFormat="1" ht="6.95" customHeight="1" hidden="1">
      <c r="A26" s="93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4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95" customFormat="1" ht="12" customHeight="1" hidden="1">
      <c r="A27" s="93"/>
      <c r="B27" s="92"/>
      <c r="C27" s="93"/>
      <c r="D27" s="90" t="s">
        <v>35</v>
      </c>
      <c r="E27" s="93"/>
      <c r="F27" s="93"/>
      <c r="G27" s="93"/>
      <c r="H27" s="93"/>
      <c r="I27" s="90" t="s">
        <v>23</v>
      </c>
      <c r="J27" s="96" t="s">
        <v>1</v>
      </c>
      <c r="K27" s="93"/>
      <c r="L27" s="94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95" customFormat="1" ht="18" customHeight="1" hidden="1">
      <c r="A28" s="93"/>
      <c r="B28" s="92"/>
      <c r="C28" s="93"/>
      <c r="D28" s="93"/>
      <c r="E28" s="96" t="s">
        <v>36</v>
      </c>
      <c r="F28" s="93"/>
      <c r="G28" s="93"/>
      <c r="H28" s="93"/>
      <c r="I28" s="90" t="s">
        <v>26</v>
      </c>
      <c r="J28" s="96" t="s">
        <v>1</v>
      </c>
      <c r="K28" s="93"/>
      <c r="L28" s="94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5" customFormat="1" ht="6.95" customHeight="1" hidden="1">
      <c r="A29" s="93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4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5" customFormat="1" ht="12" customHeight="1" hidden="1">
      <c r="A30" s="93"/>
      <c r="B30" s="92"/>
      <c r="C30" s="93"/>
      <c r="D30" s="90" t="s">
        <v>37</v>
      </c>
      <c r="E30" s="93"/>
      <c r="F30" s="93"/>
      <c r="G30" s="93"/>
      <c r="H30" s="93"/>
      <c r="I30" s="93"/>
      <c r="J30" s="93"/>
      <c r="K30" s="93"/>
      <c r="L30" s="94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101" customFormat="1" ht="83.25" customHeight="1" hidden="1">
      <c r="A31" s="98"/>
      <c r="B31" s="99"/>
      <c r="C31" s="98"/>
      <c r="D31" s="98"/>
      <c r="E31" s="290" t="s">
        <v>38</v>
      </c>
      <c r="F31" s="290"/>
      <c r="G31" s="290"/>
      <c r="H31" s="290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95" customFormat="1" ht="6.95" customHeight="1" hidden="1">
      <c r="A32" s="93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5" customFormat="1" ht="6.95" customHeight="1" hidden="1">
      <c r="A33" s="93"/>
      <c r="B33" s="92"/>
      <c r="C33" s="93"/>
      <c r="D33" s="102"/>
      <c r="E33" s="102"/>
      <c r="F33" s="102"/>
      <c r="G33" s="102"/>
      <c r="H33" s="102"/>
      <c r="I33" s="102"/>
      <c r="J33" s="102"/>
      <c r="K33" s="102"/>
      <c r="L33" s="9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5" customFormat="1" ht="25.35" customHeight="1" hidden="1">
      <c r="A34" s="93"/>
      <c r="B34" s="92"/>
      <c r="C34" s="93"/>
      <c r="D34" s="103" t="s">
        <v>39</v>
      </c>
      <c r="E34" s="93"/>
      <c r="F34" s="93"/>
      <c r="G34" s="93"/>
      <c r="H34" s="93"/>
      <c r="I34" s="93"/>
      <c r="J34" s="104">
        <f>ROUND(J135,2)</f>
        <v>0</v>
      </c>
      <c r="K34" s="93"/>
      <c r="L34" s="9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5" customFormat="1" ht="6.95" customHeight="1" hidden="1">
      <c r="A35" s="93"/>
      <c r="B35" s="92"/>
      <c r="C35" s="93"/>
      <c r="D35" s="102"/>
      <c r="E35" s="102"/>
      <c r="F35" s="102"/>
      <c r="G35" s="102"/>
      <c r="H35" s="102"/>
      <c r="I35" s="102"/>
      <c r="J35" s="102"/>
      <c r="K35" s="102"/>
      <c r="L35" s="9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5" customFormat="1" ht="14.45" customHeight="1" hidden="1">
      <c r="A36" s="93"/>
      <c r="B36" s="92"/>
      <c r="C36" s="93"/>
      <c r="D36" s="93"/>
      <c r="E36" s="93"/>
      <c r="F36" s="105" t="s">
        <v>41</v>
      </c>
      <c r="G36" s="93"/>
      <c r="H36" s="93"/>
      <c r="I36" s="105" t="s">
        <v>40</v>
      </c>
      <c r="J36" s="105" t="s">
        <v>42</v>
      </c>
      <c r="K36" s="93"/>
      <c r="L36" s="9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5" customFormat="1" ht="14.45" customHeight="1" hidden="1">
      <c r="A37" s="93"/>
      <c r="B37" s="92"/>
      <c r="C37" s="93"/>
      <c r="D37" s="249" t="s">
        <v>43</v>
      </c>
      <c r="E37" s="90" t="s">
        <v>44</v>
      </c>
      <c r="F37" s="107">
        <f>ROUND((SUM(BE135:BE414)),2)</f>
        <v>0</v>
      </c>
      <c r="G37" s="93"/>
      <c r="H37" s="93"/>
      <c r="I37" s="108">
        <v>0.21</v>
      </c>
      <c r="J37" s="107">
        <f>ROUND(((SUM(BE135:BE414))*I37),2)</f>
        <v>0</v>
      </c>
      <c r="K37" s="93"/>
      <c r="L37" s="9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5" customFormat="1" ht="14.45" customHeight="1" hidden="1">
      <c r="A38" s="93"/>
      <c r="B38" s="92"/>
      <c r="C38" s="93"/>
      <c r="D38" s="93"/>
      <c r="E38" s="90" t="s">
        <v>45</v>
      </c>
      <c r="F38" s="107">
        <f>ROUND((SUM(BF135:BF414)),2)</f>
        <v>0</v>
      </c>
      <c r="G38" s="93"/>
      <c r="H38" s="93"/>
      <c r="I38" s="108">
        <v>0.15</v>
      </c>
      <c r="J38" s="107">
        <f>ROUND(((SUM(BF135:BF414))*I38),2)</f>
        <v>0</v>
      </c>
      <c r="K38" s="93"/>
      <c r="L38" s="9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5" customFormat="1" ht="14.45" customHeight="1" hidden="1">
      <c r="A39" s="93"/>
      <c r="B39" s="92"/>
      <c r="C39" s="93"/>
      <c r="D39" s="93"/>
      <c r="E39" s="90" t="s">
        <v>46</v>
      </c>
      <c r="F39" s="107">
        <f>ROUND((SUM(BG135:BG414)),2)</f>
        <v>0</v>
      </c>
      <c r="G39" s="93"/>
      <c r="H39" s="93"/>
      <c r="I39" s="108">
        <v>0.21</v>
      </c>
      <c r="J39" s="107">
        <f>0</f>
        <v>0</v>
      </c>
      <c r="K39" s="93"/>
      <c r="L39" s="9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5" customFormat="1" ht="14.45" customHeight="1" hidden="1">
      <c r="A40" s="93"/>
      <c r="B40" s="92"/>
      <c r="C40" s="93"/>
      <c r="D40" s="93"/>
      <c r="E40" s="90" t="s">
        <v>47</v>
      </c>
      <c r="F40" s="107">
        <f>ROUND((SUM(BH135:BH414)),2)</f>
        <v>0</v>
      </c>
      <c r="G40" s="93"/>
      <c r="H40" s="93"/>
      <c r="I40" s="108">
        <v>0.15</v>
      </c>
      <c r="J40" s="107">
        <f>0</f>
        <v>0</v>
      </c>
      <c r="K40" s="93"/>
      <c r="L40" s="9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s="95" customFormat="1" ht="14.45" customHeight="1" hidden="1">
      <c r="A41" s="93"/>
      <c r="B41" s="92"/>
      <c r="C41" s="93"/>
      <c r="D41" s="93"/>
      <c r="E41" s="90" t="s">
        <v>48</v>
      </c>
      <c r="F41" s="107">
        <f>ROUND((SUM(BI135:BI414)),2)</f>
        <v>0</v>
      </c>
      <c r="G41" s="93"/>
      <c r="H41" s="93"/>
      <c r="I41" s="108">
        <v>0</v>
      </c>
      <c r="J41" s="107">
        <f>0</f>
        <v>0</v>
      </c>
      <c r="K41" s="93"/>
      <c r="L41" s="9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s="95" customFormat="1" ht="6.95" customHeight="1" hidden="1">
      <c r="A42" s="93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s="95" customFormat="1" ht="25.35" customHeight="1" hidden="1">
      <c r="A43" s="93"/>
      <c r="B43" s="92"/>
      <c r="C43" s="109"/>
      <c r="D43" s="110" t="s">
        <v>49</v>
      </c>
      <c r="E43" s="111"/>
      <c r="F43" s="111"/>
      <c r="G43" s="112" t="s">
        <v>50</v>
      </c>
      <c r="H43" s="113" t="s">
        <v>51</v>
      </c>
      <c r="I43" s="111"/>
      <c r="J43" s="114">
        <f>SUM(J34:J41)</f>
        <v>0</v>
      </c>
      <c r="K43" s="115"/>
      <c r="L43" s="9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s="95" customFormat="1" ht="14.45" customHeight="1" hidden="1">
      <c r="A44" s="93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3"/>
      <c r="B61" s="92"/>
      <c r="C61" s="93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3"/>
      <c r="B65" s="92"/>
      <c r="C65" s="93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3"/>
      <c r="B76" s="92"/>
      <c r="C76" s="93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5" customFormat="1" ht="14.45" customHeight="1" hidden="1">
      <c r="A77" s="93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5" customFormat="1" ht="6.95" customHeight="1">
      <c r="A81" s="93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5" customFormat="1" ht="24.95" customHeight="1">
      <c r="A82" s="93"/>
      <c r="B82" s="92"/>
      <c r="C82" s="87" t="s">
        <v>110</v>
      </c>
      <c r="D82" s="93"/>
      <c r="E82" s="93"/>
      <c r="F82" s="93"/>
      <c r="G82" s="93"/>
      <c r="H82" s="93"/>
      <c r="I82" s="93"/>
      <c r="J82" s="93"/>
      <c r="K82" s="93"/>
      <c r="L82" s="94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5" customFormat="1" ht="6.95" customHeight="1">
      <c r="A83" s="93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4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5" customFormat="1" ht="12" customHeight="1">
      <c r="A84" s="93"/>
      <c r="B84" s="92"/>
      <c r="C84" s="90" t="s">
        <v>14</v>
      </c>
      <c r="D84" s="93"/>
      <c r="E84" s="93"/>
      <c r="F84" s="93"/>
      <c r="G84" s="93"/>
      <c r="H84" s="93"/>
      <c r="I84" s="93"/>
      <c r="J84" s="93"/>
      <c r="K84" s="93"/>
      <c r="L84" s="94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5" customFormat="1" ht="16.5" customHeight="1">
      <c r="A85" s="93"/>
      <c r="B85" s="92"/>
      <c r="C85" s="93"/>
      <c r="D85" s="93"/>
      <c r="E85" s="286" t="str">
        <f>E7</f>
        <v>Kosmonosy, obnova vodovodu a kanalizace - 3. etapa</v>
      </c>
      <c r="F85" s="289"/>
      <c r="G85" s="289"/>
      <c r="H85" s="289"/>
      <c r="I85" s="93"/>
      <c r="J85" s="93"/>
      <c r="K85" s="93"/>
      <c r="L85" s="94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2:12" ht="12" customHeight="1">
      <c r="B86" s="86"/>
      <c r="C86" s="90" t="s">
        <v>106</v>
      </c>
      <c r="L86" s="86"/>
    </row>
    <row r="87" spans="2:12" ht="16.5" customHeight="1">
      <c r="B87" s="86"/>
      <c r="E87" s="286" t="s">
        <v>1500</v>
      </c>
      <c r="F87" s="285"/>
      <c r="G87" s="285"/>
      <c r="H87" s="285"/>
      <c r="L87" s="86"/>
    </row>
    <row r="88" spans="2:12" ht="12" customHeight="1">
      <c r="B88" s="86"/>
      <c r="C88" s="90" t="s">
        <v>108</v>
      </c>
      <c r="L88" s="86"/>
    </row>
    <row r="89" spans="1:31" s="95" customFormat="1" ht="16.5" customHeight="1">
      <c r="A89" s="93"/>
      <c r="B89" s="92"/>
      <c r="C89" s="93"/>
      <c r="D89" s="93"/>
      <c r="E89" s="291" t="s">
        <v>1503</v>
      </c>
      <c r="F89" s="287"/>
      <c r="G89" s="287"/>
      <c r="H89" s="287"/>
      <c r="I89" s="93"/>
      <c r="J89" s="93"/>
      <c r="K89" s="93"/>
      <c r="L89" s="94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5" customFormat="1" ht="12" customHeight="1">
      <c r="A90" s="93"/>
      <c r="B90" s="92"/>
      <c r="C90" s="90" t="s">
        <v>965</v>
      </c>
      <c r="D90" s="93"/>
      <c r="E90" s="93"/>
      <c r="F90" s="93"/>
      <c r="G90" s="93"/>
      <c r="H90" s="93"/>
      <c r="I90" s="93"/>
      <c r="J90" s="93"/>
      <c r="K90" s="93"/>
      <c r="L90" s="94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5" customFormat="1" ht="16.5" customHeight="1">
      <c r="A91" s="93"/>
      <c r="B91" s="92"/>
      <c r="C91" s="93"/>
      <c r="D91" s="93"/>
      <c r="E91" s="288" t="str">
        <f>E13</f>
        <v>Stoka H</v>
      </c>
      <c r="F91" s="287"/>
      <c r="G91" s="287"/>
      <c r="H91" s="287"/>
      <c r="I91" s="93"/>
      <c r="J91" s="93"/>
      <c r="K91" s="93"/>
      <c r="L91" s="94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5" customFormat="1" ht="6.95" customHeight="1">
      <c r="A92" s="93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4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5" customFormat="1" ht="12" customHeight="1">
      <c r="A93" s="93"/>
      <c r="B93" s="92"/>
      <c r="C93" s="90" t="s">
        <v>18</v>
      </c>
      <c r="D93" s="93"/>
      <c r="E93" s="93"/>
      <c r="F93" s="96" t="str">
        <f>F16</f>
        <v>Kosmonosy</v>
      </c>
      <c r="G93" s="93"/>
      <c r="H93" s="93"/>
      <c r="I93" s="90" t="s">
        <v>20</v>
      </c>
      <c r="J93" s="97" t="str">
        <f>IF(J16="","",J16)</f>
        <v>25. 5. 2020</v>
      </c>
      <c r="K93" s="93"/>
      <c r="L93" s="94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95" customFormat="1" ht="6.95" customHeight="1">
      <c r="A94" s="93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4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s="95" customFormat="1" ht="15.2" customHeight="1">
      <c r="A95" s="93"/>
      <c r="B95" s="92"/>
      <c r="C95" s="90" t="s">
        <v>22</v>
      </c>
      <c r="D95" s="93"/>
      <c r="E95" s="93"/>
      <c r="F95" s="96" t="str">
        <f>E19</f>
        <v>Vodovody a kanalizace Mladá Boleslav, a.s.</v>
      </c>
      <c r="G95" s="93"/>
      <c r="H95" s="93"/>
      <c r="I95" s="90" t="s">
        <v>30</v>
      </c>
      <c r="J95" s="127" t="str">
        <f>E25</f>
        <v>ŠINDLAR s.r.o.</v>
      </c>
      <c r="K95" s="93"/>
      <c r="L95" s="94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s="95" customFormat="1" ht="15.2" customHeight="1">
      <c r="A96" s="93"/>
      <c r="B96" s="92"/>
      <c r="C96" s="90" t="s">
        <v>28</v>
      </c>
      <c r="D96" s="93"/>
      <c r="E96" s="93"/>
      <c r="F96" s="96" t="str">
        <f>IF(E22="","",E22)</f>
        <v>Dle výběrového řízení</v>
      </c>
      <c r="G96" s="93"/>
      <c r="H96" s="93"/>
      <c r="I96" s="90" t="s">
        <v>35</v>
      </c>
      <c r="J96" s="127" t="str">
        <f>E28</f>
        <v>Roman Bárta</v>
      </c>
      <c r="K96" s="93"/>
      <c r="L96" s="94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s="95" customFormat="1" ht="10.35" customHeight="1">
      <c r="A97" s="93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4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s="133" customFormat="1" ht="29.25" customHeight="1">
      <c r="A98" s="128"/>
      <c r="B98" s="129"/>
      <c r="C98" s="130" t="s">
        <v>111</v>
      </c>
      <c r="D98" s="128"/>
      <c r="E98" s="128"/>
      <c r="F98" s="128"/>
      <c r="G98" s="128"/>
      <c r="H98" s="128"/>
      <c r="I98" s="128"/>
      <c r="J98" s="131" t="s">
        <v>112</v>
      </c>
      <c r="K98" s="128"/>
      <c r="L98" s="132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</row>
    <row r="99" spans="1:31" s="95" customFormat="1" ht="10.35" customHeight="1">
      <c r="A99" s="93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4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47" s="95" customFormat="1" ht="22.9" customHeight="1">
      <c r="A100" s="93"/>
      <c r="B100" s="92"/>
      <c r="C100" s="134" t="s">
        <v>113</v>
      </c>
      <c r="D100" s="93"/>
      <c r="E100" s="93"/>
      <c r="F100" s="93"/>
      <c r="G100" s="93"/>
      <c r="H100" s="93"/>
      <c r="I100" s="93"/>
      <c r="J100" s="104">
        <f>J101+J111</f>
        <v>0</v>
      </c>
      <c r="K100" s="93"/>
      <c r="L100" s="94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U100" s="83" t="s">
        <v>114</v>
      </c>
    </row>
    <row r="101" spans="2:12" s="135" customFormat="1" ht="24.95" customHeight="1">
      <c r="B101" s="136"/>
      <c r="D101" s="137" t="s">
        <v>115</v>
      </c>
      <c r="E101" s="138"/>
      <c r="F101" s="138"/>
      <c r="G101" s="138"/>
      <c r="H101" s="138"/>
      <c r="I101" s="138"/>
      <c r="J101" s="139">
        <f>SUM(J102:J110)</f>
        <v>0</v>
      </c>
      <c r="L101" s="136"/>
    </row>
    <row r="102" spans="2:12" s="140" customFormat="1" ht="19.9" customHeight="1">
      <c r="B102" s="141"/>
      <c r="D102" s="142" t="s">
        <v>116</v>
      </c>
      <c r="E102" s="143"/>
      <c r="F102" s="143"/>
      <c r="G102" s="143"/>
      <c r="H102" s="143"/>
      <c r="I102" s="143"/>
      <c r="J102" s="144">
        <f>J137</f>
        <v>0</v>
      </c>
      <c r="L102" s="141"/>
    </row>
    <row r="103" spans="2:12" s="140" customFormat="1" ht="19.9" customHeight="1">
      <c r="B103" s="141"/>
      <c r="D103" s="142" t="s">
        <v>966</v>
      </c>
      <c r="E103" s="143"/>
      <c r="F103" s="143"/>
      <c r="G103" s="143"/>
      <c r="H103" s="143"/>
      <c r="I103" s="143"/>
      <c r="J103" s="144">
        <f>J238</f>
        <v>0</v>
      </c>
      <c r="L103" s="141"/>
    </row>
    <row r="104" spans="2:12" s="140" customFormat="1" ht="19.9" customHeight="1">
      <c r="B104" s="141"/>
      <c r="D104" s="142" t="s">
        <v>117</v>
      </c>
      <c r="E104" s="143"/>
      <c r="F104" s="143"/>
      <c r="G104" s="143"/>
      <c r="H104" s="143"/>
      <c r="I104" s="143"/>
      <c r="J104" s="144">
        <f>J244</f>
        <v>0</v>
      </c>
      <c r="L104" s="141"/>
    </row>
    <row r="105" spans="2:12" s="140" customFormat="1" ht="19.9" customHeight="1">
      <c r="B105" s="141"/>
      <c r="D105" s="142" t="s">
        <v>118</v>
      </c>
      <c r="E105" s="143"/>
      <c r="F105" s="143"/>
      <c r="G105" s="143"/>
      <c r="H105" s="143"/>
      <c r="I105" s="143"/>
      <c r="J105" s="144">
        <f>J269</f>
        <v>0</v>
      </c>
      <c r="L105" s="141"/>
    </row>
    <row r="106" spans="2:12" s="140" customFormat="1" ht="19.9" customHeight="1">
      <c r="B106" s="141"/>
      <c r="D106" s="142" t="s">
        <v>846</v>
      </c>
      <c r="E106" s="143"/>
      <c r="F106" s="143"/>
      <c r="G106" s="143"/>
      <c r="H106" s="143"/>
      <c r="I106" s="143"/>
      <c r="J106" s="144">
        <f>J311</f>
        <v>0</v>
      </c>
      <c r="L106" s="141"/>
    </row>
    <row r="107" spans="2:12" s="140" customFormat="1" ht="19.9" customHeight="1">
      <c r="B107" s="141"/>
      <c r="D107" s="142" t="s">
        <v>119</v>
      </c>
      <c r="E107" s="143"/>
      <c r="F107" s="143"/>
      <c r="G107" s="143"/>
      <c r="H107" s="143"/>
      <c r="I107" s="143"/>
      <c r="J107" s="144">
        <f>J315</f>
        <v>0</v>
      </c>
      <c r="L107" s="141"/>
    </row>
    <row r="108" spans="2:12" s="140" customFormat="1" ht="19.9" customHeight="1">
      <c r="B108" s="141"/>
      <c r="D108" s="142" t="s">
        <v>120</v>
      </c>
      <c r="E108" s="143"/>
      <c r="F108" s="143"/>
      <c r="G108" s="143"/>
      <c r="H108" s="143"/>
      <c r="I108" s="143"/>
      <c r="J108" s="144">
        <f>J380</f>
        <v>0</v>
      </c>
      <c r="L108" s="141"/>
    </row>
    <row r="109" spans="2:12" s="140" customFormat="1" ht="19.9" customHeight="1">
      <c r="B109" s="141"/>
      <c r="D109" s="142" t="s">
        <v>121</v>
      </c>
      <c r="E109" s="143"/>
      <c r="F109" s="143"/>
      <c r="G109" s="143"/>
      <c r="H109" s="143"/>
      <c r="I109" s="143"/>
      <c r="J109" s="144">
        <f>J398</f>
        <v>0</v>
      </c>
      <c r="L109" s="141"/>
    </row>
    <row r="110" spans="2:12" s="140" customFormat="1" ht="19.9" customHeight="1">
      <c r="B110" s="141"/>
      <c r="D110" s="142" t="s">
        <v>122</v>
      </c>
      <c r="E110" s="143"/>
      <c r="F110" s="143"/>
      <c r="G110" s="143"/>
      <c r="H110" s="143"/>
      <c r="I110" s="143"/>
      <c r="J110" s="144">
        <f>J407</f>
        <v>0</v>
      </c>
      <c r="L110" s="141"/>
    </row>
    <row r="111" spans="2:12" s="135" customFormat="1" ht="24.95" customHeight="1">
      <c r="B111" s="136"/>
      <c r="D111" s="137" t="s">
        <v>123</v>
      </c>
      <c r="E111" s="138"/>
      <c r="F111" s="138"/>
      <c r="G111" s="138"/>
      <c r="H111" s="138"/>
      <c r="I111" s="138"/>
      <c r="J111" s="139">
        <f>J409</f>
        <v>0</v>
      </c>
      <c r="L111" s="136"/>
    </row>
    <row r="112" spans="1:31" s="95" customFormat="1" ht="21.75" customHeight="1">
      <c r="A112" s="93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4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s="95" customFormat="1" ht="6.95" customHeight="1">
      <c r="A113" s="93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94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7" spans="1:31" s="95" customFormat="1" ht="6.95" customHeight="1">
      <c r="A117" s="93"/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94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s="95" customFormat="1" ht="24.95" customHeight="1">
      <c r="A118" s="93"/>
      <c r="B118" s="92"/>
      <c r="C118" s="87" t="s">
        <v>124</v>
      </c>
      <c r="D118" s="93"/>
      <c r="E118" s="93"/>
      <c r="F118" s="93"/>
      <c r="G118" s="93"/>
      <c r="H118" s="93"/>
      <c r="I118" s="93"/>
      <c r="J118" s="93"/>
      <c r="K118" s="93"/>
      <c r="L118" s="94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s="95" customFormat="1" ht="6.95" customHeight="1">
      <c r="A119" s="93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4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5" customFormat="1" ht="12" customHeight="1">
      <c r="A120" s="93"/>
      <c r="B120" s="92"/>
      <c r="C120" s="90" t="s">
        <v>14</v>
      </c>
      <c r="D120" s="93"/>
      <c r="E120" s="93"/>
      <c r="F120" s="93"/>
      <c r="G120" s="93"/>
      <c r="H120" s="93"/>
      <c r="I120" s="93"/>
      <c r="J120" s="93"/>
      <c r="K120" s="93"/>
      <c r="L120" s="94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s="95" customFormat="1" ht="16.5" customHeight="1">
      <c r="A121" s="93"/>
      <c r="B121" s="92"/>
      <c r="C121" s="93"/>
      <c r="D121" s="93"/>
      <c r="E121" s="286" t="str">
        <f>E7</f>
        <v>Kosmonosy, obnova vodovodu a kanalizace - 3. etapa</v>
      </c>
      <c r="F121" s="289"/>
      <c r="G121" s="289"/>
      <c r="H121" s="289"/>
      <c r="I121" s="93"/>
      <c r="J121" s="93"/>
      <c r="K121" s="93"/>
      <c r="L121" s="94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2:12" ht="12" customHeight="1">
      <c r="B122" s="86"/>
      <c r="C122" s="90" t="s">
        <v>106</v>
      </c>
      <c r="L122" s="86"/>
    </row>
    <row r="123" spans="2:12" ht="16.5" customHeight="1">
      <c r="B123" s="86"/>
      <c r="E123" s="286" t="s">
        <v>1500</v>
      </c>
      <c r="F123" s="285"/>
      <c r="G123" s="285"/>
      <c r="H123" s="285"/>
      <c r="L123" s="86"/>
    </row>
    <row r="124" spans="2:12" ht="12" customHeight="1">
      <c r="B124" s="86"/>
      <c r="C124" s="90" t="s">
        <v>108</v>
      </c>
      <c r="L124" s="86"/>
    </row>
    <row r="125" spans="1:31" s="95" customFormat="1" ht="16.5" customHeight="1">
      <c r="A125" s="93"/>
      <c r="B125" s="92"/>
      <c r="C125" s="93"/>
      <c r="D125" s="93"/>
      <c r="E125" s="291" t="s">
        <v>1503</v>
      </c>
      <c r="F125" s="287"/>
      <c r="G125" s="287"/>
      <c r="H125" s="287"/>
      <c r="I125" s="93"/>
      <c r="J125" s="93"/>
      <c r="K125" s="93"/>
      <c r="L125" s="94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95" customFormat="1" ht="12" customHeight="1">
      <c r="A126" s="93"/>
      <c r="B126" s="92"/>
      <c r="C126" s="90" t="s">
        <v>965</v>
      </c>
      <c r="D126" s="93"/>
      <c r="E126" s="93"/>
      <c r="F126" s="93"/>
      <c r="G126" s="93"/>
      <c r="H126" s="93"/>
      <c r="I126" s="93"/>
      <c r="J126" s="93"/>
      <c r="K126" s="93"/>
      <c r="L126" s="94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s="95" customFormat="1" ht="16.5" customHeight="1">
      <c r="A127" s="93"/>
      <c r="B127" s="92"/>
      <c r="C127" s="93"/>
      <c r="D127" s="93"/>
      <c r="E127" s="288" t="str">
        <f>E13</f>
        <v>Stoka H</v>
      </c>
      <c r="F127" s="287"/>
      <c r="G127" s="287"/>
      <c r="H127" s="287"/>
      <c r="I127" s="93"/>
      <c r="J127" s="93"/>
      <c r="K127" s="93"/>
      <c r="L127" s="94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s="95" customFormat="1" ht="6.95" customHeight="1">
      <c r="A128" s="93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4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s="95" customFormat="1" ht="12" customHeight="1">
      <c r="A129" s="93"/>
      <c r="B129" s="92"/>
      <c r="C129" s="90" t="s">
        <v>18</v>
      </c>
      <c r="D129" s="93"/>
      <c r="E129" s="93"/>
      <c r="F129" s="96" t="str">
        <f>F16</f>
        <v>Kosmonosy</v>
      </c>
      <c r="G129" s="93"/>
      <c r="H129" s="93"/>
      <c r="I129" s="90" t="s">
        <v>20</v>
      </c>
      <c r="J129" s="97" t="str">
        <f>IF(J16="","",J16)</f>
        <v>25. 5. 2020</v>
      </c>
      <c r="K129" s="93"/>
      <c r="L129" s="94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s="95" customFormat="1" ht="6.95" customHeight="1">
      <c r="A130" s="93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4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s="95" customFormat="1" ht="15.2" customHeight="1">
      <c r="A131" s="93"/>
      <c r="B131" s="92"/>
      <c r="C131" s="90" t="s">
        <v>22</v>
      </c>
      <c r="D131" s="93"/>
      <c r="E131" s="93"/>
      <c r="F131" s="96" t="str">
        <f>E19</f>
        <v>Vodovody a kanalizace Mladá Boleslav, a.s.</v>
      </c>
      <c r="G131" s="93"/>
      <c r="H131" s="93"/>
      <c r="I131" s="90" t="s">
        <v>30</v>
      </c>
      <c r="J131" s="127" t="str">
        <f>E25</f>
        <v>ŠINDLAR s.r.o.</v>
      </c>
      <c r="K131" s="93"/>
      <c r="L131" s="94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s="95" customFormat="1" ht="15.2" customHeight="1">
      <c r="A132" s="93"/>
      <c r="B132" s="92"/>
      <c r="C132" s="90" t="s">
        <v>28</v>
      </c>
      <c r="D132" s="93"/>
      <c r="E132" s="93"/>
      <c r="F132" s="96" t="str">
        <f>IF(E22="","",E22)</f>
        <v>Dle výběrového řízení</v>
      </c>
      <c r="G132" s="93"/>
      <c r="H132" s="93"/>
      <c r="I132" s="90" t="s">
        <v>35</v>
      </c>
      <c r="J132" s="127" t="str">
        <f>E28</f>
        <v>Roman Bárta</v>
      </c>
      <c r="K132" s="93"/>
      <c r="L132" s="94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s="95" customFormat="1" ht="10.35" customHeight="1">
      <c r="A133" s="93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4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1:31" s="154" customFormat="1" ht="29.25" customHeight="1">
      <c r="A134" s="145"/>
      <c r="B134" s="146"/>
      <c r="C134" s="147" t="s">
        <v>125</v>
      </c>
      <c r="D134" s="148" t="s">
        <v>64</v>
      </c>
      <c r="E134" s="148" t="s">
        <v>60</v>
      </c>
      <c r="F134" s="148" t="s">
        <v>61</v>
      </c>
      <c r="G134" s="148" t="s">
        <v>126</v>
      </c>
      <c r="H134" s="148" t="s">
        <v>127</v>
      </c>
      <c r="I134" s="148" t="s">
        <v>128</v>
      </c>
      <c r="J134" s="148" t="s">
        <v>112</v>
      </c>
      <c r="K134" s="149" t="s">
        <v>129</v>
      </c>
      <c r="L134" s="150"/>
      <c r="M134" s="151" t="s">
        <v>1</v>
      </c>
      <c r="N134" s="152" t="s">
        <v>43</v>
      </c>
      <c r="O134" s="152" t="s">
        <v>130</v>
      </c>
      <c r="P134" s="152" t="s">
        <v>131</v>
      </c>
      <c r="Q134" s="152" t="s">
        <v>132</v>
      </c>
      <c r="R134" s="152" t="s">
        <v>133</v>
      </c>
      <c r="S134" s="152" t="s">
        <v>134</v>
      </c>
      <c r="T134" s="153" t="s">
        <v>135</v>
      </c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1:63" s="95" customFormat="1" ht="22.9" customHeight="1">
      <c r="A135" s="93"/>
      <c r="B135" s="92"/>
      <c r="C135" s="155" t="s">
        <v>136</v>
      </c>
      <c r="D135" s="93"/>
      <c r="E135" s="93"/>
      <c r="F135" s="93"/>
      <c r="G135" s="93"/>
      <c r="H135" s="93"/>
      <c r="I135" s="93"/>
      <c r="J135" s="156"/>
      <c r="K135" s="93"/>
      <c r="L135" s="92"/>
      <c r="M135" s="157"/>
      <c r="N135" s="158"/>
      <c r="O135" s="102"/>
      <c r="P135" s="159">
        <f>P136+P409</f>
        <v>881.962617051673</v>
      </c>
      <c r="Q135" s="102"/>
      <c r="R135" s="159">
        <f>R136+R409</f>
        <v>19.689868589999996</v>
      </c>
      <c r="S135" s="102"/>
      <c r="T135" s="160">
        <f>T136+T409</f>
        <v>142.31379200000003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T135" s="83" t="s">
        <v>77</v>
      </c>
      <c r="AU135" s="83" t="s">
        <v>114</v>
      </c>
      <c r="BK135" s="161">
        <f>BK136+BK409</f>
        <v>0</v>
      </c>
    </row>
    <row r="136" spans="2:63" s="162" customFormat="1" ht="25.9" customHeight="1">
      <c r="B136" s="163"/>
      <c r="D136" s="164" t="s">
        <v>77</v>
      </c>
      <c r="E136" s="165" t="s">
        <v>137</v>
      </c>
      <c r="F136" s="165" t="s">
        <v>138</v>
      </c>
      <c r="J136" s="166"/>
      <c r="L136" s="163"/>
      <c r="M136" s="167"/>
      <c r="N136" s="168"/>
      <c r="O136" s="168"/>
      <c r="P136" s="169">
        <f>P137+P238+P244+P269+P311+P315+P380+P398+P407</f>
        <v>880.955367051673</v>
      </c>
      <c r="Q136" s="168"/>
      <c r="R136" s="169">
        <f>R137+R238+R244+R269+R311+R315+R380+R398+R407</f>
        <v>19.689868589999996</v>
      </c>
      <c r="S136" s="168"/>
      <c r="T136" s="170">
        <f>T137+T238+T244+T269+T311+T315+T380+T398+T407</f>
        <v>142.31379200000003</v>
      </c>
      <c r="AR136" s="164" t="s">
        <v>85</v>
      </c>
      <c r="AT136" s="171" t="s">
        <v>77</v>
      </c>
      <c r="AU136" s="171" t="s">
        <v>78</v>
      </c>
      <c r="AY136" s="164" t="s">
        <v>139</v>
      </c>
      <c r="BK136" s="172">
        <f>BK137+BK238+BK244+BK269+BK311+BK315+BK380+BK398+BK407</f>
        <v>0</v>
      </c>
    </row>
    <row r="137" spans="2:63" s="162" customFormat="1" ht="22.9" customHeight="1">
      <c r="B137" s="163"/>
      <c r="D137" s="164" t="s">
        <v>77</v>
      </c>
      <c r="E137" s="173" t="s">
        <v>85</v>
      </c>
      <c r="F137" s="173" t="s">
        <v>140</v>
      </c>
      <c r="J137" s="174">
        <f>SUM(J138:J235)</f>
        <v>0</v>
      </c>
      <c r="L137" s="163"/>
      <c r="M137" s="167"/>
      <c r="N137" s="168"/>
      <c r="O137" s="168"/>
      <c r="P137" s="169">
        <f>SUM(P138:P237)</f>
        <v>617.9820586916729</v>
      </c>
      <c r="Q137" s="168"/>
      <c r="R137" s="169">
        <f>SUM(R138:R237)</f>
        <v>0.85036504</v>
      </c>
      <c r="S137" s="168"/>
      <c r="T137" s="170">
        <f>SUM(T138:T237)</f>
        <v>132.954752</v>
      </c>
      <c r="AR137" s="164" t="s">
        <v>85</v>
      </c>
      <c r="AT137" s="171" t="s">
        <v>77</v>
      </c>
      <c r="AU137" s="171" t="s">
        <v>85</v>
      </c>
      <c r="AY137" s="164" t="s">
        <v>139</v>
      </c>
      <c r="BK137" s="172">
        <f>SUM(BK138:BK237)</f>
        <v>0</v>
      </c>
    </row>
    <row r="138" spans="1:65" s="95" customFormat="1" ht="62.65" customHeight="1">
      <c r="A138" s="93"/>
      <c r="B138" s="92"/>
      <c r="C138" s="175" t="s">
        <v>85</v>
      </c>
      <c r="D138" s="175" t="s">
        <v>141</v>
      </c>
      <c r="E138" s="176" t="s">
        <v>150</v>
      </c>
      <c r="F138" s="177" t="s">
        <v>151</v>
      </c>
      <c r="G138" s="178" t="s">
        <v>144</v>
      </c>
      <c r="H138" s="179">
        <v>116.864</v>
      </c>
      <c r="I138" s="69"/>
      <c r="J138" s="180">
        <f>ROUND(I138*H138,2)</f>
        <v>0</v>
      </c>
      <c r="K138" s="177" t="s">
        <v>967</v>
      </c>
      <c r="L138" s="92"/>
      <c r="M138" s="181" t="s">
        <v>1</v>
      </c>
      <c r="N138" s="182" t="s">
        <v>44</v>
      </c>
      <c r="O138" s="183">
        <v>0.119</v>
      </c>
      <c r="P138" s="183">
        <f>O138*H138</f>
        <v>13.906816</v>
      </c>
      <c r="Q138" s="183">
        <v>0</v>
      </c>
      <c r="R138" s="183">
        <f>Q138*H138</f>
        <v>0</v>
      </c>
      <c r="S138" s="183">
        <v>0.44</v>
      </c>
      <c r="T138" s="184">
        <f>S138*H138</f>
        <v>51.42016</v>
      </c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R138" s="185" t="s">
        <v>146</v>
      </c>
      <c r="AT138" s="185" t="s">
        <v>141</v>
      </c>
      <c r="AU138" s="185" t="s">
        <v>87</v>
      </c>
      <c r="AY138" s="83" t="s">
        <v>139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83" t="s">
        <v>85</v>
      </c>
      <c r="BK138" s="186">
        <f>ROUND(I138*H138,2)</f>
        <v>0</v>
      </c>
      <c r="BL138" s="83" t="s">
        <v>146</v>
      </c>
      <c r="BM138" s="185" t="s">
        <v>968</v>
      </c>
    </row>
    <row r="139" spans="1:47" s="95" customFormat="1" ht="19.5">
      <c r="A139" s="93"/>
      <c r="B139" s="92"/>
      <c r="C139" s="93"/>
      <c r="D139" s="189" t="s">
        <v>153</v>
      </c>
      <c r="E139" s="93"/>
      <c r="F139" s="196" t="s">
        <v>154</v>
      </c>
      <c r="G139" s="93"/>
      <c r="H139" s="93"/>
      <c r="I139" s="234"/>
      <c r="J139" s="93"/>
      <c r="K139" s="93"/>
      <c r="L139" s="92"/>
      <c r="M139" s="197"/>
      <c r="N139" s="198"/>
      <c r="O139" s="199"/>
      <c r="P139" s="199"/>
      <c r="Q139" s="199"/>
      <c r="R139" s="199"/>
      <c r="S139" s="199"/>
      <c r="T139" s="200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T139" s="83" t="s">
        <v>153</v>
      </c>
      <c r="AU139" s="83" t="s">
        <v>87</v>
      </c>
    </row>
    <row r="140" spans="2:51" s="201" customFormat="1" ht="12">
      <c r="B140" s="202"/>
      <c r="D140" s="189" t="s">
        <v>148</v>
      </c>
      <c r="E140" s="203" t="s">
        <v>1</v>
      </c>
      <c r="F140" s="204" t="s">
        <v>280</v>
      </c>
      <c r="H140" s="203" t="s">
        <v>1</v>
      </c>
      <c r="I140" s="235"/>
      <c r="L140" s="202"/>
      <c r="M140" s="205"/>
      <c r="N140" s="206"/>
      <c r="O140" s="206"/>
      <c r="P140" s="206"/>
      <c r="Q140" s="206"/>
      <c r="R140" s="206"/>
      <c r="S140" s="206"/>
      <c r="T140" s="207"/>
      <c r="AT140" s="203" t="s">
        <v>148</v>
      </c>
      <c r="AU140" s="203" t="s">
        <v>87</v>
      </c>
      <c r="AV140" s="201" t="s">
        <v>85</v>
      </c>
      <c r="AW140" s="201" t="s">
        <v>34</v>
      </c>
      <c r="AX140" s="201" t="s">
        <v>78</v>
      </c>
      <c r="AY140" s="203" t="s">
        <v>139</v>
      </c>
    </row>
    <row r="141" spans="2:51" s="201" customFormat="1" ht="12">
      <c r="B141" s="202"/>
      <c r="D141" s="189" t="s">
        <v>148</v>
      </c>
      <c r="E141" s="203" t="s">
        <v>1</v>
      </c>
      <c r="F141" s="204" t="s">
        <v>156</v>
      </c>
      <c r="H141" s="203" t="s">
        <v>1</v>
      </c>
      <c r="I141" s="235"/>
      <c r="L141" s="202"/>
      <c r="M141" s="205"/>
      <c r="N141" s="206"/>
      <c r="O141" s="206"/>
      <c r="P141" s="206"/>
      <c r="Q141" s="206"/>
      <c r="R141" s="206"/>
      <c r="S141" s="206"/>
      <c r="T141" s="207"/>
      <c r="AT141" s="203" t="s">
        <v>148</v>
      </c>
      <c r="AU141" s="203" t="s">
        <v>87</v>
      </c>
      <c r="AV141" s="201" t="s">
        <v>85</v>
      </c>
      <c r="AW141" s="201" t="s">
        <v>34</v>
      </c>
      <c r="AX141" s="201" t="s">
        <v>78</v>
      </c>
      <c r="AY141" s="203" t="s">
        <v>139</v>
      </c>
    </row>
    <row r="142" spans="2:51" s="187" customFormat="1" ht="12">
      <c r="B142" s="188"/>
      <c r="D142" s="189" t="s">
        <v>148</v>
      </c>
      <c r="E142" s="190" t="s">
        <v>1</v>
      </c>
      <c r="F142" s="191" t="s">
        <v>969</v>
      </c>
      <c r="H142" s="192">
        <v>102.1</v>
      </c>
      <c r="I142" s="233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0" t="s">
        <v>148</v>
      </c>
      <c r="AU142" s="190" t="s">
        <v>87</v>
      </c>
      <c r="AV142" s="187" t="s">
        <v>87</v>
      </c>
      <c r="AW142" s="187" t="s">
        <v>34</v>
      </c>
      <c r="AX142" s="187" t="s">
        <v>78</v>
      </c>
      <c r="AY142" s="190" t="s">
        <v>139</v>
      </c>
    </row>
    <row r="143" spans="2:51" s="187" customFormat="1" ht="12">
      <c r="B143" s="188"/>
      <c r="D143" s="189" t="s">
        <v>148</v>
      </c>
      <c r="E143" s="190" t="s">
        <v>1</v>
      </c>
      <c r="F143" s="191" t="s">
        <v>970</v>
      </c>
      <c r="H143" s="192">
        <v>2.4</v>
      </c>
      <c r="I143" s="233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0" t="s">
        <v>148</v>
      </c>
      <c r="AU143" s="190" t="s">
        <v>87</v>
      </c>
      <c r="AV143" s="187" t="s">
        <v>87</v>
      </c>
      <c r="AW143" s="187" t="s">
        <v>34</v>
      </c>
      <c r="AX143" s="187" t="s">
        <v>78</v>
      </c>
      <c r="AY143" s="190" t="s">
        <v>139</v>
      </c>
    </row>
    <row r="144" spans="2:51" s="187" customFormat="1" ht="12">
      <c r="B144" s="188"/>
      <c r="D144" s="189" t="s">
        <v>148</v>
      </c>
      <c r="E144" s="190" t="s">
        <v>1</v>
      </c>
      <c r="F144" s="191" t="s">
        <v>971</v>
      </c>
      <c r="H144" s="192">
        <v>12.364</v>
      </c>
      <c r="I144" s="233"/>
      <c r="L144" s="188"/>
      <c r="M144" s="193"/>
      <c r="N144" s="194"/>
      <c r="O144" s="194"/>
      <c r="P144" s="194"/>
      <c r="Q144" s="194"/>
      <c r="R144" s="194"/>
      <c r="S144" s="194"/>
      <c r="T144" s="195"/>
      <c r="AT144" s="190" t="s">
        <v>148</v>
      </c>
      <c r="AU144" s="190" t="s">
        <v>87</v>
      </c>
      <c r="AV144" s="187" t="s">
        <v>87</v>
      </c>
      <c r="AW144" s="187" t="s">
        <v>34</v>
      </c>
      <c r="AX144" s="187" t="s">
        <v>78</v>
      </c>
      <c r="AY144" s="190" t="s">
        <v>139</v>
      </c>
    </row>
    <row r="145" spans="2:51" s="208" customFormat="1" ht="12">
      <c r="B145" s="209"/>
      <c r="D145" s="189" t="s">
        <v>148</v>
      </c>
      <c r="E145" s="210" t="s">
        <v>1</v>
      </c>
      <c r="F145" s="211" t="s">
        <v>159</v>
      </c>
      <c r="H145" s="212">
        <v>116.864</v>
      </c>
      <c r="I145" s="236"/>
      <c r="L145" s="209"/>
      <c r="M145" s="213"/>
      <c r="N145" s="214"/>
      <c r="O145" s="214"/>
      <c r="P145" s="214"/>
      <c r="Q145" s="214"/>
      <c r="R145" s="214"/>
      <c r="S145" s="214"/>
      <c r="T145" s="215"/>
      <c r="AT145" s="210" t="s">
        <v>148</v>
      </c>
      <c r="AU145" s="210" t="s">
        <v>87</v>
      </c>
      <c r="AV145" s="208" t="s">
        <v>146</v>
      </c>
      <c r="AW145" s="208" t="s">
        <v>34</v>
      </c>
      <c r="AX145" s="208" t="s">
        <v>85</v>
      </c>
      <c r="AY145" s="210" t="s">
        <v>139</v>
      </c>
    </row>
    <row r="146" spans="1:65" s="95" customFormat="1" ht="49.15" customHeight="1">
      <c r="A146" s="93"/>
      <c r="B146" s="92"/>
      <c r="C146" s="175" t="s">
        <v>87</v>
      </c>
      <c r="D146" s="175" t="s">
        <v>141</v>
      </c>
      <c r="E146" s="176" t="s">
        <v>972</v>
      </c>
      <c r="F146" s="177" t="s">
        <v>973</v>
      </c>
      <c r="G146" s="178" t="s">
        <v>144</v>
      </c>
      <c r="H146" s="179">
        <v>403.261</v>
      </c>
      <c r="I146" s="69"/>
      <c r="J146" s="180">
        <f>ROUND(I146*H146,2)</f>
        <v>0</v>
      </c>
      <c r="K146" s="177" t="s">
        <v>967</v>
      </c>
      <c r="L146" s="92"/>
      <c r="M146" s="181" t="s">
        <v>1</v>
      </c>
      <c r="N146" s="182" t="s">
        <v>44</v>
      </c>
      <c r="O146" s="183">
        <v>0.022</v>
      </c>
      <c r="P146" s="183">
        <f>O146*H146</f>
        <v>8.871742</v>
      </c>
      <c r="Q146" s="183">
        <v>6E-05</v>
      </c>
      <c r="R146" s="183">
        <f>Q146*H146</f>
        <v>0.02419566</v>
      </c>
      <c r="S146" s="183">
        <v>0.128</v>
      </c>
      <c r="T146" s="184">
        <f>S146*H146</f>
        <v>51.617408000000005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5" t="s">
        <v>146</v>
      </c>
      <c r="AT146" s="185" t="s">
        <v>141</v>
      </c>
      <c r="AU146" s="185" t="s">
        <v>87</v>
      </c>
      <c r="AY146" s="83" t="s">
        <v>139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3" t="s">
        <v>85</v>
      </c>
      <c r="BK146" s="186">
        <f>ROUND(I146*H146,2)</f>
        <v>0</v>
      </c>
      <c r="BL146" s="83" t="s">
        <v>146</v>
      </c>
      <c r="BM146" s="185" t="s">
        <v>974</v>
      </c>
    </row>
    <row r="147" spans="1:47" s="95" customFormat="1" ht="19.5">
      <c r="A147" s="93"/>
      <c r="B147" s="92"/>
      <c r="C147" s="93"/>
      <c r="D147" s="189" t="s">
        <v>153</v>
      </c>
      <c r="E147" s="93"/>
      <c r="F147" s="196" t="s">
        <v>620</v>
      </c>
      <c r="G147" s="93"/>
      <c r="H147" s="93"/>
      <c r="I147" s="234"/>
      <c r="J147" s="93"/>
      <c r="K147" s="93"/>
      <c r="L147" s="92"/>
      <c r="M147" s="197"/>
      <c r="N147" s="198"/>
      <c r="O147" s="199"/>
      <c r="P147" s="199"/>
      <c r="Q147" s="199"/>
      <c r="R147" s="199"/>
      <c r="S147" s="199"/>
      <c r="T147" s="200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T147" s="83" t="s">
        <v>153</v>
      </c>
      <c r="AU147" s="83" t="s">
        <v>87</v>
      </c>
    </row>
    <row r="148" spans="2:51" s="201" customFormat="1" ht="12">
      <c r="B148" s="202"/>
      <c r="D148" s="189" t="s">
        <v>148</v>
      </c>
      <c r="E148" s="203" t="s">
        <v>1</v>
      </c>
      <c r="F148" s="204" t="s">
        <v>975</v>
      </c>
      <c r="H148" s="203" t="s">
        <v>1</v>
      </c>
      <c r="I148" s="235"/>
      <c r="L148" s="202"/>
      <c r="M148" s="205"/>
      <c r="N148" s="206"/>
      <c r="O148" s="206"/>
      <c r="P148" s="206"/>
      <c r="Q148" s="206"/>
      <c r="R148" s="206"/>
      <c r="S148" s="206"/>
      <c r="T148" s="207"/>
      <c r="AT148" s="203" t="s">
        <v>148</v>
      </c>
      <c r="AU148" s="203" t="s">
        <v>87</v>
      </c>
      <c r="AV148" s="201" t="s">
        <v>85</v>
      </c>
      <c r="AW148" s="201" t="s">
        <v>34</v>
      </c>
      <c r="AX148" s="201" t="s">
        <v>78</v>
      </c>
      <c r="AY148" s="203" t="s">
        <v>139</v>
      </c>
    </row>
    <row r="149" spans="2:51" s="201" customFormat="1" ht="12">
      <c r="B149" s="202"/>
      <c r="D149" s="189" t="s">
        <v>148</v>
      </c>
      <c r="E149" s="203" t="s">
        <v>1</v>
      </c>
      <c r="F149" s="204" t="s">
        <v>976</v>
      </c>
      <c r="H149" s="203" t="s">
        <v>1</v>
      </c>
      <c r="I149" s="235"/>
      <c r="L149" s="202"/>
      <c r="M149" s="205"/>
      <c r="N149" s="206"/>
      <c r="O149" s="206"/>
      <c r="P149" s="206"/>
      <c r="Q149" s="206"/>
      <c r="R149" s="206"/>
      <c r="S149" s="206"/>
      <c r="T149" s="207"/>
      <c r="AT149" s="203" t="s">
        <v>148</v>
      </c>
      <c r="AU149" s="203" t="s">
        <v>87</v>
      </c>
      <c r="AV149" s="201" t="s">
        <v>85</v>
      </c>
      <c r="AW149" s="201" t="s">
        <v>34</v>
      </c>
      <c r="AX149" s="201" t="s">
        <v>78</v>
      </c>
      <c r="AY149" s="203" t="s">
        <v>139</v>
      </c>
    </row>
    <row r="150" spans="2:51" s="187" customFormat="1" ht="12">
      <c r="B150" s="188"/>
      <c r="D150" s="189" t="s">
        <v>148</v>
      </c>
      <c r="E150" s="190" t="s">
        <v>1</v>
      </c>
      <c r="F150" s="191" t="s">
        <v>977</v>
      </c>
      <c r="H150" s="192">
        <v>520.125</v>
      </c>
      <c r="I150" s="233"/>
      <c r="L150" s="188"/>
      <c r="M150" s="193"/>
      <c r="N150" s="194"/>
      <c r="O150" s="194"/>
      <c r="P150" s="194"/>
      <c r="Q150" s="194"/>
      <c r="R150" s="194"/>
      <c r="S150" s="194"/>
      <c r="T150" s="195"/>
      <c r="AT150" s="190" t="s">
        <v>148</v>
      </c>
      <c r="AU150" s="190" t="s">
        <v>87</v>
      </c>
      <c r="AV150" s="187" t="s">
        <v>87</v>
      </c>
      <c r="AW150" s="187" t="s">
        <v>34</v>
      </c>
      <c r="AX150" s="187" t="s">
        <v>78</v>
      </c>
      <c r="AY150" s="190" t="s">
        <v>139</v>
      </c>
    </row>
    <row r="151" spans="2:51" s="187" customFormat="1" ht="12">
      <c r="B151" s="188"/>
      <c r="D151" s="189" t="s">
        <v>148</v>
      </c>
      <c r="E151" s="190" t="s">
        <v>1</v>
      </c>
      <c r="F151" s="191" t="s">
        <v>978</v>
      </c>
      <c r="H151" s="192">
        <v>-116.864</v>
      </c>
      <c r="I151" s="233"/>
      <c r="L151" s="188"/>
      <c r="M151" s="193"/>
      <c r="N151" s="194"/>
      <c r="O151" s="194"/>
      <c r="P151" s="194"/>
      <c r="Q151" s="194"/>
      <c r="R151" s="194"/>
      <c r="S151" s="194"/>
      <c r="T151" s="195"/>
      <c r="AT151" s="190" t="s">
        <v>148</v>
      </c>
      <c r="AU151" s="190" t="s">
        <v>87</v>
      </c>
      <c r="AV151" s="187" t="s">
        <v>87</v>
      </c>
      <c r="AW151" s="187" t="s">
        <v>34</v>
      </c>
      <c r="AX151" s="187" t="s">
        <v>78</v>
      </c>
      <c r="AY151" s="190" t="s">
        <v>139</v>
      </c>
    </row>
    <row r="152" spans="2:51" s="208" customFormat="1" ht="12">
      <c r="B152" s="209"/>
      <c r="D152" s="189" t="s">
        <v>148</v>
      </c>
      <c r="E152" s="210" t="s">
        <v>1</v>
      </c>
      <c r="F152" s="211" t="s">
        <v>159</v>
      </c>
      <c r="H152" s="212">
        <v>403.261</v>
      </c>
      <c r="I152" s="236"/>
      <c r="L152" s="209"/>
      <c r="M152" s="213"/>
      <c r="N152" s="214"/>
      <c r="O152" s="214"/>
      <c r="P152" s="214"/>
      <c r="Q152" s="214"/>
      <c r="R152" s="214"/>
      <c r="S152" s="214"/>
      <c r="T152" s="215"/>
      <c r="AT152" s="210" t="s">
        <v>148</v>
      </c>
      <c r="AU152" s="210" t="s">
        <v>87</v>
      </c>
      <c r="AV152" s="208" t="s">
        <v>146</v>
      </c>
      <c r="AW152" s="208" t="s">
        <v>34</v>
      </c>
      <c r="AX152" s="208" t="s">
        <v>85</v>
      </c>
      <c r="AY152" s="210" t="s">
        <v>139</v>
      </c>
    </row>
    <row r="153" spans="1:65" s="95" customFormat="1" ht="49.15" customHeight="1">
      <c r="A153" s="93"/>
      <c r="B153" s="92"/>
      <c r="C153" s="175" t="s">
        <v>160</v>
      </c>
      <c r="D153" s="175" t="s">
        <v>141</v>
      </c>
      <c r="E153" s="176" t="s">
        <v>979</v>
      </c>
      <c r="F153" s="177" t="s">
        <v>980</v>
      </c>
      <c r="G153" s="178" t="s">
        <v>144</v>
      </c>
      <c r="H153" s="179">
        <v>116.864</v>
      </c>
      <c r="I153" s="69"/>
      <c r="J153" s="180">
        <f>ROUND(I153*H153,2)</f>
        <v>0</v>
      </c>
      <c r="K153" s="177" t="s">
        <v>967</v>
      </c>
      <c r="L153" s="92"/>
      <c r="M153" s="181" t="s">
        <v>1</v>
      </c>
      <c r="N153" s="182" t="s">
        <v>44</v>
      </c>
      <c r="O153" s="183">
        <v>0.028</v>
      </c>
      <c r="P153" s="183">
        <f>O153*H153</f>
        <v>3.272192</v>
      </c>
      <c r="Q153" s="183">
        <v>0.00012</v>
      </c>
      <c r="R153" s="183">
        <f>Q153*H153</f>
        <v>0.01402368</v>
      </c>
      <c r="S153" s="183">
        <v>0.256</v>
      </c>
      <c r="T153" s="184">
        <f>S153*H153</f>
        <v>29.917184000000002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5" t="s">
        <v>146</v>
      </c>
      <c r="AT153" s="185" t="s">
        <v>141</v>
      </c>
      <c r="AU153" s="185" t="s">
        <v>87</v>
      </c>
      <c r="AY153" s="83" t="s">
        <v>139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3" t="s">
        <v>85</v>
      </c>
      <c r="BK153" s="186">
        <f>ROUND(I153*H153,2)</f>
        <v>0</v>
      </c>
      <c r="BL153" s="83" t="s">
        <v>146</v>
      </c>
      <c r="BM153" s="185" t="s">
        <v>981</v>
      </c>
    </row>
    <row r="154" spans="1:47" s="95" customFormat="1" ht="19.5">
      <c r="A154" s="93"/>
      <c r="B154" s="92"/>
      <c r="C154" s="93"/>
      <c r="D154" s="189" t="s">
        <v>153</v>
      </c>
      <c r="E154" s="93"/>
      <c r="F154" s="196" t="s">
        <v>982</v>
      </c>
      <c r="G154" s="93"/>
      <c r="H154" s="93"/>
      <c r="I154" s="234"/>
      <c r="J154" s="93"/>
      <c r="K154" s="93"/>
      <c r="L154" s="92"/>
      <c r="M154" s="197"/>
      <c r="N154" s="198"/>
      <c r="O154" s="199"/>
      <c r="P154" s="199"/>
      <c r="Q154" s="199"/>
      <c r="R154" s="199"/>
      <c r="S154" s="199"/>
      <c r="T154" s="200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T154" s="83" t="s">
        <v>153</v>
      </c>
      <c r="AU154" s="83" t="s">
        <v>87</v>
      </c>
    </row>
    <row r="155" spans="2:51" s="201" customFormat="1" ht="12">
      <c r="B155" s="202"/>
      <c r="D155" s="189" t="s">
        <v>148</v>
      </c>
      <c r="E155" s="203" t="s">
        <v>1</v>
      </c>
      <c r="F155" s="204" t="s">
        <v>307</v>
      </c>
      <c r="H155" s="203" t="s">
        <v>1</v>
      </c>
      <c r="I155" s="235"/>
      <c r="L155" s="202"/>
      <c r="M155" s="205"/>
      <c r="N155" s="206"/>
      <c r="O155" s="206"/>
      <c r="P155" s="206"/>
      <c r="Q155" s="206"/>
      <c r="R155" s="206"/>
      <c r="S155" s="206"/>
      <c r="T155" s="207"/>
      <c r="AT155" s="203" t="s">
        <v>148</v>
      </c>
      <c r="AU155" s="203" t="s">
        <v>87</v>
      </c>
      <c r="AV155" s="201" t="s">
        <v>85</v>
      </c>
      <c r="AW155" s="201" t="s">
        <v>34</v>
      </c>
      <c r="AX155" s="201" t="s">
        <v>78</v>
      </c>
      <c r="AY155" s="203" t="s">
        <v>139</v>
      </c>
    </row>
    <row r="156" spans="2:51" s="187" customFormat="1" ht="12">
      <c r="B156" s="188"/>
      <c r="D156" s="189" t="s">
        <v>148</v>
      </c>
      <c r="E156" s="190" t="s">
        <v>1</v>
      </c>
      <c r="F156" s="191" t="s">
        <v>983</v>
      </c>
      <c r="H156" s="192">
        <v>102.1</v>
      </c>
      <c r="I156" s="233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0" t="s">
        <v>148</v>
      </c>
      <c r="AU156" s="190" t="s">
        <v>87</v>
      </c>
      <c r="AV156" s="187" t="s">
        <v>87</v>
      </c>
      <c r="AW156" s="187" t="s">
        <v>34</v>
      </c>
      <c r="AX156" s="187" t="s">
        <v>78</v>
      </c>
      <c r="AY156" s="190" t="s">
        <v>139</v>
      </c>
    </row>
    <row r="157" spans="2:51" s="187" customFormat="1" ht="12">
      <c r="B157" s="188"/>
      <c r="D157" s="189" t="s">
        <v>148</v>
      </c>
      <c r="E157" s="190" t="s">
        <v>1</v>
      </c>
      <c r="F157" s="191" t="s">
        <v>984</v>
      </c>
      <c r="H157" s="192">
        <v>2.4</v>
      </c>
      <c r="I157" s="233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148</v>
      </c>
      <c r="AU157" s="190" t="s">
        <v>87</v>
      </c>
      <c r="AV157" s="187" t="s">
        <v>87</v>
      </c>
      <c r="AW157" s="187" t="s">
        <v>34</v>
      </c>
      <c r="AX157" s="187" t="s">
        <v>78</v>
      </c>
      <c r="AY157" s="190" t="s">
        <v>139</v>
      </c>
    </row>
    <row r="158" spans="2:51" s="187" customFormat="1" ht="12">
      <c r="B158" s="188"/>
      <c r="D158" s="189" t="s">
        <v>148</v>
      </c>
      <c r="E158" s="190" t="s">
        <v>1</v>
      </c>
      <c r="F158" s="191" t="s">
        <v>971</v>
      </c>
      <c r="H158" s="192">
        <v>12.364</v>
      </c>
      <c r="I158" s="233"/>
      <c r="L158" s="188"/>
      <c r="M158" s="193"/>
      <c r="N158" s="194"/>
      <c r="O158" s="194"/>
      <c r="P158" s="194"/>
      <c r="Q158" s="194"/>
      <c r="R158" s="194"/>
      <c r="S158" s="194"/>
      <c r="T158" s="195"/>
      <c r="AT158" s="190" t="s">
        <v>148</v>
      </c>
      <c r="AU158" s="190" t="s">
        <v>87</v>
      </c>
      <c r="AV158" s="187" t="s">
        <v>87</v>
      </c>
      <c r="AW158" s="187" t="s">
        <v>34</v>
      </c>
      <c r="AX158" s="187" t="s">
        <v>78</v>
      </c>
      <c r="AY158" s="190" t="s">
        <v>139</v>
      </c>
    </row>
    <row r="159" spans="2:51" s="208" customFormat="1" ht="12">
      <c r="B159" s="209"/>
      <c r="D159" s="189" t="s">
        <v>148</v>
      </c>
      <c r="E159" s="210" t="s">
        <v>1</v>
      </c>
      <c r="F159" s="211" t="s">
        <v>159</v>
      </c>
      <c r="H159" s="212">
        <v>116.864</v>
      </c>
      <c r="I159" s="236"/>
      <c r="L159" s="209"/>
      <c r="M159" s="213"/>
      <c r="N159" s="214"/>
      <c r="O159" s="214"/>
      <c r="P159" s="214"/>
      <c r="Q159" s="214"/>
      <c r="R159" s="214"/>
      <c r="S159" s="214"/>
      <c r="T159" s="215"/>
      <c r="AT159" s="210" t="s">
        <v>148</v>
      </c>
      <c r="AU159" s="210" t="s">
        <v>87</v>
      </c>
      <c r="AV159" s="208" t="s">
        <v>146</v>
      </c>
      <c r="AW159" s="208" t="s">
        <v>34</v>
      </c>
      <c r="AX159" s="208" t="s">
        <v>85</v>
      </c>
      <c r="AY159" s="210" t="s">
        <v>139</v>
      </c>
    </row>
    <row r="160" spans="1:65" s="95" customFormat="1" ht="24.2" customHeight="1">
      <c r="A160" s="93"/>
      <c r="B160" s="92"/>
      <c r="C160" s="175" t="s">
        <v>146</v>
      </c>
      <c r="D160" s="175" t="s">
        <v>141</v>
      </c>
      <c r="E160" s="176" t="s">
        <v>175</v>
      </c>
      <c r="F160" s="177" t="s">
        <v>176</v>
      </c>
      <c r="G160" s="178" t="s">
        <v>177</v>
      </c>
      <c r="H160" s="179">
        <v>40</v>
      </c>
      <c r="I160" s="69"/>
      <c r="J160" s="180">
        <f>ROUND(I160*H160,2)</f>
        <v>0</v>
      </c>
      <c r="K160" s="177" t="s">
        <v>967</v>
      </c>
      <c r="L160" s="92"/>
      <c r="M160" s="181" t="s">
        <v>1</v>
      </c>
      <c r="N160" s="182" t="s">
        <v>44</v>
      </c>
      <c r="O160" s="183">
        <v>0.184</v>
      </c>
      <c r="P160" s="183">
        <f>O160*H160</f>
        <v>7.359999999999999</v>
      </c>
      <c r="Q160" s="183">
        <v>3E-05</v>
      </c>
      <c r="R160" s="183">
        <f>Q160*H160</f>
        <v>0.0012000000000000001</v>
      </c>
      <c r="S160" s="183">
        <v>0</v>
      </c>
      <c r="T160" s="184">
        <f>S160*H160</f>
        <v>0</v>
      </c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R160" s="185" t="s">
        <v>146</v>
      </c>
      <c r="AT160" s="185" t="s">
        <v>141</v>
      </c>
      <c r="AU160" s="185" t="s">
        <v>87</v>
      </c>
      <c r="AY160" s="83" t="s">
        <v>139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3" t="s">
        <v>85</v>
      </c>
      <c r="BK160" s="186">
        <f>ROUND(I160*H160,2)</f>
        <v>0</v>
      </c>
      <c r="BL160" s="83" t="s">
        <v>146</v>
      </c>
      <c r="BM160" s="185" t="s">
        <v>985</v>
      </c>
    </row>
    <row r="161" spans="1:47" s="95" customFormat="1" ht="19.5">
      <c r="A161" s="93"/>
      <c r="B161" s="92"/>
      <c r="C161" s="93"/>
      <c r="D161" s="189" t="s">
        <v>153</v>
      </c>
      <c r="E161" s="93"/>
      <c r="F161" s="196" t="s">
        <v>986</v>
      </c>
      <c r="G161" s="93"/>
      <c r="H161" s="93"/>
      <c r="I161" s="234"/>
      <c r="J161" s="93"/>
      <c r="K161" s="93"/>
      <c r="L161" s="92"/>
      <c r="M161" s="197"/>
      <c r="N161" s="198"/>
      <c r="O161" s="199"/>
      <c r="P161" s="199"/>
      <c r="Q161" s="199"/>
      <c r="R161" s="199"/>
      <c r="S161" s="199"/>
      <c r="T161" s="200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T161" s="83" t="s">
        <v>153</v>
      </c>
      <c r="AU161" s="83" t="s">
        <v>87</v>
      </c>
    </row>
    <row r="162" spans="2:51" s="187" customFormat="1" ht="12">
      <c r="B162" s="188"/>
      <c r="D162" s="189" t="s">
        <v>148</v>
      </c>
      <c r="E162" s="190" t="s">
        <v>1</v>
      </c>
      <c r="F162" s="191" t="s">
        <v>987</v>
      </c>
      <c r="H162" s="192">
        <v>40</v>
      </c>
      <c r="I162" s="233"/>
      <c r="L162" s="188"/>
      <c r="M162" s="193"/>
      <c r="N162" s="194"/>
      <c r="O162" s="194"/>
      <c r="P162" s="194"/>
      <c r="Q162" s="194"/>
      <c r="R162" s="194"/>
      <c r="S162" s="194"/>
      <c r="T162" s="195"/>
      <c r="AT162" s="190" t="s">
        <v>148</v>
      </c>
      <c r="AU162" s="190" t="s">
        <v>87</v>
      </c>
      <c r="AV162" s="187" t="s">
        <v>87</v>
      </c>
      <c r="AW162" s="187" t="s">
        <v>34</v>
      </c>
      <c r="AX162" s="187" t="s">
        <v>85</v>
      </c>
      <c r="AY162" s="190" t="s">
        <v>139</v>
      </c>
    </row>
    <row r="163" spans="1:65" s="95" customFormat="1" ht="37.9" customHeight="1">
      <c r="A163" s="93"/>
      <c r="B163" s="92"/>
      <c r="C163" s="175" t="s">
        <v>168</v>
      </c>
      <c r="D163" s="175" t="s">
        <v>141</v>
      </c>
      <c r="E163" s="176" t="s">
        <v>988</v>
      </c>
      <c r="F163" s="177" t="s">
        <v>989</v>
      </c>
      <c r="G163" s="178" t="s">
        <v>177</v>
      </c>
      <c r="H163" s="179">
        <v>392.064</v>
      </c>
      <c r="I163" s="69"/>
      <c r="J163" s="180">
        <f>ROUND(I163*H163,2)</f>
        <v>0</v>
      </c>
      <c r="K163" s="177" t="s">
        <v>1</v>
      </c>
      <c r="L163" s="92"/>
      <c r="M163" s="181" t="s">
        <v>1</v>
      </c>
      <c r="N163" s="182" t="s">
        <v>44</v>
      </c>
      <c r="O163" s="183">
        <v>0.4</v>
      </c>
      <c r="P163" s="183">
        <f>O163*H163</f>
        <v>156.8256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R163" s="185" t="s">
        <v>146</v>
      </c>
      <c r="AT163" s="185" t="s">
        <v>141</v>
      </c>
      <c r="AU163" s="185" t="s">
        <v>87</v>
      </c>
      <c r="AY163" s="83" t="s">
        <v>139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3" t="s">
        <v>85</v>
      </c>
      <c r="BK163" s="186">
        <f>ROUND(I163*H163,2)</f>
        <v>0</v>
      </c>
      <c r="BL163" s="83" t="s">
        <v>146</v>
      </c>
      <c r="BM163" s="185" t="s">
        <v>990</v>
      </c>
    </row>
    <row r="164" spans="1:47" s="95" customFormat="1" ht="29.25">
      <c r="A164" s="93"/>
      <c r="B164" s="92"/>
      <c r="C164" s="93"/>
      <c r="D164" s="189" t="s">
        <v>153</v>
      </c>
      <c r="E164" s="93"/>
      <c r="F164" s="196" t="s">
        <v>991</v>
      </c>
      <c r="G164" s="93"/>
      <c r="H164" s="93"/>
      <c r="I164" s="234"/>
      <c r="J164" s="93"/>
      <c r="K164" s="93"/>
      <c r="L164" s="92"/>
      <c r="M164" s="197"/>
      <c r="N164" s="198"/>
      <c r="O164" s="199"/>
      <c r="P164" s="199"/>
      <c r="Q164" s="199"/>
      <c r="R164" s="199"/>
      <c r="S164" s="199"/>
      <c r="T164" s="200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T164" s="83" t="s">
        <v>153</v>
      </c>
      <c r="AU164" s="83" t="s">
        <v>87</v>
      </c>
    </row>
    <row r="165" spans="2:51" s="201" customFormat="1" ht="12">
      <c r="B165" s="202"/>
      <c r="D165" s="189" t="s">
        <v>148</v>
      </c>
      <c r="E165" s="203" t="s">
        <v>1</v>
      </c>
      <c r="F165" s="204" t="s">
        <v>992</v>
      </c>
      <c r="H165" s="203" t="s">
        <v>1</v>
      </c>
      <c r="I165" s="235"/>
      <c r="L165" s="202"/>
      <c r="M165" s="205"/>
      <c r="N165" s="206"/>
      <c r="O165" s="206"/>
      <c r="P165" s="206"/>
      <c r="Q165" s="206"/>
      <c r="R165" s="206"/>
      <c r="S165" s="206"/>
      <c r="T165" s="207"/>
      <c r="AT165" s="203" t="s">
        <v>148</v>
      </c>
      <c r="AU165" s="203" t="s">
        <v>87</v>
      </c>
      <c r="AV165" s="201" t="s">
        <v>85</v>
      </c>
      <c r="AW165" s="201" t="s">
        <v>34</v>
      </c>
      <c r="AX165" s="201" t="s">
        <v>78</v>
      </c>
      <c r="AY165" s="203" t="s">
        <v>139</v>
      </c>
    </row>
    <row r="166" spans="2:51" s="201" customFormat="1" ht="12">
      <c r="B166" s="202"/>
      <c r="D166" s="189" t="s">
        <v>148</v>
      </c>
      <c r="E166" s="203" t="s">
        <v>1</v>
      </c>
      <c r="F166" s="204" t="s">
        <v>993</v>
      </c>
      <c r="H166" s="203" t="s">
        <v>1</v>
      </c>
      <c r="I166" s="235"/>
      <c r="L166" s="202"/>
      <c r="M166" s="205"/>
      <c r="N166" s="206"/>
      <c r="O166" s="206"/>
      <c r="P166" s="206"/>
      <c r="Q166" s="206"/>
      <c r="R166" s="206"/>
      <c r="S166" s="206"/>
      <c r="T166" s="207"/>
      <c r="AT166" s="203" t="s">
        <v>148</v>
      </c>
      <c r="AU166" s="203" t="s">
        <v>87</v>
      </c>
      <c r="AV166" s="201" t="s">
        <v>85</v>
      </c>
      <c r="AW166" s="201" t="s">
        <v>34</v>
      </c>
      <c r="AX166" s="201" t="s">
        <v>78</v>
      </c>
      <c r="AY166" s="203" t="s">
        <v>139</v>
      </c>
    </row>
    <row r="167" spans="2:51" s="187" customFormat="1" ht="12">
      <c r="B167" s="188"/>
      <c r="D167" s="189" t="s">
        <v>148</v>
      </c>
      <c r="E167" s="190" t="s">
        <v>1</v>
      </c>
      <c r="F167" s="191" t="s">
        <v>994</v>
      </c>
      <c r="H167" s="192">
        <v>392.064</v>
      </c>
      <c r="I167" s="233"/>
      <c r="L167" s="188"/>
      <c r="M167" s="193"/>
      <c r="N167" s="194"/>
      <c r="O167" s="194"/>
      <c r="P167" s="194"/>
      <c r="Q167" s="194"/>
      <c r="R167" s="194"/>
      <c r="S167" s="194"/>
      <c r="T167" s="195"/>
      <c r="AT167" s="190" t="s">
        <v>148</v>
      </c>
      <c r="AU167" s="190" t="s">
        <v>87</v>
      </c>
      <c r="AV167" s="187" t="s">
        <v>87</v>
      </c>
      <c r="AW167" s="187" t="s">
        <v>34</v>
      </c>
      <c r="AX167" s="187" t="s">
        <v>85</v>
      </c>
      <c r="AY167" s="190" t="s">
        <v>139</v>
      </c>
    </row>
    <row r="168" spans="1:65" s="95" customFormat="1" ht="62.65" customHeight="1">
      <c r="A168" s="93"/>
      <c r="B168" s="92"/>
      <c r="C168" s="175" t="s">
        <v>174</v>
      </c>
      <c r="D168" s="175" t="s">
        <v>141</v>
      </c>
      <c r="E168" s="176" t="s">
        <v>182</v>
      </c>
      <c r="F168" s="177" t="s">
        <v>995</v>
      </c>
      <c r="G168" s="178" t="s">
        <v>171</v>
      </c>
      <c r="H168" s="179">
        <v>11.3</v>
      </c>
      <c r="I168" s="69"/>
      <c r="J168" s="180">
        <f>ROUND(I168*H168,2)</f>
        <v>0</v>
      </c>
      <c r="K168" s="177" t="s">
        <v>967</v>
      </c>
      <c r="L168" s="92"/>
      <c r="M168" s="181" t="s">
        <v>1</v>
      </c>
      <c r="N168" s="182" t="s">
        <v>44</v>
      </c>
      <c r="O168" s="183">
        <v>0.703</v>
      </c>
      <c r="P168" s="183">
        <f>O168*H168</f>
        <v>7.9439</v>
      </c>
      <c r="Q168" s="183">
        <v>0.00868</v>
      </c>
      <c r="R168" s="183">
        <f>Q168*H168</f>
        <v>0.098084</v>
      </c>
      <c r="S168" s="183">
        <v>0</v>
      </c>
      <c r="T168" s="184">
        <f>S168*H168</f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R168" s="185" t="s">
        <v>146</v>
      </c>
      <c r="AT168" s="185" t="s">
        <v>141</v>
      </c>
      <c r="AU168" s="185" t="s">
        <v>87</v>
      </c>
      <c r="AY168" s="83" t="s">
        <v>139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83" t="s">
        <v>85</v>
      </c>
      <c r="BK168" s="186">
        <f>ROUND(I168*H168,2)</f>
        <v>0</v>
      </c>
      <c r="BL168" s="83" t="s">
        <v>146</v>
      </c>
      <c r="BM168" s="185" t="s">
        <v>996</v>
      </c>
    </row>
    <row r="169" spans="2:51" s="201" customFormat="1" ht="12">
      <c r="B169" s="202"/>
      <c r="D169" s="189" t="s">
        <v>148</v>
      </c>
      <c r="E169" s="203" t="s">
        <v>1</v>
      </c>
      <c r="F169" s="204" t="s">
        <v>997</v>
      </c>
      <c r="H169" s="203" t="s">
        <v>1</v>
      </c>
      <c r="I169" s="235"/>
      <c r="L169" s="202"/>
      <c r="M169" s="205"/>
      <c r="N169" s="206"/>
      <c r="O169" s="206"/>
      <c r="P169" s="206"/>
      <c r="Q169" s="206"/>
      <c r="R169" s="206"/>
      <c r="S169" s="206"/>
      <c r="T169" s="207"/>
      <c r="AT169" s="203" t="s">
        <v>148</v>
      </c>
      <c r="AU169" s="203" t="s">
        <v>87</v>
      </c>
      <c r="AV169" s="201" t="s">
        <v>85</v>
      </c>
      <c r="AW169" s="201" t="s">
        <v>34</v>
      </c>
      <c r="AX169" s="201" t="s">
        <v>78</v>
      </c>
      <c r="AY169" s="203" t="s">
        <v>139</v>
      </c>
    </row>
    <row r="170" spans="2:51" s="187" customFormat="1" ht="12">
      <c r="B170" s="188"/>
      <c r="D170" s="189" t="s">
        <v>148</v>
      </c>
      <c r="E170" s="190" t="s">
        <v>1</v>
      </c>
      <c r="F170" s="191" t="s">
        <v>998</v>
      </c>
      <c r="H170" s="192">
        <v>2.5</v>
      </c>
      <c r="I170" s="233"/>
      <c r="L170" s="188"/>
      <c r="M170" s="193"/>
      <c r="N170" s="194"/>
      <c r="O170" s="194"/>
      <c r="P170" s="194"/>
      <c r="Q170" s="194"/>
      <c r="R170" s="194"/>
      <c r="S170" s="194"/>
      <c r="T170" s="195"/>
      <c r="AT170" s="190" t="s">
        <v>148</v>
      </c>
      <c r="AU170" s="190" t="s">
        <v>87</v>
      </c>
      <c r="AV170" s="187" t="s">
        <v>87</v>
      </c>
      <c r="AW170" s="187" t="s">
        <v>34</v>
      </c>
      <c r="AX170" s="187" t="s">
        <v>78</v>
      </c>
      <c r="AY170" s="190" t="s">
        <v>139</v>
      </c>
    </row>
    <row r="171" spans="2:51" s="187" customFormat="1" ht="12">
      <c r="B171" s="188"/>
      <c r="D171" s="189" t="s">
        <v>148</v>
      </c>
      <c r="E171" s="190" t="s">
        <v>1</v>
      </c>
      <c r="F171" s="191" t="s">
        <v>999</v>
      </c>
      <c r="H171" s="192">
        <v>8.8</v>
      </c>
      <c r="I171" s="233"/>
      <c r="L171" s="188"/>
      <c r="M171" s="193"/>
      <c r="N171" s="194"/>
      <c r="O171" s="194"/>
      <c r="P171" s="194"/>
      <c r="Q171" s="194"/>
      <c r="R171" s="194"/>
      <c r="S171" s="194"/>
      <c r="T171" s="195"/>
      <c r="AT171" s="190" t="s">
        <v>148</v>
      </c>
      <c r="AU171" s="190" t="s">
        <v>87</v>
      </c>
      <c r="AV171" s="187" t="s">
        <v>87</v>
      </c>
      <c r="AW171" s="187" t="s">
        <v>34</v>
      </c>
      <c r="AX171" s="187" t="s">
        <v>78</v>
      </c>
      <c r="AY171" s="190" t="s">
        <v>139</v>
      </c>
    </row>
    <row r="172" spans="2:51" s="208" customFormat="1" ht="12">
      <c r="B172" s="209"/>
      <c r="D172" s="189" t="s">
        <v>148</v>
      </c>
      <c r="E172" s="210" t="s">
        <v>1</v>
      </c>
      <c r="F172" s="211" t="s">
        <v>159</v>
      </c>
      <c r="H172" s="212">
        <v>11.3</v>
      </c>
      <c r="I172" s="236"/>
      <c r="L172" s="209"/>
      <c r="M172" s="213"/>
      <c r="N172" s="214"/>
      <c r="O172" s="214"/>
      <c r="P172" s="214"/>
      <c r="Q172" s="214"/>
      <c r="R172" s="214"/>
      <c r="S172" s="214"/>
      <c r="T172" s="215"/>
      <c r="AT172" s="210" t="s">
        <v>148</v>
      </c>
      <c r="AU172" s="210" t="s">
        <v>87</v>
      </c>
      <c r="AV172" s="208" t="s">
        <v>146</v>
      </c>
      <c r="AW172" s="208" t="s">
        <v>34</v>
      </c>
      <c r="AX172" s="208" t="s">
        <v>85</v>
      </c>
      <c r="AY172" s="210" t="s">
        <v>139</v>
      </c>
    </row>
    <row r="173" spans="1:65" s="95" customFormat="1" ht="90" customHeight="1">
      <c r="A173" s="93"/>
      <c r="B173" s="92"/>
      <c r="C173" s="175" t="s">
        <v>181</v>
      </c>
      <c r="D173" s="175" t="s">
        <v>141</v>
      </c>
      <c r="E173" s="176" t="s">
        <v>1000</v>
      </c>
      <c r="F173" s="177" t="s">
        <v>1001</v>
      </c>
      <c r="G173" s="178" t="s">
        <v>171</v>
      </c>
      <c r="H173" s="179">
        <v>2.5</v>
      </c>
      <c r="I173" s="69"/>
      <c r="J173" s="180">
        <f>ROUND(I173*H173,2)</f>
        <v>0</v>
      </c>
      <c r="K173" s="177" t="s">
        <v>967</v>
      </c>
      <c r="L173" s="92"/>
      <c r="M173" s="181" t="s">
        <v>1</v>
      </c>
      <c r="N173" s="182" t="s">
        <v>44</v>
      </c>
      <c r="O173" s="183">
        <v>0.581</v>
      </c>
      <c r="P173" s="183">
        <f>O173*H173</f>
        <v>1.4525</v>
      </c>
      <c r="Q173" s="183">
        <v>0.0369</v>
      </c>
      <c r="R173" s="183">
        <f>Q173*H173</f>
        <v>0.09225</v>
      </c>
      <c r="S173" s="183">
        <v>0</v>
      </c>
      <c r="T173" s="184">
        <f>S173*H173</f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5" t="s">
        <v>146</v>
      </c>
      <c r="AT173" s="185" t="s">
        <v>141</v>
      </c>
      <c r="AU173" s="185" t="s">
        <v>87</v>
      </c>
      <c r="AY173" s="83" t="s">
        <v>139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3" t="s">
        <v>85</v>
      </c>
      <c r="BK173" s="186">
        <f>ROUND(I173*H173,2)</f>
        <v>0</v>
      </c>
      <c r="BL173" s="83" t="s">
        <v>146</v>
      </c>
      <c r="BM173" s="185" t="s">
        <v>1002</v>
      </c>
    </row>
    <row r="174" spans="2:51" s="187" customFormat="1" ht="12">
      <c r="B174" s="188"/>
      <c r="D174" s="189" t="s">
        <v>148</v>
      </c>
      <c r="E174" s="190" t="s">
        <v>1</v>
      </c>
      <c r="F174" s="191" t="s">
        <v>1003</v>
      </c>
      <c r="H174" s="192">
        <v>2.5</v>
      </c>
      <c r="I174" s="233"/>
      <c r="L174" s="188"/>
      <c r="M174" s="193"/>
      <c r="N174" s="194"/>
      <c r="O174" s="194"/>
      <c r="P174" s="194"/>
      <c r="Q174" s="194"/>
      <c r="R174" s="194"/>
      <c r="S174" s="194"/>
      <c r="T174" s="195"/>
      <c r="AT174" s="190" t="s">
        <v>148</v>
      </c>
      <c r="AU174" s="190" t="s">
        <v>87</v>
      </c>
      <c r="AV174" s="187" t="s">
        <v>87</v>
      </c>
      <c r="AW174" s="187" t="s">
        <v>34</v>
      </c>
      <c r="AX174" s="187" t="s">
        <v>85</v>
      </c>
      <c r="AY174" s="190" t="s">
        <v>139</v>
      </c>
    </row>
    <row r="175" spans="1:65" s="95" customFormat="1" ht="62.65" customHeight="1">
      <c r="A175" s="93"/>
      <c r="B175" s="92"/>
      <c r="C175" s="175" t="s">
        <v>187</v>
      </c>
      <c r="D175" s="175" t="s">
        <v>141</v>
      </c>
      <c r="E175" s="176" t="s">
        <v>188</v>
      </c>
      <c r="F175" s="177" t="s">
        <v>995</v>
      </c>
      <c r="G175" s="178" t="s">
        <v>171</v>
      </c>
      <c r="H175" s="179">
        <v>8.95</v>
      </c>
      <c r="I175" s="69"/>
      <c r="J175" s="180">
        <f>ROUND(I175*H175,2)</f>
        <v>0</v>
      </c>
      <c r="K175" s="177" t="s">
        <v>967</v>
      </c>
      <c r="L175" s="92"/>
      <c r="M175" s="181" t="s">
        <v>1</v>
      </c>
      <c r="N175" s="182" t="s">
        <v>44</v>
      </c>
      <c r="O175" s="183">
        <v>0.547</v>
      </c>
      <c r="P175" s="183">
        <f>O175*H175</f>
        <v>4.89565</v>
      </c>
      <c r="Q175" s="183">
        <v>0.0369</v>
      </c>
      <c r="R175" s="183">
        <f>Q175*H175</f>
        <v>0.330255</v>
      </c>
      <c r="S175" s="183">
        <v>0</v>
      </c>
      <c r="T175" s="184">
        <f>S175*H175</f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R175" s="185" t="s">
        <v>146</v>
      </c>
      <c r="AT175" s="185" t="s">
        <v>141</v>
      </c>
      <c r="AU175" s="185" t="s">
        <v>87</v>
      </c>
      <c r="AY175" s="83" t="s">
        <v>139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83" t="s">
        <v>85</v>
      </c>
      <c r="BK175" s="186">
        <f>ROUND(I175*H175,2)</f>
        <v>0</v>
      </c>
      <c r="BL175" s="83" t="s">
        <v>146</v>
      </c>
      <c r="BM175" s="185" t="s">
        <v>1004</v>
      </c>
    </row>
    <row r="176" spans="2:51" s="201" customFormat="1" ht="12">
      <c r="B176" s="202"/>
      <c r="D176" s="189" t="s">
        <v>148</v>
      </c>
      <c r="E176" s="203" t="s">
        <v>1</v>
      </c>
      <c r="F176" s="204" t="s">
        <v>997</v>
      </c>
      <c r="H176" s="203" t="s">
        <v>1</v>
      </c>
      <c r="I176" s="235"/>
      <c r="L176" s="202"/>
      <c r="M176" s="205"/>
      <c r="N176" s="206"/>
      <c r="O176" s="206"/>
      <c r="P176" s="206"/>
      <c r="Q176" s="206"/>
      <c r="R176" s="206"/>
      <c r="S176" s="206"/>
      <c r="T176" s="207"/>
      <c r="AT176" s="203" t="s">
        <v>148</v>
      </c>
      <c r="AU176" s="203" t="s">
        <v>87</v>
      </c>
      <c r="AV176" s="201" t="s">
        <v>85</v>
      </c>
      <c r="AW176" s="201" t="s">
        <v>34</v>
      </c>
      <c r="AX176" s="201" t="s">
        <v>78</v>
      </c>
      <c r="AY176" s="203" t="s">
        <v>139</v>
      </c>
    </row>
    <row r="177" spans="2:51" s="187" customFormat="1" ht="12">
      <c r="B177" s="188"/>
      <c r="D177" s="189" t="s">
        <v>148</v>
      </c>
      <c r="E177" s="190" t="s">
        <v>1</v>
      </c>
      <c r="F177" s="191" t="s">
        <v>1005</v>
      </c>
      <c r="H177" s="192">
        <v>1.25</v>
      </c>
      <c r="I177" s="233"/>
      <c r="L177" s="188"/>
      <c r="M177" s="193"/>
      <c r="N177" s="194"/>
      <c r="O177" s="194"/>
      <c r="P177" s="194"/>
      <c r="Q177" s="194"/>
      <c r="R177" s="194"/>
      <c r="S177" s="194"/>
      <c r="T177" s="195"/>
      <c r="AT177" s="190" t="s">
        <v>148</v>
      </c>
      <c r="AU177" s="190" t="s">
        <v>87</v>
      </c>
      <c r="AV177" s="187" t="s">
        <v>87</v>
      </c>
      <c r="AW177" s="187" t="s">
        <v>34</v>
      </c>
      <c r="AX177" s="187" t="s">
        <v>78</v>
      </c>
      <c r="AY177" s="190" t="s">
        <v>139</v>
      </c>
    </row>
    <row r="178" spans="2:51" s="187" customFormat="1" ht="12">
      <c r="B178" s="188"/>
      <c r="D178" s="189" t="s">
        <v>148</v>
      </c>
      <c r="E178" s="190" t="s">
        <v>1</v>
      </c>
      <c r="F178" s="191" t="s">
        <v>1006</v>
      </c>
      <c r="H178" s="192">
        <v>7.7</v>
      </c>
      <c r="I178" s="233"/>
      <c r="L178" s="188"/>
      <c r="M178" s="193"/>
      <c r="N178" s="194"/>
      <c r="O178" s="194"/>
      <c r="P178" s="194"/>
      <c r="Q178" s="194"/>
      <c r="R178" s="194"/>
      <c r="S178" s="194"/>
      <c r="T178" s="195"/>
      <c r="AT178" s="190" t="s">
        <v>148</v>
      </c>
      <c r="AU178" s="190" t="s">
        <v>87</v>
      </c>
      <c r="AV178" s="187" t="s">
        <v>87</v>
      </c>
      <c r="AW178" s="187" t="s">
        <v>34</v>
      </c>
      <c r="AX178" s="187" t="s">
        <v>78</v>
      </c>
      <c r="AY178" s="190" t="s">
        <v>139</v>
      </c>
    </row>
    <row r="179" spans="2:51" s="208" customFormat="1" ht="12">
      <c r="B179" s="209"/>
      <c r="D179" s="189" t="s">
        <v>148</v>
      </c>
      <c r="E179" s="210" t="s">
        <v>1</v>
      </c>
      <c r="F179" s="211" t="s">
        <v>159</v>
      </c>
      <c r="H179" s="212">
        <v>8.95</v>
      </c>
      <c r="I179" s="236"/>
      <c r="L179" s="209"/>
      <c r="M179" s="213"/>
      <c r="N179" s="214"/>
      <c r="O179" s="214"/>
      <c r="P179" s="214"/>
      <c r="Q179" s="214"/>
      <c r="R179" s="214"/>
      <c r="S179" s="214"/>
      <c r="T179" s="215"/>
      <c r="AT179" s="210" t="s">
        <v>148</v>
      </c>
      <c r="AU179" s="210" t="s">
        <v>87</v>
      </c>
      <c r="AV179" s="208" t="s">
        <v>146</v>
      </c>
      <c r="AW179" s="208" t="s">
        <v>34</v>
      </c>
      <c r="AX179" s="208" t="s">
        <v>85</v>
      </c>
      <c r="AY179" s="210" t="s">
        <v>139</v>
      </c>
    </row>
    <row r="180" spans="1:65" s="95" customFormat="1" ht="37.9" customHeight="1">
      <c r="A180" s="93"/>
      <c r="B180" s="92"/>
      <c r="C180" s="175" t="s">
        <v>191</v>
      </c>
      <c r="D180" s="175" t="s">
        <v>141</v>
      </c>
      <c r="E180" s="176" t="s">
        <v>198</v>
      </c>
      <c r="F180" s="177" t="s">
        <v>1007</v>
      </c>
      <c r="G180" s="178" t="s">
        <v>194</v>
      </c>
      <c r="H180" s="179">
        <v>63.188</v>
      </c>
      <c r="I180" s="69"/>
      <c r="J180" s="180">
        <f>ROUND(I180*H180,2)</f>
        <v>0</v>
      </c>
      <c r="K180" s="177" t="s">
        <v>967</v>
      </c>
      <c r="L180" s="92"/>
      <c r="M180" s="181" t="s">
        <v>1</v>
      </c>
      <c r="N180" s="182" t="s">
        <v>44</v>
      </c>
      <c r="O180" s="183">
        <v>1.763</v>
      </c>
      <c r="P180" s="183">
        <f>O180*H180</f>
        <v>111.400444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R180" s="185" t="s">
        <v>146</v>
      </c>
      <c r="AT180" s="185" t="s">
        <v>141</v>
      </c>
      <c r="AU180" s="185" t="s">
        <v>87</v>
      </c>
      <c r="AY180" s="83" t="s">
        <v>139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83" t="s">
        <v>85</v>
      </c>
      <c r="BK180" s="186">
        <f>ROUND(I180*H180,2)</f>
        <v>0</v>
      </c>
      <c r="BL180" s="83" t="s">
        <v>146</v>
      </c>
      <c r="BM180" s="185" t="s">
        <v>1008</v>
      </c>
    </row>
    <row r="181" spans="2:51" s="187" customFormat="1" ht="12">
      <c r="B181" s="188"/>
      <c r="D181" s="189" t="s">
        <v>148</v>
      </c>
      <c r="E181" s="190" t="s">
        <v>1</v>
      </c>
      <c r="F181" s="191" t="s">
        <v>1009</v>
      </c>
      <c r="H181" s="192">
        <v>16.313</v>
      </c>
      <c r="I181" s="233"/>
      <c r="L181" s="188"/>
      <c r="M181" s="193"/>
      <c r="N181" s="194"/>
      <c r="O181" s="194"/>
      <c r="P181" s="194"/>
      <c r="Q181" s="194"/>
      <c r="R181" s="194"/>
      <c r="S181" s="194"/>
      <c r="T181" s="195"/>
      <c r="AT181" s="190" t="s">
        <v>148</v>
      </c>
      <c r="AU181" s="190" t="s">
        <v>87</v>
      </c>
      <c r="AV181" s="187" t="s">
        <v>87</v>
      </c>
      <c r="AW181" s="187" t="s">
        <v>34</v>
      </c>
      <c r="AX181" s="187" t="s">
        <v>78</v>
      </c>
      <c r="AY181" s="190" t="s">
        <v>139</v>
      </c>
    </row>
    <row r="182" spans="2:51" s="187" customFormat="1" ht="12">
      <c r="B182" s="188"/>
      <c r="D182" s="189" t="s">
        <v>148</v>
      </c>
      <c r="E182" s="190" t="s">
        <v>1</v>
      </c>
      <c r="F182" s="191" t="s">
        <v>1010</v>
      </c>
      <c r="H182" s="192">
        <v>46.875</v>
      </c>
      <c r="I182" s="233"/>
      <c r="L182" s="188"/>
      <c r="M182" s="193"/>
      <c r="N182" s="194"/>
      <c r="O182" s="194"/>
      <c r="P182" s="194"/>
      <c r="Q182" s="194"/>
      <c r="R182" s="194"/>
      <c r="S182" s="194"/>
      <c r="T182" s="195"/>
      <c r="AT182" s="190" t="s">
        <v>148</v>
      </c>
      <c r="AU182" s="190" t="s">
        <v>87</v>
      </c>
      <c r="AV182" s="187" t="s">
        <v>87</v>
      </c>
      <c r="AW182" s="187" t="s">
        <v>34</v>
      </c>
      <c r="AX182" s="187" t="s">
        <v>78</v>
      </c>
      <c r="AY182" s="190" t="s">
        <v>139</v>
      </c>
    </row>
    <row r="183" spans="2:51" s="208" customFormat="1" ht="12">
      <c r="B183" s="209"/>
      <c r="D183" s="189" t="s">
        <v>148</v>
      </c>
      <c r="E183" s="210" t="s">
        <v>1</v>
      </c>
      <c r="F183" s="211" t="s">
        <v>159</v>
      </c>
      <c r="H183" s="212">
        <v>63.188</v>
      </c>
      <c r="I183" s="236"/>
      <c r="L183" s="209"/>
      <c r="M183" s="213"/>
      <c r="N183" s="214"/>
      <c r="O183" s="214"/>
      <c r="P183" s="214"/>
      <c r="Q183" s="214"/>
      <c r="R183" s="214"/>
      <c r="S183" s="214"/>
      <c r="T183" s="215"/>
      <c r="AT183" s="210" t="s">
        <v>148</v>
      </c>
      <c r="AU183" s="210" t="s">
        <v>87</v>
      </c>
      <c r="AV183" s="208" t="s">
        <v>146</v>
      </c>
      <c r="AW183" s="208" t="s">
        <v>34</v>
      </c>
      <c r="AX183" s="208" t="s">
        <v>85</v>
      </c>
      <c r="AY183" s="210" t="s">
        <v>139</v>
      </c>
    </row>
    <row r="184" spans="1:65" s="95" customFormat="1" ht="49.15" customHeight="1">
      <c r="A184" s="93"/>
      <c r="B184" s="92"/>
      <c r="C184" s="175" t="s">
        <v>197</v>
      </c>
      <c r="D184" s="175" t="s">
        <v>141</v>
      </c>
      <c r="E184" s="176" t="s">
        <v>1011</v>
      </c>
      <c r="F184" s="177" t="s">
        <v>1012</v>
      </c>
      <c r="G184" s="178" t="s">
        <v>194</v>
      </c>
      <c r="H184" s="179">
        <v>247.358</v>
      </c>
      <c r="I184" s="69"/>
      <c r="J184" s="180">
        <f>ROUND(I184*H184,2)</f>
        <v>0</v>
      </c>
      <c r="K184" s="177" t="s">
        <v>967</v>
      </c>
      <c r="L184" s="92"/>
      <c r="M184" s="181" t="s">
        <v>1</v>
      </c>
      <c r="N184" s="182" t="s">
        <v>44</v>
      </c>
      <c r="O184" s="183">
        <v>0.538</v>
      </c>
      <c r="P184" s="183">
        <f>O184*H184</f>
        <v>133.078604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R184" s="185" t="s">
        <v>146</v>
      </c>
      <c r="AT184" s="185" t="s">
        <v>141</v>
      </c>
      <c r="AU184" s="185" t="s">
        <v>87</v>
      </c>
      <c r="AY184" s="83" t="s">
        <v>139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83" t="s">
        <v>85</v>
      </c>
      <c r="BK184" s="186">
        <f>ROUND(I184*H184,2)</f>
        <v>0</v>
      </c>
      <c r="BL184" s="83" t="s">
        <v>146</v>
      </c>
      <c r="BM184" s="185" t="s">
        <v>1013</v>
      </c>
    </row>
    <row r="185" spans="2:51" s="201" customFormat="1" ht="12">
      <c r="B185" s="202"/>
      <c r="D185" s="189" t="s">
        <v>148</v>
      </c>
      <c r="E185" s="203" t="s">
        <v>1</v>
      </c>
      <c r="F185" s="204" t="s">
        <v>1014</v>
      </c>
      <c r="H185" s="203" t="s">
        <v>1</v>
      </c>
      <c r="I185" s="235"/>
      <c r="L185" s="202"/>
      <c r="M185" s="205"/>
      <c r="N185" s="206"/>
      <c r="O185" s="206"/>
      <c r="P185" s="206"/>
      <c r="Q185" s="206"/>
      <c r="R185" s="206"/>
      <c r="S185" s="206"/>
      <c r="T185" s="207"/>
      <c r="AT185" s="203" t="s">
        <v>148</v>
      </c>
      <c r="AU185" s="203" t="s">
        <v>87</v>
      </c>
      <c r="AV185" s="201" t="s">
        <v>85</v>
      </c>
      <c r="AW185" s="201" t="s">
        <v>34</v>
      </c>
      <c r="AX185" s="201" t="s">
        <v>78</v>
      </c>
      <c r="AY185" s="203" t="s">
        <v>139</v>
      </c>
    </row>
    <row r="186" spans="2:51" s="201" customFormat="1" ht="12">
      <c r="B186" s="202"/>
      <c r="D186" s="189" t="s">
        <v>148</v>
      </c>
      <c r="E186" s="203" t="s">
        <v>1</v>
      </c>
      <c r="F186" s="204" t="s">
        <v>207</v>
      </c>
      <c r="H186" s="203" t="s">
        <v>1</v>
      </c>
      <c r="I186" s="235"/>
      <c r="L186" s="202"/>
      <c r="M186" s="205"/>
      <c r="N186" s="206"/>
      <c r="O186" s="206"/>
      <c r="P186" s="206"/>
      <c r="Q186" s="206"/>
      <c r="R186" s="206"/>
      <c r="S186" s="206"/>
      <c r="T186" s="207"/>
      <c r="AT186" s="203" t="s">
        <v>148</v>
      </c>
      <c r="AU186" s="203" t="s">
        <v>87</v>
      </c>
      <c r="AV186" s="201" t="s">
        <v>85</v>
      </c>
      <c r="AW186" s="201" t="s">
        <v>34</v>
      </c>
      <c r="AX186" s="201" t="s">
        <v>78</v>
      </c>
      <c r="AY186" s="203" t="s">
        <v>139</v>
      </c>
    </row>
    <row r="187" spans="2:51" s="187" customFormat="1" ht="12">
      <c r="B187" s="188"/>
      <c r="D187" s="189" t="s">
        <v>148</v>
      </c>
      <c r="E187" s="190" t="s">
        <v>1</v>
      </c>
      <c r="F187" s="191" t="s">
        <v>1015</v>
      </c>
      <c r="H187" s="192">
        <v>243.56</v>
      </c>
      <c r="I187" s="233"/>
      <c r="L187" s="188"/>
      <c r="M187" s="193"/>
      <c r="N187" s="194"/>
      <c r="O187" s="194"/>
      <c r="P187" s="194"/>
      <c r="Q187" s="194"/>
      <c r="R187" s="194"/>
      <c r="S187" s="194"/>
      <c r="T187" s="195"/>
      <c r="AT187" s="190" t="s">
        <v>148</v>
      </c>
      <c r="AU187" s="190" t="s">
        <v>87</v>
      </c>
      <c r="AV187" s="187" t="s">
        <v>87</v>
      </c>
      <c r="AW187" s="187" t="s">
        <v>34</v>
      </c>
      <c r="AX187" s="187" t="s">
        <v>78</v>
      </c>
      <c r="AY187" s="190" t="s">
        <v>139</v>
      </c>
    </row>
    <row r="188" spans="2:51" s="187" customFormat="1" ht="22.5">
      <c r="B188" s="188"/>
      <c r="D188" s="189" t="s">
        <v>148</v>
      </c>
      <c r="E188" s="190" t="s">
        <v>1</v>
      </c>
      <c r="F188" s="191" t="s">
        <v>1016</v>
      </c>
      <c r="H188" s="192">
        <v>-25.568</v>
      </c>
      <c r="I188" s="233"/>
      <c r="L188" s="188"/>
      <c r="M188" s="193"/>
      <c r="N188" s="194"/>
      <c r="O188" s="194"/>
      <c r="P188" s="194"/>
      <c r="Q188" s="194"/>
      <c r="R188" s="194"/>
      <c r="S188" s="194"/>
      <c r="T188" s="195"/>
      <c r="AT188" s="190" t="s">
        <v>148</v>
      </c>
      <c r="AU188" s="190" t="s">
        <v>87</v>
      </c>
      <c r="AV188" s="187" t="s">
        <v>87</v>
      </c>
      <c r="AW188" s="187" t="s">
        <v>34</v>
      </c>
      <c r="AX188" s="187" t="s">
        <v>78</v>
      </c>
      <c r="AY188" s="190" t="s">
        <v>139</v>
      </c>
    </row>
    <row r="189" spans="2:51" s="187" customFormat="1" ht="12">
      <c r="B189" s="188"/>
      <c r="D189" s="189" t="s">
        <v>148</v>
      </c>
      <c r="E189" s="190" t="s">
        <v>1</v>
      </c>
      <c r="F189" s="191" t="s">
        <v>1017</v>
      </c>
      <c r="H189" s="192">
        <v>23.15</v>
      </c>
      <c r="I189" s="233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0" t="s">
        <v>148</v>
      </c>
      <c r="AU189" s="190" t="s">
        <v>87</v>
      </c>
      <c r="AV189" s="187" t="s">
        <v>87</v>
      </c>
      <c r="AW189" s="187" t="s">
        <v>34</v>
      </c>
      <c r="AX189" s="187" t="s">
        <v>78</v>
      </c>
      <c r="AY189" s="190" t="s">
        <v>139</v>
      </c>
    </row>
    <row r="190" spans="2:51" s="187" customFormat="1" ht="12">
      <c r="B190" s="188"/>
      <c r="D190" s="189" t="s">
        <v>148</v>
      </c>
      <c r="E190" s="190" t="s">
        <v>1</v>
      </c>
      <c r="F190" s="191" t="s">
        <v>1018</v>
      </c>
      <c r="H190" s="192">
        <v>6.216</v>
      </c>
      <c r="I190" s="233"/>
      <c r="L190" s="188"/>
      <c r="M190" s="193"/>
      <c r="N190" s="194"/>
      <c r="O190" s="194"/>
      <c r="P190" s="194"/>
      <c r="Q190" s="194"/>
      <c r="R190" s="194"/>
      <c r="S190" s="194"/>
      <c r="T190" s="195"/>
      <c r="AT190" s="190" t="s">
        <v>148</v>
      </c>
      <c r="AU190" s="190" t="s">
        <v>87</v>
      </c>
      <c r="AV190" s="187" t="s">
        <v>87</v>
      </c>
      <c r="AW190" s="187" t="s">
        <v>34</v>
      </c>
      <c r="AX190" s="187" t="s">
        <v>78</v>
      </c>
      <c r="AY190" s="190" t="s">
        <v>139</v>
      </c>
    </row>
    <row r="191" spans="2:51" s="208" customFormat="1" ht="12">
      <c r="B191" s="209"/>
      <c r="D191" s="189" t="s">
        <v>148</v>
      </c>
      <c r="E191" s="210" t="s">
        <v>1</v>
      </c>
      <c r="F191" s="211" t="s">
        <v>159</v>
      </c>
      <c r="H191" s="212">
        <v>247.358</v>
      </c>
      <c r="I191" s="236"/>
      <c r="L191" s="209"/>
      <c r="M191" s="213"/>
      <c r="N191" s="214"/>
      <c r="O191" s="214"/>
      <c r="P191" s="214"/>
      <c r="Q191" s="214"/>
      <c r="R191" s="214"/>
      <c r="S191" s="214"/>
      <c r="T191" s="215"/>
      <c r="AT191" s="210" t="s">
        <v>148</v>
      </c>
      <c r="AU191" s="210" t="s">
        <v>87</v>
      </c>
      <c r="AV191" s="208" t="s">
        <v>146</v>
      </c>
      <c r="AW191" s="208" t="s">
        <v>34</v>
      </c>
      <c r="AX191" s="208" t="s">
        <v>85</v>
      </c>
      <c r="AY191" s="210" t="s">
        <v>139</v>
      </c>
    </row>
    <row r="192" spans="1:65" s="95" customFormat="1" ht="37.9" customHeight="1">
      <c r="A192" s="93"/>
      <c r="B192" s="92"/>
      <c r="C192" s="175" t="s">
        <v>202</v>
      </c>
      <c r="D192" s="175" t="s">
        <v>141</v>
      </c>
      <c r="E192" s="176" t="s">
        <v>872</v>
      </c>
      <c r="F192" s="177" t="s">
        <v>873</v>
      </c>
      <c r="G192" s="178" t="s">
        <v>144</v>
      </c>
      <c r="H192" s="179">
        <v>492.13</v>
      </c>
      <c r="I192" s="69"/>
      <c r="J192" s="180">
        <f>ROUND(I192*H192,2)</f>
        <v>0</v>
      </c>
      <c r="K192" s="177" t="s">
        <v>967</v>
      </c>
      <c r="L192" s="92"/>
      <c r="M192" s="181" t="s">
        <v>1</v>
      </c>
      <c r="N192" s="182" t="s">
        <v>44</v>
      </c>
      <c r="O192" s="183">
        <v>0.109</v>
      </c>
      <c r="P192" s="183">
        <f>O192*H192</f>
        <v>53.64217</v>
      </c>
      <c r="Q192" s="183">
        <v>0.00059</v>
      </c>
      <c r="R192" s="183">
        <f>Q192*H192</f>
        <v>0.2903567</v>
      </c>
      <c r="S192" s="183">
        <v>0</v>
      </c>
      <c r="T192" s="184">
        <f>S192*H192</f>
        <v>0</v>
      </c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R192" s="185" t="s">
        <v>146</v>
      </c>
      <c r="AT192" s="185" t="s">
        <v>141</v>
      </c>
      <c r="AU192" s="185" t="s">
        <v>87</v>
      </c>
      <c r="AY192" s="83" t="s">
        <v>139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83" t="s">
        <v>85</v>
      </c>
      <c r="BK192" s="186">
        <f>ROUND(I192*H192,2)</f>
        <v>0</v>
      </c>
      <c r="BL192" s="83" t="s">
        <v>146</v>
      </c>
      <c r="BM192" s="185" t="s">
        <v>1019</v>
      </c>
    </row>
    <row r="193" spans="2:51" s="201" customFormat="1" ht="12">
      <c r="B193" s="202"/>
      <c r="D193" s="189" t="s">
        <v>148</v>
      </c>
      <c r="E193" s="203" t="s">
        <v>1</v>
      </c>
      <c r="F193" s="204" t="s">
        <v>207</v>
      </c>
      <c r="H193" s="203" t="s">
        <v>1</v>
      </c>
      <c r="I193" s="235"/>
      <c r="L193" s="202"/>
      <c r="M193" s="205"/>
      <c r="N193" s="206"/>
      <c r="O193" s="206"/>
      <c r="P193" s="206"/>
      <c r="Q193" s="206"/>
      <c r="R193" s="206"/>
      <c r="S193" s="206"/>
      <c r="T193" s="207"/>
      <c r="AT193" s="203" t="s">
        <v>148</v>
      </c>
      <c r="AU193" s="203" t="s">
        <v>87</v>
      </c>
      <c r="AV193" s="201" t="s">
        <v>85</v>
      </c>
      <c r="AW193" s="201" t="s">
        <v>34</v>
      </c>
      <c r="AX193" s="201" t="s">
        <v>78</v>
      </c>
      <c r="AY193" s="203" t="s">
        <v>139</v>
      </c>
    </row>
    <row r="194" spans="2:51" s="187" customFormat="1" ht="12">
      <c r="B194" s="188"/>
      <c r="D194" s="189" t="s">
        <v>148</v>
      </c>
      <c r="E194" s="190" t="s">
        <v>1</v>
      </c>
      <c r="F194" s="191" t="s">
        <v>1020</v>
      </c>
      <c r="H194" s="192">
        <v>425.57</v>
      </c>
      <c r="I194" s="233"/>
      <c r="L194" s="188"/>
      <c r="M194" s="193"/>
      <c r="N194" s="194"/>
      <c r="O194" s="194"/>
      <c r="P194" s="194"/>
      <c r="Q194" s="194"/>
      <c r="R194" s="194"/>
      <c r="S194" s="194"/>
      <c r="T194" s="195"/>
      <c r="AT194" s="190" t="s">
        <v>148</v>
      </c>
      <c r="AU194" s="190" t="s">
        <v>87</v>
      </c>
      <c r="AV194" s="187" t="s">
        <v>87</v>
      </c>
      <c r="AW194" s="187" t="s">
        <v>34</v>
      </c>
      <c r="AX194" s="187" t="s">
        <v>78</v>
      </c>
      <c r="AY194" s="190" t="s">
        <v>139</v>
      </c>
    </row>
    <row r="195" spans="2:51" s="187" customFormat="1" ht="12">
      <c r="B195" s="188"/>
      <c r="D195" s="189" t="s">
        <v>148</v>
      </c>
      <c r="E195" s="190" t="s">
        <v>1</v>
      </c>
      <c r="F195" s="191" t="s">
        <v>1021</v>
      </c>
      <c r="H195" s="192">
        <v>10.36</v>
      </c>
      <c r="I195" s="233"/>
      <c r="L195" s="188"/>
      <c r="M195" s="193"/>
      <c r="N195" s="194"/>
      <c r="O195" s="194"/>
      <c r="P195" s="194"/>
      <c r="Q195" s="194"/>
      <c r="R195" s="194"/>
      <c r="S195" s="194"/>
      <c r="T195" s="195"/>
      <c r="AT195" s="190" t="s">
        <v>148</v>
      </c>
      <c r="AU195" s="190" t="s">
        <v>87</v>
      </c>
      <c r="AV195" s="187" t="s">
        <v>87</v>
      </c>
      <c r="AW195" s="187" t="s">
        <v>34</v>
      </c>
      <c r="AX195" s="187" t="s">
        <v>78</v>
      </c>
      <c r="AY195" s="190" t="s">
        <v>139</v>
      </c>
    </row>
    <row r="196" spans="2:51" s="187" customFormat="1" ht="12">
      <c r="B196" s="188"/>
      <c r="D196" s="189" t="s">
        <v>148</v>
      </c>
      <c r="E196" s="190" t="s">
        <v>1</v>
      </c>
      <c r="F196" s="191" t="s">
        <v>1022</v>
      </c>
      <c r="H196" s="192">
        <v>56.2</v>
      </c>
      <c r="I196" s="233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0" t="s">
        <v>148</v>
      </c>
      <c r="AU196" s="190" t="s">
        <v>87</v>
      </c>
      <c r="AV196" s="187" t="s">
        <v>87</v>
      </c>
      <c r="AW196" s="187" t="s">
        <v>34</v>
      </c>
      <c r="AX196" s="187" t="s">
        <v>78</v>
      </c>
      <c r="AY196" s="190" t="s">
        <v>139</v>
      </c>
    </row>
    <row r="197" spans="2:51" s="208" customFormat="1" ht="12">
      <c r="B197" s="209"/>
      <c r="D197" s="189" t="s">
        <v>148</v>
      </c>
      <c r="E197" s="210" t="s">
        <v>1</v>
      </c>
      <c r="F197" s="211" t="s">
        <v>159</v>
      </c>
      <c r="H197" s="212">
        <v>492.13</v>
      </c>
      <c r="I197" s="236"/>
      <c r="L197" s="209"/>
      <c r="M197" s="213"/>
      <c r="N197" s="214"/>
      <c r="O197" s="214"/>
      <c r="P197" s="214"/>
      <c r="Q197" s="214"/>
      <c r="R197" s="214"/>
      <c r="S197" s="214"/>
      <c r="T197" s="215"/>
      <c r="AT197" s="210" t="s">
        <v>148</v>
      </c>
      <c r="AU197" s="210" t="s">
        <v>87</v>
      </c>
      <c r="AV197" s="208" t="s">
        <v>146</v>
      </c>
      <c r="AW197" s="208" t="s">
        <v>34</v>
      </c>
      <c r="AX197" s="208" t="s">
        <v>85</v>
      </c>
      <c r="AY197" s="210" t="s">
        <v>139</v>
      </c>
    </row>
    <row r="198" spans="1:65" s="95" customFormat="1" ht="37.9" customHeight="1">
      <c r="A198" s="93"/>
      <c r="B198" s="92"/>
      <c r="C198" s="175" t="s">
        <v>209</v>
      </c>
      <c r="D198" s="175" t="s">
        <v>141</v>
      </c>
      <c r="E198" s="176" t="s">
        <v>874</v>
      </c>
      <c r="F198" s="177" t="s">
        <v>875</v>
      </c>
      <c r="G198" s="178" t="s">
        <v>144</v>
      </c>
      <c r="H198" s="179">
        <v>492.13</v>
      </c>
      <c r="I198" s="69"/>
      <c r="J198" s="180">
        <f>ROUND(I198*H198,2)</f>
        <v>0</v>
      </c>
      <c r="K198" s="177" t="s">
        <v>967</v>
      </c>
      <c r="L198" s="92"/>
      <c r="M198" s="181" t="s">
        <v>1</v>
      </c>
      <c r="N198" s="182" t="s">
        <v>44</v>
      </c>
      <c r="O198" s="183">
        <v>0.106</v>
      </c>
      <c r="P198" s="183">
        <f>O198*H198</f>
        <v>52.16578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R198" s="185" t="s">
        <v>146</v>
      </c>
      <c r="AT198" s="185" t="s">
        <v>141</v>
      </c>
      <c r="AU198" s="185" t="s">
        <v>87</v>
      </c>
      <c r="AY198" s="83" t="s">
        <v>139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83" t="s">
        <v>85</v>
      </c>
      <c r="BK198" s="186">
        <f>ROUND(I198*H198,2)</f>
        <v>0</v>
      </c>
      <c r="BL198" s="83" t="s">
        <v>146</v>
      </c>
      <c r="BM198" s="185" t="s">
        <v>1023</v>
      </c>
    </row>
    <row r="199" spans="2:51" s="187" customFormat="1" ht="12">
      <c r="B199" s="188"/>
      <c r="D199" s="189" t="s">
        <v>148</v>
      </c>
      <c r="E199" s="190" t="s">
        <v>1</v>
      </c>
      <c r="F199" s="191" t="s">
        <v>1024</v>
      </c>
      <c r="H199" s="192">
        <v>492.13</v>
      </c>
      <c r="I199" s="233"/>
      <c r="L199" s="188"/>
      <c r="M199" s="193"/>
      <c r="N199" s="194"/>
      <c r="O199" s="194"/>
      <c r="P199" s="194"/>
      <c r="Q199" s="194"/>
      <c r="R199" s="194"/>
      <c r="S199" s="194"/>
      <c r="T199" s="195"/>
      <c r="AT199" s="190" t="s">
        <v>148</v>
      </c>
      <c r="AU199" s="190" t="s">
        <v>87</v>
      </c>
      <c r="AV199" s="187" t="s">
        <v>87</v>
      </c>
      <c r="AW199" s="187" t="s">
        <v>34</v>
      </c>
      <c r="AX199" s="187" t="s">
        <v>85</v>
      </c>
      <c r="AY199" s="190" t="s">
        <v>139</v>
      </c>
    </row>
    <row r="200" spans="1:65" s="95" customFormat="1" ht="14.45" customHeight="1">
      <c r="A200" s="93"/>
      <c r="B200" s="92"/>
      <c r="C200" s="175" t="s">
        <v>215</v>
      </c>
      <c r="D200" s="175" t="s">
        <v>141</v>
      </c>
      <c r="E200" s="176" t="s">
        <v>232</v>
      </c>
      <c r="F200" s="177" t="s">
        <v>233</v>
      </c>
      <c r="G200" s="178" t="s">
        <v>194</v>
      </c>
      <c r="H200" s="179">
        <f>H207</f>
        <v>35.059200000000004</v>
      </c>
      <c r="I200" s="69"/>
      <c r="J200" s="180">
        <f>ROUND(I200*H200,2)</f>
        <v>0</v>
      </c>
      <c r="K200" s="177" t="s">
        <v>1</v>
      </c>
      <c r="L200" s="92"/>
      <c r="M200" s="181" t="s">
        <v>1</v>
      </c>
      <c r="N200" s="182" t="s">
        <v>44</v>
      </c>
      <c r="O200" s="183">
        <v>0.101</v>
      </c>
      <c r="P200" s="183">
        <f>O200*H200</f>
        <v>3.5409792000000007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R200" s="185" t="s">
        <v>146</v>
      </c>
      <c r="AT200" s="185" t="s">
        <v>141</v>
      </c>
      <c r="AU200" s="185" t="s">
        <v>87</v>
      </c>
      <c r="AY200" s="83" t="s">
        <v>139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83" t="s">
        <v>85</v>
      </c>
      <c r="BK200" s="186">
        <f>ROUND(I200*H200,2)</f>
        <v>0</v>
      </c>
      <c r="BL200" s="83" t="s">
        <v>146</v>
      </c>
      <c r="BM200" s="185" t="s">
        <v>1025</v>
      </c>
    </row>
    <row r="201" spans="2:51" s="201" customFormat="1" ht="12">
      <c r="B201" s="202"/>
      <c r="D201" s="189" t="s">
        <v>148</v>
      </c>
      <c r="E201" s="203" t="s">
        <v>1</v>
      </c>
      <c r="F201" s="204" t="s">
        <v>235</v>
      </c>
      <c r="H201" s="203" t="s">
        <v>1</v>
      </c>
      <c r="I201" s="235"/>
      <c r="L201" s="202"/>
      <c r="M201" s="205"/>
      <c r="N201" s="206"/>
      <c r="O201" s="206"/>
      <c r="P201" s="206"/>
      <c r="Q201" s="206"/>
      <c r="R201" s="206"/>
      <c r="S201" s="206"/>
      <c r="T201" s="207"/>
      <c r="AT201" s="203" t="s">
        <v>148</v>
      </c>
      <c r="AU201" s="203" t="s">
        <v>87</v>
      </c>
      <c r="AV201" s="201" t="s">
        <v>85</v>
      </c>
      <c r="AW201" s="201" t="s">
        <v>34</v>
      </c>
      <c r="AX201" s="201" t="s">
        <v>78</v>
      </c>
      <c r="AY201" s="203" t="s">
        <v>139</v>
      </c>
    </row>
    <row r="202" spans="2:51" s="201" customFormat="1" ht="12">
      <c r="B202" s="202"/>
      <c r="D202" s="189" t="s">
        <v>148</v>
      </c>
      <c r="E202" s="203" t="s">
        <v>1</v>
      </c>
      <c r="F202" s="204" t="s">
        <v>236</v>
      </c>
      <c r="H202" s="203" t="s">
        <v>1</v>
      </c>
      <c r="I202" s="235"/>
      <c r="L202" s="202"/>
      <c r="M202" s="205"/>
      <c r="N202" s="206"/>
      <c r="O202" s="206"/>
      <c r="P202" s="206"/>
      <c r="Q202" s="206"/>
      <c r="R202" s="206"/>
      <c r="S202" s="206"/>
      <c r="T202" s="207"/>
      <c r="AT202" s="203" t="s">
        <v>148</v>
      </c>
      <c r="AU202" s="203" t="s">
        <v>87</v>
      </c>
      <c r="AV202" s="201" t="s">
        <v>85</v>
      </c>
      <c r="AW202" s="201" t="s">
        <v>34</v>
      </c>
      <c r="AX202" s="201" t="s">
        <v>78</v>
      </c>
      <c r="AY202" s="203" t="s">
        <v>139</v>
      </c>
    </row>
    <row r="203" spans="2:51" s="201" customFormat="1" ht="12">
      <c r="B203" s="202"/>
      <c r="D203" s="189" t="s">
        <v>148</v>
      </c>
      <c r="E203" s="203" t="s">
        <v>1</v>
      </c>
      <c r="F203" s="204" t="s">
        <v>237</v>
      </c>
      <c r="H203" s="203" t="s">
        <v>1</v>
      </c>
      <c r="I203" s="235"/>
      <c r="L203" s="202"/>
      <c r="M203" s="205"/>
      <c r="N203" s="206"/>
      <c r="O203" s="206"/>
      <c r="P203" s="206"/>
      <c r="Q203" s="206"/>
      <c r="R203" s="206"/>
      <c r="S203" s="206"/>
      <c r="T203" s="207"/>
      <c r="AT203" s="203" t="s">
        <v>148</v>
      </c>
      <c r="AU203" s="203" t="s">
        <v>87</v>
      </c>
      <c r="AV203" s="201" t="s">
        <v>85</v>
      </c>
      <c r="AW203" s="201" t="s">
        <v>34</v>
      </c>
      <c r="AX203" s="201" t="s">
        <v>78</v>
      </c>
      <c r="AY203" s="203" t="s">
        <v>139</v>
      </c>
    </row>
    <row r="204" spans="2:51" s="187" customFormat="1" ht="22.5">
      <c r="B204" s="188"/>
      <c r="D204" s="189" t="s">
        <v>148</v>
      </c>
      <c r="E204" s="190" t="s">
        <v>1</v>
      </c>
      <c r="F204" s="191" t="s">
        <v>1535</v>
      </c>
      <c r="H204" s="192">
        <f>81.68*1.25*0.3</f>
        <v>30.630000000000003</v>
      </c>
      <c r="I204" s="233"/>
      <c r="L204" s="188"/>
      <c r="M204" s="193"/>
      <c r="N204" s="194"/>
      <c r="O204" s="194"/>
      <c r="P204" s="194"/>
      <c r="Q204" s="194"/>
      <c r="R204" s="194"/>
      <c r="S204" s="194"/>
      <c r="T204" s="195"/>
      <c r="AT204" s="190" t="s">
        <v>148</v>
      </c>
      <c r="AU204" s="190" t="s">
        <v>87</v>
      </c>
      <c r="AV204" s="187" t="s">
        <v>87</v>
      </c>
      <c r="AW204" s="187" t="s">
        <v>34</v>
      </c>
      <c r="AX204" s="187" t="s">
        <v>78</v>
      </c>
      <c r="AY204" s="190" t="s">
        <v>139</v>
      </c>
    </row>
    <row r="205" spans="2:51" s="187" customFormat="1" ht="22.5">
      <c r="B205" s="188"/>
      <c r="D205" s="189" t="s">
        <v>148</v>
      </c>
      <c r="E205" s="190" t="s">
        <v>1</v>
      </c>
      <c r="F205" s="191" t="s">
        <v>1536</v>
      </c>
      <c r="H205" s="192">
        <f>11.24*1.1*0.3</f>
        <v>3.7092</v>
      </c>
      <c r="I205" s="233"/>
      <c r="L205" s="188"/>
      <c r="M205" s="193"/>
      <c r="N205" s="194"/>
      <c r="O205" s="194"/>
      <c r="P205" s="194"/>
      <c r="Q205" s="194"/>
      <c r="R205" s="194"/>
      <c r="S205" s="194"/>
      <c r="T205" s="195"/>
      <c r="AT205" s="190" t="s">
        <v>148</v>
      </c>
      <c r="AU205" s="190" t="s">
        <v>87</v>
      </c>
      <c r="AV205" s="187" t="s">
        <v>87</v>
      </c>
      <c r="AW205" s="187" t="s">
        <v>34</v>
      </c>
      <c r="AX205" s="187" t="s">
        <v>78</v>
      </c>
      <c r="AY205" s="190" t="s">
        <v>139</v>
      </c>
    </row>
    <row r="206" spans="2:51" s="187" customFormat="1" ht="12">
      <c r="B206" s="188"/>
      <c r="D206" s="189" t="s">
        <v>148</v>
      </c>
      <c r="E206" s="190" t="s">
        <v>1</v>
      </c>
      <c r="F206" s="191" t="s">
        <v>1026</v>
      </c>
      <c r="H206" s="192">
        <f>2*1.2*0.3</f>
        <v>0.72</v>
      </c>
      <c r="I206" s="233"/>
      <c r="L206" s="188"/>
      <c r="M206" s="193"/>
      <c r="N206" s="194"/>
      <c r="O206" s="194"/>
      <c r="P206" s="194"/>
      <c r="Q206" s="194"/>
      <c r="R206" s="194"/>
      <c r="S206" s="194"/>
      <c r="T206" s="195"/>
      <c r="AT206" s="190" t="s">
        <v>148</v>
      </c>
      <c r="AU206" s="190" t="s">
        <v>87</v>
      </c>
      <c r="AV206" s="187" t="s">
        <v>87</v>
      </c>
      <c r="AW206" s="187" t="s">
        <v>34</v>
      </c>
      <c r="AX206" s="187" t="s">
        <v>78</v>
      </c>
      <c r="AY206" s="190" t="s">
        <v>139</v>
      </c>
    </row>
    <row r="207" spans="2:51" s="208" customFormat="1" ht="12">
      <c r="B207" s="209"/>
      <c r="D207" s="189" t="s">
        <v>148</v>
      </c>
      <c r="E207" s="210" t="s">
        <v>1</v>
      </c>
      <c r="F207" s="211" t="s">
        <v>159</v>
      </c>
      <c r="H207" s="212">
        <f>SUM(H204:H206)</f>
        <v>35.059200000000004</v>
      </c>
      <c r="I207" s="236"/>
      <c r="L207" s="209"/>
      <c r="M207" s="213"/>
      <c r="N207" s="214"/>
      <c r="O207" s="214"/>
      <c r="P207" s="214"/>
      <c r="Q207" s="214"/>
      <c r="R207" s="214"/>
      <c r="S207" s="214"/>
      <c r="T207" s="215"/>
      <c r="AT207" s="210" t="s">
        <v>148</v>
      </c>
      <c r="AU207" s="210" t="s">
        <v>87</v>
      </c>
      <c r="AV207" s="208" t="s">
        <v>146</v>
      </c>
      <c r="AW207" s="208" t="s">
        <v>34</v>
      </c>
      <c r="AX207" s="208" t="s">
        <v>85</v>
      </c>
      <c r="AY207" s="210" t="s">
        <v>139</v>
      </c>
    </row>
    <row r="208" spans="1:65" s="95" customFormat="1" ht="24.2" customHeight="1">
      <c r="A208" s="93"/>
      <c r="B208" s="92"/>
      <c r="C208" s="175" t="s">
        <v>220</v>
      </c>
      <c r="D208" s="175" t="s">
        <v>141</v>
      </c>
      <c r="E208" s="176" t="s">
        <v>239</v>
      </c>
      <c r="F208" s="177" t="s">
        <v>240</v>
      </c>
      <c r="G208" s="178" t="s">
        <v>194</v>
      </c>
      <c r="H208" s="179">
        <v>247.358</v>
      </c>
      <c r="I208" s="69"/>
      <c r="J208" s="180">
        <f>ROUND(I208*H208,2)</f>
        <v>0</v>
      </c>
      <c r="K208" s="177" t="s">
        <v>1</v>
      </c>
      <c r="L208" s="92"/>
      <c r="M208" s="181" t="s">
        <v>1</v>
      </c>
      <c r="N208" s="182" t="s">
        <v>44</v>
      </c>
      <c r="O208" s="183">
        <v>0.083</v>
      </c>
      <c r="P208" s="183">
        <f>O208*H208</f>
        <v>20.530714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R208" s="185" t="s">
        <v>146</v>
      </c>
      <c r="AT208" s="185" t="s">
        <v>141</v>
      </c>
      <c r="AU208" s="185" t="s">
        <v>87</v>
      </c>
      <c r="AY208" s="83" t="s">
        <v>139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83" t="s">
        <v>85</v>
      </c>
      <c r="BK208" s="186">
        <f>ROUND(I208*H208,2)</f>
        <v>0</v>
      </c>
      <c r="BL208" s="83" t="s">
        <v>146</v>
      </c>
      <c r="BM208" s="185" t="s">
        <v>1027</v>
      </c>
    </row>
    <row r="209" spans="2:51" s="201" customFormat="1" ht="12">
      <c r="B209" s="202"/>
      <c r="D209" s="189" t="s">
        <v>148</v>
      </c>
      <c r="E209" s="203" t="s">
        <v>1</v>
      </c>
      <c r="F209" s="204" t="s">
        <v>242</v>
      </c>
      <c r="H209" s="203" t="s">
        <v>1</v>
      </c>
      <c r="I209" s="235"/>
      <c r="L209" s="202"/>
      <c r="M209" s="205"/>
      <c r="N209" s="206"/>
      <c r="O209" s="206"/>
      <c r="P209" s="206"/>
      <c r="Q209" s="206"/>
      <c r="R209" s="206"/>
      <c r="S209" s="206"/>
      <c r="T209" s="207"/>
      <c r="AT209" s="203" t="s">
        <v>148</v>
      </c>
      <c r="AU209" s="203" t="s">
        <v>87</v>
      </c>
      <c r="AV209" s="201" t="s">
        <v>85</v>
      </c>
      <c r="AW209" s="201" t="s">
        <v>34</v>
      </c>
      <c r="AX209" s="201" t="s">
        <v>78</v>
      </c>
      <c r="AY209" s="203" t="s">
        <v>139</v>
      </c>
    </row>
    <row r="210" spans="2:51" s="201" customFormat="1" ht="12">
      <c r="B210" s="202"/>
      <c r="D210" s="189" t="s">
        <v>148</v>
      </c>
      <c r="E210" s="203" t="s">
        <v>1</v>
      </c>
      <c r="F210" s="204" t="s">
        <v>243</v>
      </c>
      <c r="H210" s="203" t="s">
        <v>1</v>
      </c>
      <c r="I210" s="235"/>
      <c r="L210" s="202"/>
      <c r="M210" s="205"/>
      <c r="N210" s="206"/>
      <c r="O210" s="206"/>
      <c r="P210" s="206"/>
      <c r="Q210" s="206"/>
      <c r="R210" s="206"/>
      <c r="S210" s="206"/>
      <c r="T210" s="207"/>
      <c r="AT210" s="203" t="s">
        <v>148</v>
      </c>
      <c r="AU210" s="203" t="s">
        <v>87</v>
      </c>
      <c r="AV210" s="201" t="s">
        <v>85</v>
      </c>
      <c r="AW210" s="201" t="s">
        <v>34</v>
      </c>
      <c r="AX210" s="201" t="s">
        <v>78</v>
      </c>
      <c r="AY210" s="203" t="s">
        <v>139</v>
      </c>
    </row>
    <row r="211" spans="2:51" s="187" customFormat="1" ht="12">
      <c r="B211" s="188"/>
      <c r="D211" s="189" t="s">
        <v>148</v>
      </c>
      <c r="E211" s="190" t="s">
        <v>1</v>
      </c>
      <c r="F211" s="191" t="s">
        <v>1028</v>
      </c>
      <c r="H211" s="192">
        <v>247.358</v>
      </c>
      <c r="I211" s="233"/>
      <c r="L211" s="188"/>
      <c r="M211" s="193"/>
      <c r="N211" s="194"/>
      <c r="O211" s="194"/>
      <c r="P211" s="194"/>
      <c r="Q211" s="194"/>
      <c r="R211" s="194"/>
      <c r="S211" s="194"/>
      <c r="T211" s="195"/>
      <c r="AT211" s="190" t="s">
        <v>148</v>
      </c>
      <c r="AU211" s="190" t="s">
        <v>87</v>
      </c>
      <c r="AV211" s="187" t="s">
        <v>87</v>
      </c>
      <c r="AW211" s="187" t="s">
        <v>34</v>
      </c>
      <c r="AX211" s="187" t="s">
        <v>85</v>
      </c>
      <c r="AY211" s="190" t="s">
        <v>139</v>
      </c>
    </row>
    <row r="212" spans="1:65" s="95" customFormat="1" ht="37.9" customHeight="1">
      <c r="A212" s="93"/>
      <c r="B212" s="92"/>
      <c r="C212" s="175" t="s">
        <v>8</v>
      </c>
      <c r="D212" s="175" t="s">
        <v>141</v>
      </c>
      <c r="E212" s="176" t="s">
        <v>246</v>
      </c>
      <c r="F212" s="177" t="s">
        <v>1029</v>
      </c>
      <c r="G212" s="178" t="s">
        <v>194</v>
      </c>
      <c r="H212" s="179">
        <f>H222</f>
        <v>161.29373646960002</v>
      </c>
      <c r="I212" s="69"/>
      <c r="J212" s="180">
        <f>ROUND(I212*H212,2)</f>
        <v>0</v>
      </c>
      <c r="K212" s="177" t="s">
        <v>967</v>
      </c>
      <c r="L212" s="92"/>
      <c r="M212" s="181" t="s">
        <v>1</v>
      </c>
      <c r="N212" s="182" t="s">
        <v>44</v>
      </c>
      <c r="O212" s="183">
        <v>0.093</v>
      </c>
      <c r="P212" s="183">
        <f>O212*H212</f>
        <v>15.000317491672801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R212" s="185" t="s">
        <v>146</v>
      </c>
      <c r="AT212" s="185" t="s">
        <v>141</v>
      </c>
      <c r="AU212" s="185" t="s">
        <v>87</v>
      </c>
      <c r="AY212" s="83" t="s">
        <v>139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83" t="s">
        <v>85</v>
      </c>
      <c r="BK212" s="186">
        <f>ROUND(I212*H212,2)</f>
        <v>0</v>
      </c>
      <c r="BL212" s="83" t="s">
        <v>146</v>
      </c>
      <c r="BM212" s="185" t="s">
        <v>1030</v>
      </c>
    </row>
    <row r="213" spans="2:51" s="201" customFormat="1" ht="12">
      <c r="B213" s="202"/>
      <c r="D213" s="189" t="s">
        <v>148</v>
      </c>
      <c r="E213" s="203" t="s">
        <v>1</v>
      </c>
      <c r="F213" s="204" t="s">
        <v>307</v>
      </c>
      <c r="H213" s="203" t="s">
        <v>1</v>
      </c>
      <c r="I213" s="235"/>
      <c r="L213" s="202"/>
      <c r="M213" s="205"/>
      <c r="N213" s="206"/>
      <c r="O213" s="206"/>
      <c r="P213" s="206"/>
      <c r="Q213" s="206"/>
      <c r="R213" s="206"/>
      <c r="S213" s="206"/>
      <c r="T213" s="207"/>
      <c r="AT213" s="203" t="s">
        <v>148</v>
      </c>
      <c r="AU213" s="203" t="s">
        <v>87</v>
      </c>
      <c r="AV213" s="201" t="s">
        <v>85</v>
      </c>
      <c r="AW213" s="201" t="s">
        <v>34</v>
      </c>
      <c r="AX213" s="201" t="s">
        <v>78</v>
      </c>
      <c r="AY213" s="203" t="s">
        <v>139</v>
      </c>
    </row>
    <row r="214" spans="2:51" s="201" customFormat="1" ht="12">
      <c r="B214" s="202"/>
      <c r="D214" s="189" t="s">
        <v>148</v>
      </c>
      <c r="E214" s="203" t="s">
        <v>1</v>
      </c>
      <c r="F214" s="204" t="s">
        <v>207</v>
      </c>
      <c r="H214" s="203" t="s">
        <v>1</v>
      </c>
      <c r="I214" s="235"/>
      <c r="L214" s="202"/>
      <c r="M214" s="205"/>
      <c r="N214" s="206"/>
      <c r="O214" s="206"/>
      <c r="P214" s="206"/>
      <c r="Q214" s="206"/>
      <c r="R214" s="206"/>
      <c r="S214" s="206"/>
      <c r="T214" s="207"/>
      <c r="AT214" s="203" t="s">
        <v>148</v>
      </c>
      <c r="AU214" s="203" t="s">
        <v>87</v>
      </c>
      <c r="AV214" s="201" t="s">
        <v>85</v>
      </c>
      <c r="AW214" s="201" t="s">
        <v>34</v>
      </c>
      <c r="AX214" s="201" t="s">
        <v>78</v>
      </c>
      <c r="AY214" s="203" t="s">
        <v>139</v>
      </c>
    </row>
    <row r="215" spans="2:51" s="201" customFormat="1" ht="12">
      <c r="B215" s="202"/>
      <c r="C215" s="187"/>
      <c r="D215" s="189" t="s">
        <v>148</v>
      </c>
      <c r="E215" s="190" t="s">
        <v>1</v>
      </c>
      <c r="F215" s="191" t="s">
        <v>1514</v>
      </c>
      <c r="G215" s="187"/>
      <c r="H215" s="192">
        <f>H184</f>
        <v>247.358</v>
      </c>
      <c r="I215" s="235"/>
      <c r="L215" s="202"/>
      <c r="M215" s="205"/>
      <c r="N215" s="206"/>
      <c r="O215" s="206"/>
      <c r="P215" s="206"/>
      <c r="Q215" s="206"/>
      <c r="R215" s="206"/>
      <c r="S215" s="206"/>
      <c r="T215" s="207"/>
      <c r="AT215" s="203"/>
      <c r="AU215" s="203"/>
      <c r="AY215" s="203"/>
    </row>
    <row r="216" spans="2:51" s="201" customFormat="1" ht="12">
      <c r="B216" s="202"/>
      <c r="C216" s="187"/>
      <c r="D216" s="189" t="s">
        <v>148</v>
      </c>
      <c r="E216" s="190" t="s">
        <v>1</v>
      </c>
      <c r="F216" s="191" t="s">
        <v>1537</v>
      </c>
      <c r="G216" s="187"/>
      <c r="H216" s="192">
        <f>-H245</f>
        <v>-1.57</v>
      </c>
      <c r="I216" s="235"/>
      <c r="L216" s="188"/>
      <c r="M216" s="205"/>
      <c r="N216" s="206"/>
      <c r="O216" s="206"/>
      <c r="P216" s="206"/>
      <c r="Q216" s="206"/>
      <c r="R216" s="206"/>
      <c r="S216" s="206"/>
      <c r="T216" s="207"/>
      <c r="AT216" s="203"/>
      <c r="AU216" s="203"/>
      <c r="AY216" s="203"/>
    </row>
    <row r="217" spans="2:51" s="201" customFormat="1" ht="12">
      <c r="B217" s="202"/>
      <c r="C217" s="187"/>
      <c r="D217" s="189" t="s">
        <v>148</v>
      </c>
      <c r="E217" s="190"/>
      <c r="F217" s="191" t="s">
        <v>1538</v>
      </c>
      <c r="G217" s="187"/>
      <c r="H217" s="192">
        <f>-H256</f>
        <v>-10.615</v>
      </c>
      <c r="I217" s="235"/>
      <c r="L217" s="188"/>
      <c r="M217" s="205"/>
      <c r="N217" s="206"/>
      <c r="O217" s="206"/>
      <c r="P217" s="206"/>
      <c r="Q217" s="206"/>
      <c r="R217" s="206"/>
      <c r="S217" s="206"/>
      <c r="T217" s="207"/>
      <c r="AT217" s="203"/>
      <c r="AU217" s="203"/>
      <c r="AY217" s="203"/>
    </row>
    <row r="218" spans="2:51" s="201" customFormat="1" ht="12">
      <c r="B218" s="202"/>
      <c r="C218" s="187"/>
      <c r="D218" s="189" t="s">
        <v>148</v>
      </c>
      <c r="E218" s="190"/>
      <c r="F218" s="191" t="s">
        <v>1539</v>
      </c>
      <c r="G218" s="187"/>
      <c r="H218" s="192">
        <f>-H266</f>
        <v>-4.88</v>
      </c>
      <c r="I218" s="235"/>
      <c r="L218" s="188"/>
      <c r="M218" s="205"/>
      <c r="N218" s="206"/>
      <c r="O218" s="206"/>
      <c r="P218" s="206"/>
      <c r="Q218" s="206"/>
      <c r="R218" s="206"/>
      <c r="S218" s="206"/>
      <c r="T218" s="207"/>
      <c r="AT218" s="203"/>
      <c r="AU218" s="203"/>
      <c r="AY218" s="203"/>
    </row>
    <row r="219" spans="2:51" s="187" customFormat="1" ht="12">
      <c r="B219" s="188"/>
      <c r="D219" s="189" t="s">
        <v>148</v>
      </c>
      <c r="E219" s="190" t="s">
        <v>1</v>
      </c>
      <c r="F219" s="191" t="s">
        <v>1541</v>
      </c>
      <c r="H219" s="192">
        <f>-H228</f>
        <v>-55.39</v>
      </c>
      <c r="I219" s="233"/>
      <c r="L219" s="188"/>
      <c r="M219" s="193"/>
      <c r="N219" s="194"/>
      <c r="O219" s="194"/>
      <c r="P219" s="194"/>
      <c r="Q219" s="194"/>
      <c r="R219" s="194"/>
      <c r="S219" s="194"/>
      <c r="T219" s="195"/>
      <c r="AT219" s="190" t="s">
        <v>148</v>
      </c>
      <c r="AU219" s="190" t="s">
        <v>87</v>
      </c>
      <c r="AV219" s="187" t="s">
        <v>87</v>
      </c>
      <c r="AW219" s="187" t="s">
        <v>34</v>
      </c>
      <c r="AX219" s="187" t="s">
        <v>78</v>
      </c>
      <c r="AY219" s="190" t="s">
        <v>139</v>
      </c>
    </row>
    <row r="220" spans="2:51" s="187" customFormat="1" ht="12">
      <c r="B220" s="188"/>
      <c r="D220" s="189" t="s">
        <v>148</v>
      </c>
      <c r="E220" s="190"/>
      <c r="F220" s="191" t="s">
        <v>1540</v>
      </c>
      <c r="H220" s="192">
        <f>-3.14*0.62*0.62*(2.55+2.21+2.37)</f>
        <v>-8.606024080000001</v>
      </c>
      <c r="I220" s="233"/>
      <c r="L220" s="188"/>
      <c r="M220" s="193"/>
      <c r="N220" s="194"/>
      <c r="O220" s="194"/>
      <c r="P220" s="194"/>
      <c r="Q220" s="194"/>
      <c r="R220" s="194"/>
      <c r="S220" s="194"/>
      <c r="T220" s="195"/>
      <c r="AT220" s="190"/>
      <c r="AU220" s="190"/>
      <c r="AY220" s="190"/>
    </row>
    <row r="221" spans="2:51" s="187" customFormat="1" ht="12">
      <c r="B221" s="188"/>
      <c r="D221" s="189" t="s">
        <v>148</v>
      </c>
      <c r="E221" s="190" t="s">
        <v>1</v>
      </c>
      <c r="F221" s="191" t="s">
        <v>1542</v>
      </c>
      <c r="H221" s="192">
        <f>-(33.54+16.75)*3.14*0.178*0.178</f>
        <v>-5.003239450400001</v>
      </c>
      <c r="I221" s="233"/>
      <c r="L221" s="188"/>
      <c r="M221" s="193"/>
      <c r="N221" s="194"/>
      <c r="O221" s="194"/>
      <c r="P221" s="194"/>
      <c r="Q221" s="194"/>
      <c r="R221" s="194"/>
      <c r="S221" s="194"/>
      <c r="T221" s="195"/>
      <c r="AT221" s="190" t="s">
        <v>148</v>
      </c>
      <c r="AU221" s="190" t="s">
        <v>87</v>
      </c>
      <c r="AV221" s="187" t="s">
        <v>87</v>
      </c>
      <c r="AW221" s="187" t="s">
        <v>34</v>
      </c>
      <c r="AX221" s="187" t="s">
        <v>78</v>
      </c>
      <c r="AY221" s="190" t="s">
        <v>139</v>
      </c>
    </row>
    <row r="222" spans="2:51" s="208" customFormat="1" ht="12">
      <c r="B222" s="209"/>
      <c r="D222" s="189" t="s">
        <v>148</v>
      </c>
      <c r="E222" s="210" t="s">
        <v>1</v>
      </c>
      <c r="F222" s="211" t="s">
        <v>159</v>
      </c>
      <c r="H222" s="212">
        <f>SUM(H215:H221)</f>
        <v>161.29373646960002</v>
      </c>
      <c r="I222" s="236"/>
      <c r="L222" s="209"/>
      <c r="M222" s="213"/>
      <c r="N222" s="214"/>
      <c r="O222" s="214"/>
      <c r="P222" s="214"/>
      <c r="Q222" s="214"/>
      <c r="R222" s="214"/>
      <c r="S222" s="214"/>
      <c r="T222" s="215"/>
      <c r="AT222" s="210" t="s">
        <v>148</v>
      </c>
      <c r="AU222" s="210" t="s">
        <v>87</v>
      </c>
      <c r="AV222" s="208" t="s">
        <v>146</v>
      </c>
      <c r="AW222" s="208" t="s">
        <v>34</v>
      </c>
      <c r="AX222" s="208" t="s">
        <v>85</v>
      </c>
      <c r="AY222" s="210" t="s">
        <v>139</v>
      </c>
    </row>
    <row r="223" spans="1:65" s="95" customFormat="1" ht="37.9" customHeight="1">
      <c r="A223" s="93"/>
      <c r="B223" s="92"/>
      <c r="C223" s="217" t="s">
        <v>231</v>
      </c>
      <c r="D223" s="217" t="s">
        <v>251</v>
      </c>
      <c r="E223" s="218" t="s">
        <v>252</v>
      </c>
      <c r="F223" s="219" t="s">
        <v>253</v>
      </c>
      <c r="G223" s="220" t="s">
        <v>254</v>
      </c>
      <c r="H223" s="221">
        <f>H227</f>
        <v>252.46907293920003</v>
      </c>
      <c r="I223" s="70"/>
      <c r="J223" s="222">
        <f>ROUND(I223*H223,2)</f>
        <v>0</v>
      </c>
      <c r="K223" s="219" t="s">
        <v>1</v>
      </c>
      <c r="L223" s="188"/>
      <c r="M223" s="224" t="s">
        <v>1</v>
      </c>
      <c r="N223" s="225" t="s">
        <v>44</v>
      </c>
      <c r="O223" s="183">
        <v>0</v>
      </c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R223" s="185" t="s">
        <v>187</v>
      </c>
      <c r="AT223" s="185" t="s">
        <v>251</v>
      </c>
      <c r="AU223" s="185" t="s">
        <v>87</v>
      </c>
      <c r="AY223" s="83" t="s">
        <v>139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83" t="s">
        <v>85</v>
      </c>
      <c r="BK223" s="186">
        <f>ROUND(I223*H223,2)</f>
        <v>0</v>
      </c>
      <c r="BL223" s="83" t="s">
        <v>146</v>
      </c>
      <c r="BM223" s="185" t="s">
        <v>1031</v>
      </c>
    </row>
    <row r="224" spans="2:51" s="187" customFormat="1" ht="12">
      <c r="B224" s="188"/>
      <c r="D224" s="189" t="s">
        <v>148</v>
      </c>
      <c r="E224" s="190" t="s">
        <v>1</v>
      </c>
      <c r="F224" s="226" t="s">
        <v>1516</v>
      </c>
      <c r="H224" s="192">
        <f>H212</f>
        <v>161.29373646960002</v>
      </c>
      <c r="I224" s="233"/>
      <c r="L224" s="188"/>
      <c r="M224" s="193"/>
      <c r="N224" s="194"/>
      <c r="O224" s="194"/>
      <c r="P224" s="194"/>
      <c r="Q224" s="194"/>
      <c r="R224" s="194"/>
      <c r="S224" s="194"/>
      <c r="T224" s="195"/>
      <c r="AT224" s="190" t="s">
        <v>148</v>
      </c>
      <c r="AU224" s="190" t="s">
        <v>87</v>
      </c>
      <c r="AV224" s="187" t="s">
        <v>87</v>
      </c>
      <c r="AW224" s="187" t="s">
        <v>34</v>
      </c>
      <c r="AX224" s="187" t="s">
        <v>78</v>
      </c>
      <c r="AY224" s="190" t="s">
        <v>139</v>
      </c>
    </row>
    <row r="225" spans="2:51" s="187" customFormat="1" ht="22.5">
      <c r="B225" s="188"/>
      <c r="D225" s="189" t="s">
        <v>148</v>
      </c>
      <c r="E225" s="190" t="s">
        <v>1</v>
      </c>
      <c r="F225" s="226" t="s">
        <v>1543</v>
      </c>
      <c r="H225" s="192">
        <f>-116.864*0.3</f>
        <v>-35.0592</v>
      </c>
      <c r="I225" s="233"/>
      <c r="L225" s="188"/>
      <c r="M225" s="193"/>
      <c r="N225" s="194"/>
      <c r="O225" s="194"/>
      <c r="P225" s="194"/>
      <c r="Q225" s="194"/>
      <c r="R225" s="194"/>
      <c r="S225" s="194"/>
      <c r="T225" s="195"/>
      <c r="AT225" s="190" t="s">
        <v>148</v>
      </c>
      <c r="AU225" s="190" t="s">
        <v>87</v>
      </c>
      <c r="AV225" s="187" t="s">
        <v>87</v>
      </c>
      <c r="AW225" s="187" t="s">
        <v>34</v>
      </c>
      <c r="AX225" s="187" t="s">
        <v>78</v>
      </c>
      <c r="AY225" s="190" t="s">
        <v>139</v>
      </c>
    </row>
    <row r="226" spans="2:51" s="208" customFormat="1" ht="12">
      <c r="B226" s="209"/>
      <c r="D226" s="189" t="s">
        <v>148</v>
      </c>
      <c r="E226" s="210" t="s">
        <v>1</v>
      </c>
      <c r="F226" s="227" t="s">
        <v>159</v>
      </c>
      <c r="H226" s="212">
        <f>SUM(H224:H225)</f>
        <v>126.23453646960002</v>
      </c>
      <c r="I226" s="236"/>
      <c r="L226" s="209"/>
      <c r="M226" s="213"/>
      <c r="N226" s="214"/>
      <c r="O226" s="214"/>
      <c r="P226" s="214"/>
      <c r="Q226" s="214"/>
      <c r="R226" s="214"/>
      <c r="S226" s="214"/>
      <c r="T226" s="215"/>
      <c r="AT226" s="210" t="s">
        <v>148</v>
      </c>
      <c r="AU226" s="210" t="s">
        <v>87</v>
      </c>
      <c r="AV226" s="208" t="s">
        <v>146</v>
      </c>
      <c r="AW226" s="208" t="s">
        <v>34</v>
      </c>
      <c r="AX226" s="208" t="s">
        <v>85</v>
      </c>
      <c r="AY226" s="210" t="s">
        <v>139</v>
      </c>
    </row>
    <row r="227" spans="2:51" s="187" customFormat="1" ht="12">
      <c r="B227" s="188"/>
      <c r="D227" s="189" t="s">
        <v>148</v>
      </c>
      <c r="E227" s="190" t="s">
        <v>1</v>
      </c>
      <c r="F227" s="226" t="s">
        <v>1544</v>
      </c>
      <c r="H227" s="192">
        <f>H226*2</f>
        <v>252.46907293920003</v>
      </c>
      <c r="I227" s="233"/>
      <c r="L227" s="188"/>
      <c r="M227" s="193"/>
      <c r="N227" s="194"/>
      <c r="O227" s="194"/>
      <c r="P227" s="194"/>
      <c r="Q227" s="194"/>
      <c r="R227" s="194"/>
      <c r="S227" s="194"/>
      <c r="T227" s="195"/>
      <c r="AT227" s="190" t="s">
        <v>148</v>
      </c>
      <c r="AU227" s="190" t="s">
        <v>87</v>
      </c>
      <c r="AV227" s="187" t="s">
        <v>87</v>
      </c>
      <c r="AW227" s="187" t="s">
        <v>34</v>
      </c>
      <c r="AX227" s="187" t="s">
        <v>85</v>
      </c>
      <c r="AY227" s="190" t="s">
        <v>139</v>
      </c>
    </row>
    <row r="228" spans="1:65" s="95" customFormat="1" ht="62.65" customHeight="1">
      <c r="A228" s="93"/>
      <c r="B228" s="92"/>
      <c r="C228" s="175" t="s">
        <v>238</v>
      </c>
      <c r="D228" s="175" t="s">
        <v>141</v>
      </c>
      <c r="E228" s="176" t="s">
        <v>258</v>
      </c>
      <c r="F228" s="177" t="s">
        <v>1032</v>
      </c>
      <c r="G228" s="178" t="s">
        <v>194</v>
      </c>
      <c r="H228" s="179">
        <v>55.39</v>
      </c>
      <c r="I228" s="69"/>
      <c r="J228" s="180">
        <f>ROUND(I228*H228,2)</f>
        <v>0</v>
      </c>
      <c r="K228" s="177" t="s">
        <v>967</v>
      </c>
      <c r="L228" s="92"/>
      <c r="M228" s="181" t="s">
        <v>1</v>
      </c>
      <c r="N228" s="182" t="s">
        <v>44</v>
      </c>
      <c r="O228" s="183">
        <v>0.435</v>
      </c>
      <c r="P228" s="183">
        <f>O228*H228</f>
        <v>24.09465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R228" s="185" t="s">
        <v>146</v>
      </c>
      <c r="AT228" s="185" t="s">
        <v>141</v>
      </c>
      <c r="AU228" s="185" t="s">
        <v>87</v>
      </c>
      <c r="AY228" s="83" t="s">
        <v>139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83" t="s">
        <v>85</v>
      </c>
      <c r="BK228" s="186">
        <f>ROUND(I228*H228,2)</f>
        <v>0</v>
      </c>
      <c r="BL228" s="83" t="s">
        <v>146</v>
      </c>
      <c r="BM228" s="185" t="s">
        <v>1033</v>
      </c>
    </row>
    <row r="229" spans="2:51" s="201" customFormat="1" ht="12">
      <c r="B229" s="202"/>
      <c r="D229" s="189" t="s">
        <v>148</v>
      </c>
      <c r="E229" s="203" t="s">
        <v>1</v>
      </c>
      <c r="F229" s="204" t="s">
        <v>307</v>
      </c>
      <c r="H229" s="203" t="s">
        <v>1</v>
      </c>
      <c r="I229" s="235"/>
      <c r="L229" s="202"/>
      <c r="M229" s="205"/>
      <c r="N229" s="206"/>
      <c r="O229" s="206"/>
      <c r="P229" s="206"/>
      <c r="Q229" s="206"/>
      <c r="R229" s="206"/>
      <c r="S229" s="206"/>
      <c r="T229" s="207"/>
      <c r="AT229" s="203" t="s">
        <v>148</v>
      </c>
      <c r="AU229" s="203" t="s">
        <v>87</v>
      </c>
      <c r="AV229" s="201" t="s">
        <v>85</v>
      </c>
      <c r="AW229" s="201" t="s">
        <v>34</v>
      </c>
      <c r="AX229" s="201" t="s">
        <v>78</v>
      </c>
      <c r="AY229" s="203" t="s">
        <v>139</v>
      </c>
    </row>
    <row r="230" spans="2:51" s="201" customFormat="1" ht="12">
      <c r="B230" s="202"/>
      <c r="D230" s="189" t="s">
        <v>148</v>
      </c>
      <c r="E230" s="203" t="s">
        <v>1</v>
      </c>
      <c r="F230" s="204" t="s">
        <v>207</v>
      </c>
      <c r="H230" s="203" t="s">
        <v>1</v>
      </c>
      <c r="I230" s="235"/>
      <c r="L230" s="202"/>
      <c r="M230" s="205"/>
      <c r="N230" s="206"/>
      <c r="O230" s="206"/>
      <c r="P230" s="206"/>
      <c r="Q230" s="206"/>
      <c r="R230" s="206"/>
      <c r="S230" s="206"/>
      <c r="T230" s="207"/>
      <c r="AT230" s="203" t="s">
        <v>148</v>
      </c>
      <c r="AU230" s="203" t="s">
        <v>87</v>
      </c>
      <c r="AV230" s="201" t="s">
        <v>85</v>
      </c>
      <c r="AW230" s="201" t="s">
        <v>34</v>
      </c>
      <c r="AX230" s="201" t="s">
        <v>78</v>
      </c>
      <c r="AY230" s="203" t="s">
        <v>139</v>
      </c>
    </row>
    <row r="231" spans="2:51" s="187" customFormat="1" ht="12">
      <c r="B231" s="188"/>
      <c r="D231" s="189" t="s">
        <v>148</v>
      </c>
      <c r="E231" s="190" t="s">
        <v>1</v>
      </c>
      <c r="F231" s="191" t="s">
        <v>1034</v>
      </c>
      <c r="H231" s="192">
        <v>55.16</v>
      </c>
      <c r="I231" s="233"/>
      <c r="L231" s="188"/>
      <c r="M231" s="193"/>
      <c r="N231" s="194"/>
      <c r="O231" s="194"/>
      <c r="P231" s="194"/>
      <c r="Q231" s="194"/>
      <c r="R231" s="194"/>
      <c r="S231" s="194"/>
      <c r="T231" s="195"/>
      <c r="AT231" s="190" t="s">
        <v>148</v>
      </c>
      <c r="AU231" s="190" t="s">
        <v>87</v>
      </c>
      <c r="AV231" s="187" t="s">
        <v>87</v>
      </c>
      <c r="AW231" s="187" t="s">
        <v>34</v>
      </c>
      <c r="AX231" s="187" t="s">
        <v>78</v>
      </c>
      <c r="AY231" s="190" t="s">
        <v>139</v>
      </c>
    </row>
    <row r="232" spans="2:51" s="187" customFormat="1" ht="12">
      <c r="B232" s="188"/>
      <c r="D232" s="189" t="s">
        <v>148</v>
      </c>
      <c r="E232" s="190" t="s">
        <v>1</v>
      </c>
      <c r="F232" s="191" t="s">
        <v>1035</v>
      </c>
      <c r="H232" s="192">
        <v>-4.88</v>
      </c>
      <c r="I232" s="233"/>
      <c r="L232" s="188"/>
      <c r="M232" s="193"/>
      <c r="N232" s="194"/>
      <c r="O232" s="194"/>
      <c r="P232" s="194"/>
      <c r="Q232" s="194"/>
      <c r="R232" s="194"/>
      <c r="S232" s="194"/>
      <c r="T232" s="195"/>
      <c r="AT232" s="190" t="s">
        <v>148</v>
      </c>
      <c r="AU232" s="190" t="s">
        <v>87</v>
      </c>
      <c r="AV232" s="187" t="s">
        <v>87</v>
      </c>
      <c r="AW232" s="187" t="s">
        <v>34</v>
      </c>
      <c r="AX232" s="187" t="s">
        <v>78</v>
      </c>
      <c r="AY232" s="190" t="s">
        <v>139</v>
      </c>
    </row>
    <row r="233" spans="2:51" s="187" customFormat="1" ht="12">
      <c r="B233" s="188"/>
      <c r="D233" s="189" t="s">
        <v>148</v>
      </c>
      <c r="E233" s="190" t="s">
        <v>1</v>
      </c>
      <c r="F233" s="191" t="s">
        <v>1036</v>
      </c>
      <c r="H233" s="192">
        <v>5.11</v>
      </c>
      <c r="I233" s="233"/>
      <c r="L233" s="188"/>
      <c r="M233" s="193"/>
      <c r="N233" s="194"/>
      <c r="O233" s="194"/>
      <c r="P233" s="194"/>
      <c r="Q233" s="194"/>
      <c r="R233" s="194"/>
      <c r="S233" s="194"/>
      <c r="T233" s="195"/>
      <c r="AT233" s="190" t="s">
        <v>148</v>
      </c>
      <c r="AU233" s="190" t="s">
        <v>87</v>
      </c>
      <c r="AV233" s="187" t="s">
        <v>87</v>
      </c>
      <c r="AW233" s="187" t="s">
        <v>34</v>
      </c>
      <c r="AX233" s="187" t="s">
        <v>78</v>
      </c>
      <c r="AY233" s="190" t="s">
        <v>139</v>
      </c>
    </row>
    <row r="234" spans="2:51" s="208" customFormat="1" ht="12">
      <c r="B234" s="209"/>
      <c r="D234" s="189" t="s">
        <v>148</v>
      </c>
      <c r="E234" s="210" t="s">
        <v>1</v>
      </c>
      <c r="F234" s="211" t="s">
        <v>159</v>
      </c>
      <c r="H234" s="212">
        <v>55.39</v>
      </c>
      <c r="I234" s="236"/>
      <c r="L234" s="209"/>
      <c r="M234" s="213"/>
      <c r="N234" s="214"/>
      <c r="O234" s="214"/>
      <c r="P234" s="214"/>
      <c r="Q234" s="214"/>
      <c r="R234" s="214"/>
      <c r="S234" s="214"/>
      <c r="T234" s="215"/>
      <c r="AT234" s="210" t="s">
        <v>148</v>
      </c>
      <c r="AU234" s="210" t="s">
        <v>87</v>
      </c>
      <c r="AV234" s="208" t="s">
        <v>146</v>
      </c>
      <c r="AW234" s="208" t="s">
        <v>34</v>
      </c>
      <c r="AX234" s="208" t="s">
        <v>85</v>
      </c>
      <c r="AY234" s="210" t="s">
        <v>139</v>
      </c>
    </row>
    <row r="235" spans="1:65" s="95" customFormat="1" ht="14.45" customHeight="1">
      <c r="A235" s="93"/>
      <c r="B235" s="92"/>
      <c r="C235" s="217" t="s">
        <v>245</v>
      </c>
      <c r="D235" s="217" t="s">
        <v>251</v>
      </c>
      <c r="E235" s="218" t="s">
        <v>262</v>
      </c>
      <c r="F235" s="219" t="s">
        <v>263</v>
      </c>
      <c r="G235" s="220" t="s">
        <v>254</v>
      </c>
      <c r="H235" s="221">
        <v>110.78</v>
      </c>
      <c r="I235" s="70"/>
      <c r="J235" s="222">
        <f>ROUND(I235*H235,2)</f>
        <v>0</v>
      </c>
      <c r="K235" s="219" t="s">
        <v>967</v>
      </c>
      <c r="L235" s="223"/>
      <c r="M235" s="224" t="s">
        <v>1</v>
      </c>
      <c r="N235" s="225" t="s">
        <v>44</v>
      </c>
      <c r="O235" s="183">
        <v>0</v>
      </c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R235" s="185" t="s">
        <v>187</v>
      </c>
      <c r="AT235" s="185" t="s">
        <v>251</v>
      </c>
      <c r="AU235" s="185" t="s">
        <v>87</v>
      </c>
      <c r="AY235" s="83" t="s">
        <v>139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83" t="s">
        <v>85</v>
      </c>
      <c r="BK235" s="186">
        <f>ROUND(I235*H235,2)</f>
        <v>0</v>
      </c>
      <c r="BL235" s="83" t="s">
        <v>146</v>
      </c>
      <c r="BM235" s="185" t="s">
        <v>1037</v>
      </c>
    </row>
    <row r="236" spans="1:47" s="95" customFormat="1" ht="19.5">
      <c r="A236" s="93"/>
      <c r="B236" s="92"/>
      <c r="C236" s="93"/>
      <c r="D236" s="189" t="s">
        <v>153</v>
      </c>
      <c r="E236" s="93"/>
      <c r="F236" s="196" t="s">
        <v>256</v>
      </c>
      <c r="G236" s="93"/>
      <c r="H236" s="93"/>
      <c r="I236" s="234"/>
      <c r="J236" s="93"/>
      <c r="K236" s="93"/>
      <c r="L236" s="92"/>
      <c r="M236" s="197"/>
      <c r="N236" s="198"/>
      <c r="O236" s="199"/>
      <c r="P236" s="199"/>
      <c r="Q236" s="199"/>
      <c r="R236" s="199"/>
      <c r="S236" s="199"/>
      <c r="T236" s="200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T236" s="83" t="s">
        <v>153</v>
      </c>
      <c r="AU236" s="83" t="s">
        <v>87</v>
      </c>
    </row>
    <row r="237" spans="2:51" s="187" customFormat="1" ht="12">
      <c r="B237" s="188"/>
      <c r="D237" s="189" t="s">
        <v>148</v>
      </c>
      <c r="F237" s="191" t="s">
        <v>1038</v>
      </c>
      <c r="H237" s="192">
        <v>110.78</v>
      </c>
      <c r="I237" s="233"/>
      <c r="L237" s="188"/>
      <c r="M237" s="193"/>
      <c r="N237" s="194"/>
      <c r="O237" s="194"/>
      <c r="P237" s="194"/>
      <c r="Q237" s="194"/>
      <c r="R237" s="194"/>
      <c r="S237" s="194"/>
      <c r="T237" s="195"/>
      <c r="AT237" s="190" t="s">
        <v>148</v>
      </c>
      <c r="AU237" s="190" t="s">
        <v>87</v>
      </c>
      <c r="AV237" s="187" t="s">
        <v>87</v>
      </c>
      <c r="AW237" s="187" t="s">
        <v>3</v>
      </c>
      <c r="AX237" s="187" t="s">
        <v>85</v>
      </c>
      <c r="AY237" s="190" t="s">
        <v>139</v>
      </c>
    </row>
    <row r="238" spans="2:63" s="162" customFormat="1" ht="22.9" customHeight="1">
      <c r="B238" s="163"/>
      <c r="D238" s="164" t="s">
        <v>77</v>
      </c>
      <c r="E238" s="173" t="s">
        <v>160</v>
      </c>
      <c r="F238" s="173" t="s">
        <v>1039</v>
      </c>
      <c r="I238" s="237"/>
      <c r="J238" s="174">
        <f>SUM(J239:J243)</f>
        <v>0</v>
      </c>
      <c r="L238" s="163"/>
      <c r="M238" s="167"/>
      <c r="N238" s="168"/>
      <c r="O238" s="168"/>
      <c r="P238" s="169">
        <f>SUM(P239:P243)</f>
        <v>12.612824000000003</v>
      </c>
      <c r="Q238" s="168"/>
      <c r="R238" s="169">
        <f>SUM(R239:R243)</f>
        <v>0</v>
      </c>
      <c r="S238" s="168"/>
      <c r="T238" s="170">
        <f>SUM(T239:T243)</f>
        <v>0</v>
      </c>
      <c r="AR238" s="164" t="s">
        <v>85</v>
      </c>
      <c r="AT238" s="171" t="s">
        <v>77</v>
      </c>
      <c r="AU238" s="171" t="s">
        <v>85</v>
      </c>
      <c r="AY238" s="164" t="s">
        <v>139</v>
      </c>
      <c r="BK238" s="172">
        <f>SUM(BK239:BK243)</f>
        <v>0</v>
      </c>
    </row>
    <row r="239" spans="1:65" s="95" customFormat="1" ht="37.9" customHeight="1">
      <c r="A239" s="93"/>
      <c r="B239" s="92"/>
      <c r="C239" s="175" t="s">
        <v>250</v>
      </c>
      <c r="D239" s="175" t="s">
        <v>141</v>
      </c>
      <c r="E239" s="176" t="s">
        <v>1040</v>
      </c>
      <c r="F239" s="177" t="s">
        <v>1041</v>
      </c>
      <c r="G239" s="178" t="s">
        <v>194</v>
      </c>
      <c r="H239" s="179">
        <v>0.021</v>
      </c>
      <c r="I239" s="69"/>
      <c r="J239" s="180">
        <f>ROUND(I239*H239,2)</f>
        <v>0</v>
      </c>
      <c r="K239" s="177" t="s">
        <v>967</v>
      </c>
      <c r="L239" s="92"/>
      <c r="M239" s="181" t="s">
        <v>1</v>
      </c>
      <c r="N239" s="182" t="s">
        <v>44</v>
      </c>
      <c r="O239" s="183">
        <v>1.624</v>
      </c>
      <c r="P239" s="183">
        <f>O239*H239</f>
        <v>0.034104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R239" s="185" t="s">
        <v>146</v>
      </c>
      <c r="AT239" s="185" t="s">
        <v>141</v>
      </c>
      <c r="AU239" s="185" t="s">
        <v>87</v>
      </c>
      <c r="AY239" s="83" t="s">
        <v>139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83" t="s">
        <v>85</v>
      </c>
      <c r="BK239" s="186">
        <f>ROUND(I239*H239,2)</f>
        <v>0</v>
      </c>
      <c r="BL239" s="83" t="s">
        <v>146</v>
      </c>
      <c r="BM239" s="185" t="s">
        <v>1042</v>
      </c>
    </row>
    <row r="240" spans="2:51" s="201" customFormat="1" ht="12">
      <c r="B240" s="202"/>
      <c r="D240" s="189" t="s">
        <v>148</v>
      </c>
      <c r="E240" s="203" t="s">
        <v>1</v>
      </c>
      <c r="F240" s="204" t="s">
        <v>1043</v>
      </c>
      <c r="H240" s="203" t="s">
        <v>1</v>
      </c>
      <c r="I240" s="235"/>
      <c r="L240" s="202"/>
      <c r="M240" s="205"/>
      <c r="N240" s="206"/>
      <c r="O240" s="206"/>
      <c r="P240" s="206"/>
      <c r="Q240" s="206"/>
      <c r="R240" s="206"/>
      <c r="S240" s="206"/>
      <c r="T240" s="207"/>
      <c r="AT240" s="203" t="s">
        <v>148</v>
      </c>
      <c r="AU240" s="203" t="s">
        <v>87</v>
      </c>
      <c r="AV240" s="201" t="s">
        <v>85</v>
      </c>
      <c r="AW240" s="201" t="s">
        <v>34</v>
      </c>
      <c r="AX240" s="201" t="s">
        <v>78</v>
      </c>
      <c r="AY240" s="203" t="s">
        <v>139</v>
      </c>
    </row>
    <row r="241" spans="2:51" s="187" customFormat="1" ht="12">
      <c r="B241" s="188"/>
      <c r="D241" s="189" t="s">
        <v>148</v>
      </c>
      <c r="E241" s="190" t="s">
        <v>1</v>
      </c>
      <c r="F241" s="191" t="s">
        <v>1044</v>
      </c>
      <c r="H241" s="192">
        <v>0.021</v>
      </c>
      <c r="I241" s="233"/>
      <c r="L241" s="188"/>
      <c r="M241" s="193"/>
      <c r="N241" s="194"/>
      <c r="O241" s="194"/>
      <c r="P241" s="194"/>
      <c r="Q241" s="194"/>
      <c r="R241" s="194"/>
      <c r="S241" s="194"/>
      <c r="T241" s="195"/>
      <c r="AT241" s="190" t="s">
        <v>148</v>
      </c>
      <c r="AU241" s="190" t="s">
        <v>87</v>
      </c>
      <c r="AV241" s="187" t="s">
        <v>87</v>
      </c>
      <c r="AW241" s="187" t="s">
        <v>34</v>
      </c>
      <c r="AX241" s="187" t="s">
        <v>85</v>
      </c>
      <c r="AY241" s="190" t="s">
        <v>139</v>
      </c>
    </row>
    <row r="242" spans="1:65" s="95" customFormat="1" ht="14.45" customHeight="1">
      <c r="A242" s="93"/>
      <c r="B242" s="92"/>
      <c r="C242" s="175" t="s">
        <v>257</v>
      </c>
      <c r="D242" s="175" t="s">
        <v>141</v>
      </c>
      <c r="E242" s="176" t="s">
        <v>1045</v>
      </c>
      <c r="F242" s="177" t="s">
        <v>1046</v>
      </c>
      <c r="G242" s="178" t="s">
        <v>171</v>
      </c>
      <c r="H242" s="179">
        <v>81.68</v>
      </c>
      <c r="I242" s="69"/>
      <c r="J242" s="180">
        <f>ROUND(I242*H242,2)</f>
        <v>0</v>
      </c>
      <c r="K242" s="177" t="s">
        <v>967</v>
      </c>
      <c r="L242" s="92"/>
      <c r="M242" s="181" t="s">
        <v>1</v>
      </c>
      <c r="N242" s="182" t="s">
        <v>44</v>
      </c>
      <c r="O242" s="183">
        <v>0.069</v>
      </c>
      <c r="P242" s="183">
        <f>O242*H242</f>
        <v>5.635920000000001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R242" s="185" t="s">
        <v>146</v>
      </c>
      <c r="AT242" s="185" t="s">
        <v>141</v>
      </c>
      <c r="AU242" s="185" t="s">
        <v>87</v>
      </c>
      <c r="AY242" s="83" t="s">
        <v>139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83" t="s">
        <v>85</v>
      </c>
      <c r="BK242" s="186">
        <f>ROUND(I242*H242,2)</f>
        <v>0</v>
      </c>
      <c r="BL242" s="83" t="s">
        <v>146</v>
      </c>
      <c r="BM242" s="185" t="s">
        <v>1047</v>
      </c>
    </row>
    <row r="243" spans="1:65" s="95" customFormat="1" ht="24.2" customHeight="1">
      <c r="A243" s="93"/>
      <c r="B243" s="92"/>
      <c r="C243" s="175" t="s">
        <v>7</v>
      </c>
      <c r="D243" s="175" t="s">
        <v>141</v>
      </c>
      <c r="E243" s="176" t="s">
        <v>1048</v>
      </c>
      <c r="F243" s="177" t="s">
        <v>1553</v>
      </c>
      <c r="G243" s="178" t="s">
        <v>171</v>
      </c>
      <c r="H243" s="179">
        <v>81.68</v>
      </c>
      <c r="I243" s="69"/>
      <c r="J243" s="180">
        <f>ROUND(I243*H243,2)</f>
        <v>0</v>
      </c>
      <c r="K243" s="177" t="s">
        <v>967</v>
      </c>
      <c r="L243" s="92"/>
      <c r="M243" s="181" t="s">
        <v>1</v>
      </c>
      <c r="N243" s="182" t="s">
        <v>44</v>
      </c>
      <c r="O243" s="183">
        <v>0.085</v>
      </c>
      <c r="P243" s="183">
        <f>O243*H243</f>
        <v>6.942800000000001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R243" s="185" t="s">
        <v>146</v>
      </c>
      <c r="AT243" s="185" t="s">
        <v>141</v>
      </c>
      <c r="AU243" s="185" t="s">
        <v>87</v>
      </c>
      <c r="AY243" s="83" t="s">
        <v>139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83" t="s">
        <v>85</v>
      </c>
      <c r="BK243" s="186">
        <f>ROUND(I243*H243,2)</f>
        <v>0</v>
      </c>
      <c r="BL243" s="83" t="s">
        <v>146</v>
      </c>
      <c r="BM243" s="185" t="s">
        <v>1049</v>
      </c>
    </row>
    <row r="244" spans="2:63" s="162" customFormat="1" ht="22.9" customHeight="1">
      <c r="B244" s="163"/>
      <c r="D244" s="164" t="s">
        <v>77</v>
      </c>
      <c r="E244" s="173" t="s">
        <v>146</v>
      </c>
      <c r="F244" s="173" t="s">
        <v>288</v>
      </c>
      <c r="I244" s="237"/>
      <c r="J244" s="174">
        <f>SUM(J245:J266)</f>
        <v>0</v>
      </c>
      <c r="L244" s="163"/>
      <c r="M244" s="167"/>
      <c r="N244" s="168"/>
      <c r="O244" s="168"/>
      <c r="P244" s="169">
        <f>SUM(P245:P268)</f>
        <v>27.471405000000004</v>
      </c>
      <c r="Q244" s="168"/>
      <c r="R244" s="169">
        <f>SUM(R245:R268)</f>
        <v>0.48840000000000006</v>
      </c>
      <c r="S244" s="168"/>
      <c r="T244" s="170">
        <f>SUM(T245:T268)</f>
        <v>0</v>
      </c>
      <c r="AR244" s="164" t="s">
        <v>85</v>
      </c>
      <c r="AT244" s="171" t="s">
        <v>77</v>
      </c>
      <c r="AU244" s="171" t="s">
        <v>85</v>
      </c>
      <c r="AY244" s="164" t="s">
        <v>139</v>
      </c>
      <c r="BK244" s="172">
        <f>SUM(BK245:BK268)</f>
        <v>0</v>
      </c>
    </row>
    <row r="245" spans="1:65" s="95" customFormat="1" ht="24.2" customHeight="1">
      <c r="A245" s="93"/>
      <c r="B245" s="92"/>
      <c r="C245" s="175" t="s">
        <v>266</v>
      </c>
      <c r="D245" s="175" t="s">
        <v>141</v>
      </c>
      <c r="E245" s="176" t="s">
        <v>290</v>
      </c>
      <c r="F245" s="177" t="s">
        <v>291</v>
      </c>
      <c r="G245" s="178" t="s">
        <v>194</v>
      </c>
      <c r="H245" s="179">
        <v>1.57</v>
      </c>
      <c r="I245" s="69"/>
      <c r="J245" s="180">
        <f>ROUND(I245*H245,2)</f>
        <v>0</v>
      </c>
      <c r="K245" s="177" t="s">
        <v>967</v>
      </c>
      <c r="L245" s="92"/>
      <c r="M245" s="181" t="s">
        <v>1</v>
      </c>
      <c r="N245" s="182" t="s">
        <v>44</v>
      </c>
      <c r="O245" s="183">
        <v>1.695</v>
      </c>
      <c r="P245" s="183">
        <f>O245*H245</f>
        <v>2.66115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R245" s="185" t="s">
        <v>146</v>
      </c>
      <c r="AT245" s="185" t="s">
        <v>141</v>
      </c>
      <c r="AU245" s="185" t="s">
        <v>87</v>
      </c>
      <c r="AY245" s="83" t="s">
        <v>139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83" t="s">
        <v>85</v>
      </c>
      <c r="BK245" s="186">
        <f>ROUND(I245*H245,2)</f>
        <v>0</v>
      </c>
      <c r="BL245" s="83" t="s">
        <v>146</v>
      </c>
      <c r="BM245" s="185" t="s">
        <v>1050</v>
      </c>
    </row>
    <row r="246" spans="2:51" s="201" customFormat="1" ht="12">
      <c r="B246" s="202"/>
      <c r="D246" s="189" t="s">
        <v>148</v>
      </c>
      <c r="E246" s="203" t="s">
        <v>1</v>
      </c>
      <c r="F246" s="204" t="s">
        <v>307</v>
      </c>
      <c r="H246" s="203" t="s">
        <v>1</v>
      </c>
      <c r="I246" s="235"/>
      <c r="L246" s="202"/>
      <c r="M246" s="205"/>
      <c r="N246" s="206"/>
      <c r="O246" s="206"/>
      <c r="P246" s="206"/>
      <c r="Q246" s="206"/>
      <c r="R246" s="206"/>
      <c r="S246" s="206"/>
      <c r="T246" s="207"/>
      <c r="AT246" s="203" t="s">
        <v>148</v>
      </c>
      <c r="AU246" s="203" t="s">
        <v>87</v>
      </c>
      <c r="AV246" s="201" t="s">
        <v>85</v>
      </c>
      <c r="AW246" s="201" t="s">
        <v>34</v>
      </c>
      <c r="AX246" s="201" t="s">
        <v>78</v>
      </c>
      <c r="AY246" s="203" t="s">
        <v>139</v>
      </c>
    </row>
    <row r="247" spans="2:51" s="201" customFormat="1" ht="12">
      <c r="B247" s="202"/>
      <c r="D247" s="189" t="s">
        <v>148</v>
      </c>
      <c r="E247" s="203" t="s">
        <v>1</v>
      </c>
      <c r="F247" s="204" t="s">
        <v>1051</v>
      </c>
      <c r="H247" s="203" t="s">
        <v>1</v>
      </c>
      <c r="I247" s="235"/>
      <c r="L247" s="202"/>
      <c r="M247" s="205"/>
      <c r="N247" s="206"/>
      <c r="O247" s="206"/>
      <c r="P247" s="206"/>
      <c r="Q247" s="206"/>
      <c r="R247" s="206"/>
      <c r="S247" s="206"/>
      <c r="T247" s="207"/>
      <c r="AT247" s="203" t="s">
        <v>148</v>
      </c>
      <c r="AU247" s="203" t="s">
        <v>87</v>
      </c>
      <c r="AV247" s="201" t="s">
        <v>85</v>
      </c>
      <c r="AW247" s="201" t="s">
        <v>34</v>
      </c>
      <c r="AX247" s="201" t="s">
        <v>78</v>
      </c>
      <c r="AY247" s="203" t="s">
        <v>139</v>
      </c>
    </row>
    <row r="248" spans="2:51" s="187" customFormat="1" ht="12">
      <c r="B248" s="188"/>
      <c r="D248" s="189" t="s">
        <v>148</v>
      </c>
      <c r="E248" s="190" t="s">
        <v>1</v>
      </c>
      <c r="F248" s="191" t="s">
        <v>1052</v>
      </c>
      <c r="H248" s="192">
        <v>0.45</v>
      </c>
      <c r="I248" s="233"/>
      <c r="L248" s="188"/>
      <c r="M248" s="193"/>
      <c r="N248" s="194"/>
      <c r="O248" s="194"/>
      <c r="P248" s="194"/>
      <c r="Q248" s="194"/>
      <c r="R248" s="194"/>
      <c r="S248" s="194"/>
      <c r="T248" s="195"/>
      <c r="AT248" s="190" t="s">
        <v>148</v>
      </c>
      <c r="AU248" s="190" t="s">
        <v>87</v>
      </c>
      <c r="AV248" s="187" t="s">
        <v>87</v>
      </c>
      <c r="AW248" s="187" t="s">
        <v>34</v>
      </c>
      <c r="AX248" s="187" t="s">
        <v>78</v>
      </c>
      <c r="AY248" s="190" t="s">
        <v>139</v>
      </c>
    </row>
    <row r="249" spans="2:51" s="187" customFormat="1" ht="12">
      <c r="B249" s="188"/>
      <c r="D249" s="189" t="s">
        <v>148</v>
      </c>
      <c r="E249" s="190" t="s">
        <v>1</v>
      </c>
      <c r="F249" s="191" t="s">
        <v>1053</v>
      </c>
      <c r="H249" s="192">
        <v>1.12</v>
      </c>
      <c r="I249" s="233"/>
      <c r="L249" s="188"/>
      <c r="M249" s="193"/>
      <c r="N249" s="194"/>
      <c r="O249" s="194"/>
      <c r="P249" s="194"/>
      <c r="Q249" s="194"/>
      <c r="R249" s="194"/>
      <c r="S249" s="194"/>
      <c r="T249" s="195"/>
      <c r="AT249" s="190" t="s">
        <v>148</v>
      </c>
      <c r="AU249" s="190" t="s">
        <v>87</v>
      </c>
      <c r="AV249" s="187" t="s">
        <v>87</v>
      </c>
      <c r="AW249" s="187" t="s">
        <v>34</v>
      </c>
      <c r="AX249" s="187" t="s">
        <v>78</v>
      </c>
      <c r="AY249" s="190" t="s">
        <v>139</v>
      </c>
    </row>
    <row r="250" spans="2:51" s="208" customFormat="1" ht="12">
      <c r="B250" s="209"/>
      <c r="D250" s="189" t="s">
        <v>148</v>
      </c>
      <c r="E250" s="210" t="s">
        <v>1</v>
      </c>
      <c r="F250" s="211" t="s">
        <v>159</v>
      </c>
      <c r="H250" s="212">
        <v>1.57</v>
      </c>
      <c r="I250" s="236"/>
      <c r="L250" s="209"/>
      <c r="M250" s="213"/>
      <c r="N250" s="214"/>
      <c r="O250" s="214"/>
      <c r="P250" s="214"/>
      <c r="Q250" s="214"/>
      <c r="R250" s="214"/>
      <c r="S250" s="214"/>
      <c r="T250" s="215"/>
      <c r="AT250" s="210" t="s">
        <v>148</v>
      </c>
      <c r="AU250" s="210" t="s">
        <v>87</v>
      </c>
      <c r="AV250" s="208" t="s">
        <v>146</v>
      </c>
      <c r="AW250" s="208" t="s">
        <v>34</v>
      </c>
      <c r="AX250" s="208" t="s">
        <v>85</v>
      </c>
      <c r="AY250" s="210" t="s">
        <v>139</v>
      </c>
    </row>
    <row r="251" spans="1:65" s="95" customFormat="1" ht="24.2" customHeight="1">
      <c r="A251" s="93"/>
      <c r="B251" s="92"/>
      <c r="C251" s="175" t="s">
        <v>271</v>
      </c>
      <c r="D251" s="175" t="s">
        <v>141</v>
      </c>
      <c r="E251" s="176" t="s">
        <v>847</v>
      </c>
      <c r="F251" s="177" t="s">
        <v>848</v>
      </c>
      <c r="G251" s="178" t="s">
        <v>297</v>
      </c>
      <c r="H251" s="179">
        <v>9</v>
      </c>
      <c r="I251" s="69"/>
      <c r="J251" s="180">
        <f>ROUND(I251*H251,2)</f>
        <v>0</v>
      </c>
      <c r="K251" s="177" t="s">
        <v>967</v>
      </c>
      <c r="L251" s="92"/>
      <c r="M251" s="181" t="s">
        <v>1</v>
      </c>
      <c r="N251" s="182" t="s">
        <v>44</v>
      </c>
      <c r="O251" s="183">
        <v>0.28</v>
      </c>
      <c r="P251" s="183">
        <f>O251*H251</f>
        <v>2.5200000000000005</v>
      </c>
      <c r="Q251" s="183">
        <v>0.0066</v>
      </c>
      <c r="R251" s="183">
        <f>Q251*H251</f>
        <v>0.0594</v>
      </c>
      <c r="S251" s="183">
        <v>0</v>
      </c>
      <c r="T251" s="184">
        <f>S251*H251</f>
        <v>0</v>
      </c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R251" s="185" t="s">
        <v>146</v>
      </c>
      <c r="AT251" s="185" t="s">
        <v>141</v>
      </c>
      <c r="AU251" s="185" t="s">
        <v>87</v>
      </c>
      <c r="AY251" s="83" t="s">
        <v>139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83" t="s">
        <v>85</v>
      </c>
      <c r="BK251" s="186">
        <f>ROUND(I251*H251,2)</f>
        <v>0</v>
      </c>
      <c r="BL251" s="83" t="s">
        <v>146</v>
      </c>
      <c r="BM251" s="185" t="s">
        <v>1054</v>
      </c>
    </row>
    <row r="252" spans="2:51" s="201" customFormat="1" ht="12">
      <c r="B252" s="202"/>
      <c r="D252" s="189" t="s">
        <v>148</v>
      </c>
      <c r="E252" s="203" t="s">
        <v>1</v>
      </c>
      <c r="F252" s="204" t="s">
        <v>1055</v>
      </c>
      <c r="H252" s="203" t="s">
        <v>1</v>
      </c>
      <c r="I252" s="235"/>
      <c r="L252" s="202"/>
      <c r="M252" s="205"/>
      <c r="N252" s="206"/>
      <c r="O252" s="206"/>
      <c r="P252" s="206"/>
      <c r="Q252" s="206"/>
      <c r="R252" s="206"/>
      <c r="S252" s="206"/>
      <c r="T252" s="207"/>
      <c r="AT252" s="203" t="s">
        <v>148</v>
      </c>
      <c r="AU252" s="203" t="s">
        <v>87</v>
      </c>
      <c r="AV252" s="201" t="s">
        <v>85</v>
      </c>
      <c r="AW252" s="201" t="s">
        <v>34</v>
      </c>
      <c r="AX252" s="201" t="s">
        <v>78</v>
      </c>
      <c r="AY252" s="203" t="s">
        <v>139</v>
      </c>
    </row>
    <row r="253" spans="2:51" s="187" customFormat="1" ht="12">
      <c r="B253" s="188"/>
      <c r="D253" s="189" t="s">
        <v>148</v>
      </c>
      <c r="E253" s="190" t="s">
        <v>1</v>
      </c>
      <c r="F253" s="191" t="s">
        <v>1056</v>
      </c>
      <c r="H253" s="192">
        <v>9</v>
      </c>
      <c r="I253" s="233"/>
      <c r="L253" s="188"/>
      <c r="M253" s="193"/>
      <c r="N253" s="194"/>
      <c r="O253" s="194"/>
      <c r="P253" s="194"/>
      <c r="Q253" s="194"/>
      <c r="R253" s="194"/>
      <c r="S253" s="194"/>
      <c r="T253" s="195"/>
      <c r="AT253" s="190" t="s">
        <v>148</v>
      </c>
      <c r="AU253" s="190" t="s">
        <v>87</v>
      </c>
      <c r="AV253" s="187" t="s">
        <v>87</v>
      </c>
      <c r="AW253" s="187" t="s">
        <v>34</v>
      </c>
      <c r="AX253" s="187" t="s">
        <v>85</v>
      </c>
      <c r="AY253" s="190" t="s">
        <v>139</v>
      </c>
    </row>
    <row r="254" spans="1:65" s="95" customFormat="1" ht="24.2" customHeight="1">
      <c r="A254" s="93"/>
      <c r="B254" s="92"/>
      <c r="C254" s="217" t="s">
        <v>276</v>
      </c>
      <c r="D254" s="217" t="s">
        <v>251</v>
      </c>
      <c r="E254" s="218" t="s">
        <v>1057</v>
      </c>
      <c r="F254" s="219" t="s">
        <v>1058</v>
      </c>
      <c r="G254" s="220" t="s">
        <v>297</v>
      </c>
      <c r="H254" s="221">
        <v>6</v>
      </c>
      <c r="I254" s="70"/>
      <c r="J254" s="222">
        <f>ROUND(I254*H254,2)</f>
        <v>0</v>
      </c>
      <c r="K254" s="219" t="s">
        <v>967</v>
      </c>
      <c r="L254" s="223"/>
      <c r="M254" s="224" t="s">
        <v>1</v>
      </c>
      <c r="N254" s="225" t="s">
        <v>44</v>
      </c>
      <c r="O254" s="183">
        <v>0</v>
      </c>
      <c r="P254" s="183">
        <f>O254*H254</f>
        <v>0</v>
      </c>
      <c r="Q254" s="183">
        <v>0.044</v>
      </c>
      <c r="R254" s="183">
        <f>Q254*H254</f>
        <v>0.264</v>
      </c>
      <c r="S254" s="183">
        <v>0</v>
      </c>
      <c r="T254" s="184">
        <f>S254*H254</f>
        <v>0</v>
      </c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R254" s="185" t="s">
        <v>187</v>
      </c>
      <c r="AT254" s="185" t="s">
        <v>251</v>
      </c>
      <c r="AU254" s="185" t="s">
        <v>87</v>
      </c>
      <c r="AY254" s="83" t="s">
        <v>139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83" t="s">
        <v>85</v>
      </c>
      <c r="BK254" s="186">
        <f>ROUND(I254*H254,2)</f>
        <v>0</v>
      </c>
      <c r="BL254" s="83" t="s">
        <v>146</v>
      </c>
      <c r="BM254" s="185" t="s">
        <v>1059</v>
      </c>
    </row>
    <row r="255" spans="1:65" s="95" customFormat="1" ht="24.2" customHeight="1">
      <c r="A255" s="93"/>
      <c r="B255" s="92"/>
      <c r="C255" s="217" t="s">
        <v>282</v>
      </c>
      <c r="D255" s="217" t="s">
        <v>251</v>
      </c>
      <c r="E255" s="218" t="s">
        <v>1060</v>
      </c>
      <c r="F255" s="219" t="s">
        <v>1061</v>
      </c>
      <c r="G255" s="220" t="s">
        <v>297</v>
      </c>
      <c r="H255" s="221">
        <v>3</v>
      </c>
      <c r="I255" s="70"/>
      <c r="J255" s="222">
        <f>ROUND(I255*H255,2)</f>
        <v>0</v>
      </c>
      <c r="K255" s="219" t="s">
        <v>967</v>
      </c>
      <c r="L255" s="223"/>
      <c r="M255" s="224" t="s">
        <v>1</v>
      </c>
      <c r="N255" s="225" t="s">
        <v>44</v>
      </c>
      <c r="O255" s="183">
        <v>0</v>
      </c>
      <c r="P255" s="183">
        <f>O255*H255</f>
        <v>0</v>
      </c>
      <c r="Q255" s="183">
        <v>0.055</v>
      </c>
      <c r="R255" s="183">
        <f>Q255*H255</f>
        <v>0.165</v>
      </c>
      <c r="S255" s="183">
        <v>0</v>
      </c>
      <c r="T255" s="184">
        <f>S255*H255</f>
        <v>0</v>
      </c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R255" s="185" t="s">
        <v>187</v>
      </c>
      <c r="AT255" s="185" t="s">
        <v>251</v>
      </c>
      <c r="AU255" s="185" t="s">
        <v>87</v>
      </c>
      <c r="AY255" s="83" t="s">
        <v>139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83" t="s">
        <v>85</v>
      </c>
      <c r="BK255" s="186">
        <f>ROUND(I255*H255,2)</f>
        <v>0</v>
      </c>
      <c r="BL255" s="83" t="s">
        <v>146</v>
      </c>
      <c r="BM255" s="185" t="s">
        <v>1062</v>
      </c>
    </row>
    <row r="256" spans="1:65" s="95" customFormat="1" ht="37.9" customHeight="1">
      <c r="A256" s="93"/>
      <c r="B256" s="92"/>
      <c r="C256" s="175" t="s">
        <v>289</v>
      </c>
      <c r="D256" s="175" t="s">
        <v>141</v>
      </c>
      <c r="E256" s="176" t="s">
        <v>849</v>
      </c>
      <c r="F256" s="177" t="s">
        <v>850</v>
      </c>
      <c r="G256" s="178" t="s">
        <v>194</v>
      </c>
      <c r="H256" s="179">
        <v>10.615</v>
      </c>
      <c r="I256" s="69"/>
      <c r="J256" s="180">
        <f>ROUND(I256*H256,2)</f>
        <v>0</v>
      </c>
      <c r="K256" s="177" t="s">
        <v>967</v>
      </c>
      <c r="L256" s="92"/>
      <c r="M256" s="181" t="s">
        <v>1</v>
      </c>
      <c r="N256" s="182" t="s">
        <v>44</v>
      </c>
      <c r="O256" s="183">
        <v>1.465</v>
      </c>
      <c r="P256" s="183">
        <f>O256*H256</f>
        <v>15.550975000000001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R256" s="185" t="s">
        <v>146</v>
      </c>
      <c r="AT256" s="185" t="s">
        <v>141</v>
      </c>
      <c r="AU256" s="185" t="s">
        <v>87</v>
      </c>
      <c r="AY256" s="83" t="s">
        <v>139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83" t="s">
        <v>85</v>
      </c>
      <c r="BK256" s="186">
        <f>ROUND(I256*H256,2)</f>
        <v>0</v>
      </c>
      <c r="BL256" s="83" t="s">
        <v>146</v>
      </c>
      <c r="BM256" s="185" t="s">
        <v>1063</v>
      </c>
    </row>
    <row r="257" spans="2:51" s="201" customFormat="1" ht="12">
      <c r="B257" s="202"/>
      <c r="D257" s="189" t="s">
        <v>148</v>
      </c>
      <c r="E257" s="203" t="s">
        <v>1</v>
      </c>
      <c r="F257" s="204" t="s">
        <v>280</v>
      </c>
      <c r="H257" s="203" t="s">
        <v>1</v>
      </c>
      <c r="I257" s="235"/>
      <c r="L257" s="202"/>
      <c r="M257" s="205"/>
      <c r="N257" s="206"/>
      <c r="O257" s="206"/>
      <c r="P257" s="206"/>
      <c r="Q257" s="206"/>
      <c r="R257" s="206"/>
      <c r="S257" s="206"/>
      <c r="T257" s="207"/>
      <c r="AT257" s="203" t="s">
        <v>148</v>
      </c>
      <c r="AU257" s="203" t="s">
        <v>87</v>
      </c>
      <c r="AV257" s="201" t="s">
        <v>85</v>
      </c>
      <c r="AW257" s="201" t="s">
        <v>34</v>
      </c>
      <c r="AX257" s="201" t="s">
        <v>78</v>
      </c>
      <c r="AY257" s="203" t="s">
        <v>139</v>
      </c>
    </row>
    <row r="258" spans="2:51" s="201" customFormat="1" ht="12">
      <c r="B258" s="202"/>
      <c r="D258" s="189" t="s">
        <v>148</v>
      </c>
      <c r="E258" s="203" t="s">
        <v>1</v>
      </c>
      <c r="F258" s="204" t="s">
        <v>207</v>
      </c>
      <c r="H258" s="203" t="s">
        <v>1</v>
      </c>
      <c r="I258" s="235"/>
      <c r="L258" s="202"/>
      <c r="M258" s="205"/>
      <c r="N258" s="206"/>
      <c r="O258" s="206"/>
      <c r="P258" s="206"/>
      <c r="Q258" s="206"/>
      <c r="R258" s="206"/>
      <c r="S258" s="206"/>
      <c r="T258" s="207"/>
      <c r="AT258" s="203" t="s">
        <v>148</v>
      </c>
      <c r="AU258" s="203" t="s">
        <v>87</v>
      </c>
      <c r="AV258" s="201" t="s">
        <v>85</v>
      </c>
      <c r="AW258" s="201" t="s">
        <v>34</v>
      </c>
      <c r="AX258" s="201" t="s">
        <v>78</v>
      </c>
      <c r="AY258" s="203" t="s">
        <v>139</v>
      </c>
    </row>
    <row r="259" spans="2:51" s="187" customFormat="1" ht="12">
      <c r="B259" s="188"/>
      <c r="D259" s="189" t="s">
        <v>148</v>
      </c>
      <c r="E259" s="190" t="s">
        <v>1</v>
      </c>
      <c r="F259" s="191" t="s">
        <v>1064</v>
      </c>
      <c r="H259" s="192">
        <v>9.82</v>
      </c>
      <c r="I259" s="233"/>
      <c r="L259" s="188"/>
      <c r="M259" s="193"/>
      <c r="N259" s="194"/>
      <c r="O259" s="194"/>
      <c r="P259" s="194"/>
      <c r="Q259" s="194"/>
      <c r="R259" s="194"/>
      <c r="S259" s="194"/>
      <c r="T259" s="195"/>
      <c r="AT259" s="190" t="s">
        <v>148</v>
      </c>
      <c r="AU259" s="190" t="s">
        <v>87</v>
      </c>
      <c r="AV259" s="187" t="s">
        <v>87</v>
      </c>
      <c r="AW259" s="187" t="s">
        <v>34</v>
      </c>
      <c r="AX259" s="187" t="s">
        <v>78</v>
      </c>
      <c r="AY259" s="190" t="s">
        <v>139</v>
      </c>
    </row>
    <row r="260" spans="2:51" s="201" customFormat="1" ht="12">
      <c r="B260" s="202"/>
      <c r="D260" s="189" t="s">
        <v>148</v>
      </c>
      <c r="E260" s="203" t="s">
        <v>1</v>
      </c>
      <c r="F260" s="204" t="s">
        <v>1065</v>
      </c>
      <c r="H260" s="203" t="s">
        <v>1</v>
      </c>
      <c r="I260" s="235"/>
      <c r="L260" s="202"/>
      <c r="M260" s="205"/>
      <c r="N260" s="206"/>
      <c r="O260" s="206"/>
      <c r="P260" s="206"/>
      <c r="Q260" s="206"/>
      <c r="R260" s="206"/>
      <c r="S260" s="206"/>
      <c r="T260" s="207"/>
      <c r="AT260" s="203" t="s">
        <v>148</v>
      </c>
      <c r="AU260" s="203" t="s">
        <v>87</v>
      </c>
      <c r="AV260" s="201" t="s">
        <v>85</v>
      </c>
      <c r="AW260" s="201" t="s">
        <v>34</v>
      </c>
      <c r="AX260" s="201" t="s">
        <v>78</v>
      </c>
      <c r="AY260" s="203" t="s">
        <v>139</v>
      </c>
    </row>
    <row r="261" spans="2:51" s="201" customFormat="1" ht="12">
      <c r="B261" s="202"/>
      <c r="D261" s="189" t="s">
        <v>148</v>
      </c>
      <c r="E261" s="203" t="s">
        <v>1</v>
      </c>
      <c r="F261" s="204" t="s">
        <v>851</v>
      </c>
      <c r="H261" s="203" t="s">
        <v>1</v>
      </c>
      <c r="I261" s="235"/>
      <c r="L261" s="202"/>
      <c r="M261" s="205"/>
      <c r="N261" s="206"/>
      <c r="O261" s="206"/>
      <c r="P261" s="206"/>
      <c r="Q261" s="206"/>
      <c r="R261" s="206"/>
      <c r="S261" s="206"/>
      <c r="T261" s="207"/>
      <c r="AT261" s="203" t="s">
        <v>148</v>
      </c>
      <c r="AU261" s="203" t="s">
        <v>87</v>
      </c>
      <c r="AV261" s="201" t="s">
        <v>85</v>
      </c>
      <c r="AW261" s="201" t="s">
        <v>34</v>
      </c>
      <c r="AX261" s="201" t="s">
        <v>78</v>
      </c>
      <c r="AY261" s="203" t="s">
        <v>139</v>
      </c>
    </row>
    <row r="262" spans="2:51" s="187" customFormat="1" ht="12">
      <c r="B262" s="188"/>
      <c r="D262" s="189" t="s">
        <v>148</v>
      </c>
      <c r="E262" s="190" t="s">
        <v>1</v>
      </c>
      <c r="F262" s="191" t="s">
        <v>1066</v>
      </c>
      <c r="H262" s="192">
        <v>0.603</v>
      </c>
      <c r="I262" s="233"/>
      <c r="L262" s="188"/>
      <c r="M262" s="193"/>
      <c r="N262" s="194"/>
      <c r="O262" s="194"/>
      <c r="P262" s="194"/>
      <c r="Q262" s="194"/>
      <c r="R262" s="194"/>
      <c r="S262" s="194"/>
      <c r="T262" s="195"/>
      <c r="AT262" s="190" t="s">
        <v>148</v>
      </c>
      <c r="AU262" s="190" t="s">
        <v>87</v>
      </c>
      <c r="AV262" s="187" t="s">
        <v>87</v>
      </c>
      <c r="AW262" s="187" t="s">
        <v>34</v>
      </c>
      <c r="AX262" s="187" t="s">
        <v>78</v>
      </c>
      <c r="AY262" s="190" t="s">
        <v>139</v>
      </c>
    </row>
    <row r="263" spans="2:51" s="201" customFormat="1" ht="12">
      <c r="B263" s="202"/>
      <c r="D263" s="189" t="s">
        <v>148</v>
      </c>
      <c r="E263" s="203" t="s">
        <v>1</v>
      </c>
      <c r="F263" s="204" t="s">
        <v>1067</v>
      </c>
      <c r="H263" s="203" t="s">
        <v>1</v>
      </c>
      <c r="I263" s="235"/>
      <c r="L263" s="202"/>
      <c r="M263" s="205"/>
      <c r="N263" s="206"/>
      <c r="O263" s="206"/>
      <c r="P263" s="206"/>
      <c r="Q263" s="206"/>
      <c r="R263" s="206"/>
      <c r="S263" s="206"/>
      <c r="T263" s="207"/>
      <c r="AT263" s="203" t="s">
        <v>148</v>
      </c>
      <c r="AU263" s="203" t="s">
        <v>87</v>
      </c>
      <c r="AV263" s="201" t="s">
        <v>85</v>
      </c>
      <c r="AW263" s="201" t="s">
        <v>34</v>
      </c>
      <c r="AX263" s="201" t="s">
        <v>78</v>
      </c>
      <c r="AY263" s="203" t="s">
        <v>139</v>
      </c>
    </row>
    <row r="264" spans="2:51" s="187" customFormat="1" ht="12">
      <c r="B264" s="188"/>
      <c r="D264" s="189" t="s">
        <v>148</v>
      </c>
      <c r="E264" s="190" t="s">
        <v>1</v>
      </c>
      <c r="F264" s="191" t="s">
        <v>1068</v>
      </c>
      <c r="H264" s="192">
        <v>0.192</v>
      </c>
      <c r="I264" s="233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0" t="s">
        <v>148</v>
      </c>
      <c r="AU264" s="190" t="s">
        <v>87</v>
      </c>
      <c r="AV264" s="187" t="s">
        <v>87</v>
      </c>
      <c r="AW264" s="187" t="s">
        <v>34</v>
      </c>
      <c r="AX264" s="187" t="s">
        <v>78</v>
      </c>
      <c r="AY264" s="190" t="s">
        <v>139</v>
      </c>
    </row>
    <row r="265" spans="2:51" s="208" customFormat="1" ht="12">
      <c r="B265" s="209"/>
      <c r="D265" s="189" t="s">
        <v>148</v>
      </c>
      <c r="E265" s="210" t="s">
        <v>1</v>
      </c>
      <c r="F265" s="211" t="s">
        <v>159</v>
      </c>
      <c r="H265" s="212">
        <v>10.615</v>
      </c>
      <c r="I265" s="236"/>
      <c r="L265" s="209"/>
      <c r="M265" s="213"/>
      <c r="N265" s="214"/>
      <c r="O265" s="214"/>
      <c r="P265" s="214"/>
      <c r="Q265" s="214"/>
      <c r="R265" s="214"/>
      <c r="S265" s="214"/>
      <c r="T265" s="215"/>
      <c r="AT265" s="210" t="s">
        <v>148</v>
      </c>
      <c r="AU265" s="210" t="s">
        <v>87</v>
      </c>
      <c r="AV265" s="208" t="s">
        <v>146</v>
      </c>
      <c r="AW265" s="208" t="s">
        <v>34</v>
      </c>
      <c r="AX265" s="208" t="s">
        <v>85</v>
      </c>
      <c r="AY265" s="210" t="s">
        <v>139</v>
      </c>
    </row>
    <row r="266" spans="1:65" s="95" customFormat="1" ht="37.9" customHeight="1">
      <c r="A266" s="93"/>
      <c r="B266" s="92"/>
      <c r="C266" s="175" t="s">
        <v>294</v>
      </c>
      <c r="D266" s="175" t="s">
        <v>141</v>
      </c>
      <c r="E266" s="176" t="s">
        <v>1069</v>
      </c>
      <c r="F266" s="177" t="s">
        <v>1070</v>
      </c>
      <c r="G266" s="178" t="s">
        <v>194</v>
      </c>
      <c r="H266" s="179">
        <v>4.88</v>
      </c>
      <c r="I266" s="69"/>
      <c r="J266" s="180">
        <f>ROUND(I266*H266,2)</f>
        <v>0</v>
      </c>
      <c r="K266" s="177" t="s">
        <v>967</v>
      </c>
      <c r="L266" s="92"/>
      <c r="M266" s="181" t="s">
        <v>1</v>
      </c>
      <c r="N266" s="182" t="s">
        <v>44</v>
      </c>
      <c r="O266" s="183">
        <v>1.381</v>
      </c>
      <c r="P266" s="183">
        <f>O266*H266</f>
        <v>6.73928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R266" s="185" t="s">
        <v>146</v>
      </c>
      <c r="AT266" s="185" t="s">
        <v>141</v>
      </c>
      <c r="AU266" s="185" t="s">
        <v>87</v>
      </c>
      <c r="AY266" s="83" t="s">
        <v>139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83" t="s">
        <v>85</v>
      </c>
      <c r="BK266" s="186">
        <f>ROUND(I266*H266,2)</f>
        <v>0</v>
      </c>
      <c r="BL266" s="83" t="s">
        <v>146</v>
      </c>
      <c r="BM266" s="185" t="s">
        <v>1071</v>
      </c>
    </row>
    <row r="267" spans="2:51" s="201" customFormat="1" ht="12">
      <c r="B267" s="202"/>
      <c r="D267" s="189" t="s">
        <v>148</v>
      </c>
      <c r="E267" s="203" t="s">
        <v>1</v>
      </c>
      <c r="F267" s="204" t="s">
        <v>280</v>
      </c>
      <c r="H267" s="203" t="s">
        <v>1</v>
      </c>
      <c r="I267" s="235"/>
      <c r="L267" s="202"/>
      <c r="M267" s="205"/>
      <c r="N267" s="206"/>
      <c r="O267" s="206"/>
      <c r="P267" s="206"/>
      <c r="Q267" s="206"/>
      <c r="R267" s="206"/>
      <c r="S267" s="206"/>
      <c r="T267" s="207"/>
      <c r="AT267" s="203" t="s">
        <v>148</v>
      </c>
      <c r="AU267" s="203" t="s">
        <v>87</v>
      </c>
      <c r="AV267" s="201" t="s">
        <v>85</v>
      </c>
      <c r="AW267" s="201" t="s">
        <v>34</v>
      </c>
      <c r="AX267" s="201" t="s">
        <v>78</v>
      </c>
      <c r="AY267" s="203" t="s">
        <v>139</v>
      </c>
    </row>
    <row r="268" spans="2:51" s="187" customFormat="1" ht="12">
      <c r="B268" s="188"/>
      <c r="D268" s="189" t="s">
        <v>148</v>
      </c>
      <c r="E268" s="190" t="s">
        <v>1</v>
      </c>
      <c r="F268" s="191" t="s">
        <v>1072</v>
      </c>
      <c r="H268" s="192">
        <v>4.88</v>
      </c>
      <c r="I268" s="233"/>
      <c r="L268" s="188"/>
      <c r="M268" s="193"/>
      <c r="N268" s="194"/>
      <c r="O268" s="194"/>
      <c r="P268" s="194"/>
      <c r="Q268" s="194"/>
      <c r="R268" s="194"/>
      <c r="S268" s="194"/>
      <c r="T268" s="195"/>
      <c r="AT268" s="190" t="s">
        <v>148</v>
      </c>
      <c r="AU268" s="190" t="s">
        <v>87</v>
      </c>
      <c r="AV268" s="187" t="s">
        <v>87</v>
      </c>
      <c r="AW268" s="187" t="s">
        <v>34</v>
      </c>
      <c r="AX268" s="187" t="s">
        <v>85</v>
      </c>
      <c r="AY268" s="190" t="s">
        <v>139</v>
      </c>
    </row>
    <row r="269" spans="2:63" s="162" customFormat="1" ht="22.9" customHeight="1">
      <c r="B269" s="163"/>
      <c r="D269" s="164" t="s">
        <v>77</v>
      </c>
      <c r="E269" s="173" t="s">
        <v>168</v>
      </c>
      <c r="F269" s="173" t="s">
        <v>311</v>
      </c>
      <c r="I269" s="237"/>
      <c r="J269" s="174">
        <f>SUM(J270:J307)</f>
        <v>0</v>
      </c>
      <c r="L269" s="163"/>
      <c r="M269" s="167"/>
      <c r="N269" s="168"/>
      <c r="O269" s="168"/>
      <c r="P269" s="169">
        <f>SUM(P270:P310)</f>
        <v>55.894445000000005</v>
      </c>
      <c r="Q269" s="168"/>
      <c r="R269" s="169">
        <f>SUM(R270:R310)</f>
        <v>0</v>
      </c>
      <c r="S269" s="168"/>
      <c r="T269" s="170">
        <f>SUM(T270:T310)</f>
        <v>0</v>
      </c>
      <c r="AR269" s="164" t="s">
        <v>85</v>
      </c>
      <c r="AT269" s="171" t="s">
        <v>77</v>
      </c>
      <c r="AU269" s="171" t="s">
        <v>85</v>
      </c>
      <c r="AY269" s="164" t="s">
        <v>139</v>
      </c>
      <c r="BK269" s="172">
        <f>SUM(BK270:BK310)</f>
        <v>0</v>
      </c>
    </row>
    <row r="270" spans="1:65" s="95" customFormat="1" ht="24.2" customHeight="1">
      <c r="A270" s="93"/>
      <c r="B270" s="92"/>
      <c r="C270" s="175" t="s">
        <v>303</v>
      </c>
      <c r="D270" s="175" t="s">
        <v>141</v>
      </c>
      <c r="E270" s="176" t="s">
        <v>1073</v>
      </c>
      <c r="F270" s="177" t="s">
        <v>1074</v>
      </c>
      <c r="G270" s="178" t="s">
        <v>144</v>
      </c>
      <c r="H270" s="179">
        <v>114.904</v>
      </c>
      <c r="I270" s="69"/>
      <c r="J270" s="180">
        <f>ROUND(I270*H270,2)</f>
        <v>0</v>
      </c>
      <c r="K270" s="177" t="s">
        <v>967</v>
      </c>
      <c r="L270" s="92"/>
      <c r="M270" s="181" t="s">
        <v>1</v>
      </c>
      <c r="N270" s="182" t="s">
        <v>44</v>
      </c>
      <c r="O270" s="183">
        <v>0.026</v>
      </c>
      <c r="P270" s="183">
        <f>O270*H270</f>
        <v>2.987504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R270" s="185" t="s">
        <v>146</v>
      </c>
      <c r="AT270" s="185" t="s">
        <v>141</v>
      </c>
      <c r="AU270" s="185" t="s">
        <v>87</v>
      </c>
      <c r="AY270" s="83" t="s">
        <v>139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83" t="s">
        <v>85</v>
      </c>
      <c r="BK270" s="186">
        <f>ROUND(I270*H270,2)</f>
        <v>0</v>
      </c>
      <c r="BL270" s="83" t="s">
        <v>146</v>
      </c>
      <c r="BM270" s="185" t="s">
        <v>1075</v>
      </c>
    </row>
    <row r="271" spans="2:51" s="201" customFormat="1" ht="12">
      <c r="B271" s="202"/>
      <c r="D271" s="189" t="s">
        <v>148</v>
      </c>
      <c r="E271" s="203" t="s">
        <v>1</v>
      </c>
      <c r="F271" s="204" t="s">
        <v>280</v>
      </c>
      <c r="H271" s="203" t="s">
        <v>1</v>
      </c>
      <c r="I271" s="235"/>
      <c r="L271" s="202"/>
      <c r="M271" s="205"/>
      <c r="N271" s="206"/>
      <c r="O271" s="206"/>
      <c r="P271" s="206"/>
      <c r="Q271" s="206"/>
      <c r="R271" s="206"/>
      <c r="S271" s="206"/>
      <c r="T271" s="207"/>
      <c r="AT271" s="203" t="s">
        <v>148</v>
      </c>
      <c r="AU271" s="203" t="s">
        <v>87</v>
      </c>
      <c r="AV271" s="201" t="s">
        <v>85</v>
      </c>
      <c r="AW271" s="201" t="s">
        <v>34</v>
      </c>
      <c r="AX271" s="201" t="s">
        <v>78</v>
      </c>
      <c r="AY271" s="203" t="s">
        <v>139</v>
      </c>
    </row>
    <row r="272" spans="2:51" s="201" customFormat="1" ht="12">
      <c r="B272" s="202"/>
      <c r="D272" s="189" t="s">
        <v>148</v>
      </c>
      <c r="E272" s="203" t="s">
        <v>1</v>
      </c>
      <c r="F272" s="204" t="s">
        <v>156</v>
      </c>
      <c r="H272" s="203" t="s">
        <v>1</v>
      </c>
      <c r="I272" s="235"/>
      <c r="L272" s="202"/>
      <c r="M272" s="205"/>
      <c r="N272" s="206"/>
      <c r="O272" s="206"/>
      <c r="P272" s="206"/>
      <c r="Q272" s="206"/>
      <c r="R272" s="206"/>
      <c r="S272" s="206"/>
      <c r="T272" s="207"/>
      <c r="AT272" s="203" t="s">
        <v>148</v>
      </c>
      <c r="AU272" s="203" t="s">
        <v>87</v>
      </c>
      <c r="AV272" s="201" t="s">
        <v>85</v>
      </c>
      <c r="AW272" s="201" t="s">
        <v>34</v>
      </c>
      <c r="AX272" s="201" t="s">
        <v>78</v>
      </c>
      <c r="AY272" s="203" t="s">
        <v>139</v>
      </c>
    </row>
    <row r="273" spans="2:51" s="187" customFormat="1" ht="12">
      <c r="B273" s="188"/>
      <c r="D273" s="189" t="s">
        <v>148</v>
      </c>
      <c r="E273" s="190" t="s">
        <v>1</v>
      </c>
      <c r="F273" s="191" t="s">
        <v>983</v>
      </c>
      <c r="H273" s="192">
        <v>102.1</v>
      </c>
      <c r="I273" s="233"/>
      <c r="L273" s="188"/>
      <c r="M273" s="193"/>
      <c r="N273" s="194"/>
      <c r="O273" s="194"/>
      <c r="P273" s="194"/>
      <c r="Q273" s="194"/>
      <c r="R273" s="194"/>
      <c r="S273" s="194"/>
      <c r="T273" s="195"/>
      <c r="AT273" s="190" t="s">
        <v>148</v>
      </c>
      <c r="AU273" s="190" t="s">
        <v>87</v>
      </c>
      <c r="AV273" s="187" t="s">
        <v>87</v>
      </c>
      <c r="AW273" s="187" t="s">
        <v>34</v>
      </c>
      <c r="AX273" s="187" t="s">
        <v>78</v>
      </c>
      <c r="AY273" s="190" t="s">
        <v>139</v>
      </c>
    </row>
    <row r="274" spans="2:51" s="187" customFormat="1" ht="12">
      <c r="B274" s="188"/>
      <c r="D274" s="189" t="s">
        <v>148</v>
      </c>
      <c r="E274" s="190" t="s">
        <v>1</v>
      </c>
      <c r="F274" s="191" t="s">
        <v>1076</v>
      </c>
      <c r="H274" s="192">
        <v>12.804</v>
      </c>
      <c r="I274" s="233"/>
      <c r="L274" s="188"/>
      <c r="M274" s="193"/>
      <c r="N274" s="194"/>
      <c r="O274" s="194"/>
      <c r="P274" s="194"/>
      <c r="Q274" s="194"/>
      <c r="R274" s="194"/>
      <c r="S274" s="194"/>
      <c r="T274" s="195"/>
      <c r="AT274" s="190" t="s">
        <v>148</v>
      </c>
      <c r="AU274" s="190" t="s">
        <v>87</v>
      </c>
      <c r="AV274" s="187" t="s">
        <v>87</v>
      </c>
      <c r="AW274" s="187" t="s">
        <v>34</v>
      </c>
      <c r="AX274" s="187" t="s">
        <v>78</v>
      </c>
      <c r="AY274" s="190" t="s">
        <v>139</v>
      </c>
    </row>
    <row r="275" spans="2:51" s="208" customFormat="1" ht="12">
      <c r="B275" s="209"/>
      <c r="D275" s="189" t="s">
        <v>148</v>
      </c>
      <c r="E275" s="210" t="s">
        <v>1</v>
      </c>
      <c r="F275" s="211" t="s">
        <v>159</v>
      </c>
      <c r="H275" s="212">
        <v>114.904</v>
      </c>
      <c r="I275" s="236"/>
      <c r="L275" s="209"/>
      <c r="M275" s="213"/>
      <c r="N275" s="214"/>
      <c r="O275" s="214"/>
      <c r="P275" s="214"/>
      <c r="Q275" s="214"/>
      <c r="R275" s="214"/>
      <c r="S275" s="214"/>
      <c r="T275" s="215"/>
      <c r="AT275" s="210" t="s">
        <v>148</v>
      </c>
      <c r="AU275" s="210" t="s">
        <v>87</v>
      </c>
      <c r="AV275" s="208" t="s">
        <v>146</v>
      </c>
      <c r="AW275" s="208" t="s">
        <v>34</v>
      </c>
      <c r="AX275" s="208" t="s">
        <v>85</v>
      </c>
      <c r="AY275" s="210" t="s">
        <v>139</v>
      </c>
    </row>
    <row r="276" spans="1:65" s="95" customFormat="1" ht="24.2" customHeight="1">
      <c r="A276" s="93"/>
      <c r="B276" s="92"/>
      <c r="C276" s="175" t="s">
        <v>312</v>
      </c>
      <c r="D276" s="175" t="s">
        <v>141</v>
      </c>
      <c r="E276" s="176" t="s">
        <v>1077</v>
      </c>
      <c r="F276" s="177" t="s">
        <v>1078</v>
      </c>
      <c r="G276" s="178" t="s">
        <v>144</v>
      </c>
      <c r="H276" s="179">
        <v>114.904</v>
      </c>
      <c r="I276" s="69"/>
      <c r="J276" s="180">
        <f>ROUND(I276*H276,2)</f>
        <v>0</v>
      </c>
      <c r="K276" s="177" t="s">
        <v>967</v>
      </c>
      <c r="L276" s="92"/>
      <c r="M276" s="181" t="s">
        <v>1</v>
      </c>
      <c r="N276" s="182" t="s">
        <v>44</v>
      </c>
      <c r="O276" s="183">
        <v>0.029</v>
      </c>
      <c r="P276" s="183">
        <f>O276*H276</f>
        <v>3.332216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R276" s="185" t="s">
        <v>146</v>
      </c>
      <c r="AT276" s="185" t="s">
        <v>141</v>
      </c>
      <c r="AU276" s="185" t="s">
        <v>87</v>
      </c>
      <c r="AY276" s="83" t="s">
        <v>139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83" t="s">
        <v>85</v>
      </c>
      <c r="BK276" s="186">
        <f>ROUND(I276*H276,2)</f>
        <v>0</v>
      </c>
      <c r="BL276" s="83" t="s">
        <v>146</v>
      </c>
      <c r="BM276" s="185" t="s">
        <v>1079</v>
      </c>
    </row>
    <row r="277" spans="2:51" s="201" customFormat="1" ht="12">
      <c r="B277" s="202"/>
      <c r="D277" s="189" t="s">
        <v>148</v>
      </c>
      <c r="E277" s="203" t="s">
        <v>1</v>
      </c>
      <c r="F277" s="204" t="s">
        <v>280</v>
      </c>
      <c r="H277" s="203" t="s">
        <v>1</v>
      </c>
      <c r="I277" s="235"/>
      <c r="L277" s="202"/>
      <c r="M277" s="205"/>
      <c r="N277" s="206"/>
      <c r="O277" s="206"/>
      <c r="P277" s="206"/>
      <c r="Q277" s="206"/>
      <c r="R277" s="206"/>
      <c r="S277" s="206"/>
      <c r="T277" s="207"/>
      <c r="AT277" s="203" t="s">
        <v>148</v>
      </c>
      <c r="AU277" s="203" t="s">
        <v>87</v>
      </c>
      <c r="AV277" s="201" t="s">
        <v>85</v>
      </c>
      <c r="AW277" s="201" t="s">
        <v>34</v>
      </c>
      <c r="AX277" s="201" t="s">
        <v>78</v>
      </c>
      <c r="AY277" s="203" t="s">
        <v>139</v>
      </c>
    </row>
    <row r="278" spans="2:51" s="201" customFormat="1" ht="12">
      <c r="B278" s="202"/>
      <c r="D278" s="189" t="s">
        <v>148</v>
      </c>
      <c r="E278" s="203" t="s">
        <v>1</v>
      </c>
      <c r="F278" s="204" t="s">
        <v>156</v>
      </c>
      <c r="H278" s="203" t="s">
        <v>1</v>
      </c>
      <c r="I278" s="235"/>
      <c r="L278" s="202"/>
      <c r="M278" s="205"/>
      <c r="N278" s="206"/>
      <c r="O278" s="206"/>
      <c r="P278" s="206"/>
      <c r="Q278" s="206"/>
      <c r="R278" s="206"/>
      <c r="S278" s="206"/>
      <c r="T278" s="207"/>
      <c r="AT278" s="203" t="s">
        <v>148</v>
      </c>
      <c r="AU278" s="203" t="s">
        <v>87</v>
      </c>
      <c r="AV278" s="201" t="s">
        <v>85</v>
      </c>
      <c r="AW278" s="201" t="s">
        <v>34</v>
      </c>
      <c r="AX278" s="201" t="s">
        <v>78</v>
      </c>
      <c r="AY278" s="203" t="s">
        <v>139</v>
      </c>
    </row>
    <row r="279" spans="2:51" s="187" customFormat="1" ht="12">
      <c r="B279" s="188"/>
      <c r="D279" s="189" t="s">
        <v>148</v>
      </c>
      <c r="E279" s="190" t="s">
        <v>1</v>
      </c>
      <c r="F279" s="191" t="s">
        <v>983</v>
      </c>
      <c r="H279" s="192">
        <v>102.1</v>
      </c>
      <c r="I279" s="233"/>
      <c r="L279" s="188"/>
      <c r="M279" s="193"/>
      <c r="N279" s="194"/>
      <c r="O279" s="194"/>
      <c r="P279" s="194"/>
      <c r="Q279" s="194"/>
      <c r="R279" s="194"/>
      <c r="S279" s="194"/>
      <c r="T279" s="195"/>
      <c r="AT279" s="190" t="s">
        <v>148</v>
      </c>
      <c r="AU279" s="190" t="s">
        <v>87</v>
      </c>
      <c r="AV279" s="187" t="s">
        <v>87</v>
      </c>
      <c r="AW279" s="187" t="s">
        <v>34</v>
      </c>
      <c r="AX279" s="187" t="s">
        <v>78</v>
      </c>
      <c r="AY279" s="190" t="s">
        <v>139</v>
      </c>
    </row>
    <row r="280" spans="2:51" s="187" customFormat="1" ht="12">
      <c r="B280" s="188"/>
      <c r="D280" s="189" t="s">
        <v>148</v>
      </c>
      <c r="E280" s="190" t="s">
        <v>1</v>
      </c>
      <c r="F280" s="191" t="s">
        <v>1076</v>
      </c>
      <c r="H280" s="192">
        <v>12.804</v>
      </c>
      <c r="I280" s="233"/>
      <c r="L280" s="188"/>
      <c r="M280" s="193"/>
      <c r="N280" s="194"/>
      <c r="O280" s="194"/>
      <c r="P280" s="194"/>
      <c r="Q280" s="194"/>
      <c r="R280" s="194"/>
      <c r="S280" s="194"/>
      <c r="T280" s="195"/>
      <c r="AT280" s="190" t="s">
        <v>148</v>
      </c>
      <c r="AU280" s="190" t="s">
        <v>87</v>
      </c>
      <c r="AV280" s="187" t="s">
        <v>87</v>
      </c>
      <c r="AW280" s="187" t="s">
        <v>34</v>
      </c>
      <c r="AX280" s="187" t="s">
        <v>78</v>
      </c>
      <c r="AY280" s="190" t="s">
        <v>139</v>
      </c>
    </row>
    <row r="281" spans="2:51" s="208" customFormat="1" ht="12">
      <c r="B281" s="209"/>
      <c r="D281" s="189" t="s">
        <v>148</v>
      </c>
      <c r="E281" s="210" t="s">
        <v>1</v>
      </c>
      <c r="F281" s="211" t="s">
        <v>159</v>
      </c>
      <c r="H281" s="212">
        <v>114.904</v>
      </c>
      <c r="I281" s="236"/>
      <c r="L281" s="209"/>
      <c r="M281" s="213"/>
      <c r="N281" s="214"/>
      <c r="O281" s="214"/>
      <c r="P281" s="214"/>
      <c r="Q281" s="214"/>
      <c r="R281" s="214"/>
      <c r="S281" s="214"/>
      <c r="T281" s="215"/>
      <c r="AT281" s="210" t="s">
        <v>148</v>
      </c>
      <c r="AU281" s="210" t="s">
        <v>87</v>
      </c>
      <c r="AV281" s="208" t="s">
        <v>146</v>
      </c>
      <c r="AW281" s="208" t="s">
        <v>34</v>
      </c>
      <c r="AX281" s="208" t="s">
        <v>85</v>
      </c>
      <c r="AY281" s="210" t="s">
        <v>139</v>
      </c>
    </row>
    <row r="282" spans="1:65" s="95" customFormat="1" ht="24.2" customHeight="1">
      <c r="A282" s="93"/>
      <c r="B282" s="92"/>
      <c r="C282" s="175">
        <v>31</v>
      </c>
      <c r="D282" s="175" t="s">
        <v>141</v>
      </c>
      <c r="E282" s="176" t="s">
        <v>1545</v>
      </c>
      <c r="F282" s="177" t="s">
        <v>1528</v>
      </c>
      <c r="G282" s="178" t="s">
        <v>144</v>
      </c>
      <c r="H282" s="179">
        <v>117.304</v>
      </c>
      <c r="I282" s="69"/>
      <c r="J282" s="180">
        <f>ROUND(I282*H282,2)</f>
        <v>0</v>
      </c>
      <c r="K282" s="177" t="s">
        <v>1</v>
      </c>
      <c r="L282" s="92"/>
      <c r="M282" s="181" t="s">
        <v>1</v>
      </c>
      <c r="N282" s="182" t="s">
        <v>44</v>
      </c>
      <c r="O282" s="183">
        <v>0.024</v>
      </c>
      <c r="P282" s="183">
        <f>O282*H282</f>
        <v>2.815296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R282" s="185" t="s">
        <v>146</v>
      </c>
      <c r="AT282" s="185" t="s">
        <v>141</v>
      </c>
      <c r="AU282" s="185" t="s">
        <v>87</v>
      </c>
      <c r="AY282" s="83" t="s">
        <v>139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83" t="s">
        <v>85</v>
      </c>
      <c r="BK282" s="186">
        <f>ROUND(I282*H282,2)</f>
        <v>0</v>
      </c>
      <c r="BL282" s="83" t="s">
        <v>146</v>
      </c>
      <c r="BM282" s="185" t="s">
        <v>1080</v>
      </c>
    </row>
    <row r="283" spans="2:51" s="201" customFormat="1" ht="12">
      <c r="B283" s="202"/>
      <c r="D283" s="189" t="s">
        <v>148</v>
      </c>
      <c r="E283" s="203" t="s">
        <v>1</v>
      </c>
      <c r="F283" s="204" t="s">
        <v>315</v>
      </c>
      <c r="H283" s="203" t="s">
        <v>1</v>
      </c>
      <c r="I283" s="235"/>
      <c r="L283" s="202"/>
      <c r="M283" s="205"/>
      <c r="N283" s="206"/>
      <c r="O283" s="206"/>
      <c r="P283" s="206"/>
      <c r="Q283" s="206"/>
      <c r="R283" s="206"/>
      <c r="S283" s="206"/>
      <c r="T283" s="207"/>
      <c r="AT283" s="203" t="s">
        <v>148</v>
      </c>
      <c r="AU283" s="203" t="s">
        <v>87</v>
      </c>
      <c r="AV283" s="201" t="s">
        <v>85</v>
      </c>
      <c r="AW283" s="201" t="s">
        <v>34</v>
      </c>
      <c r="AX283" s="201" t="s">
        <v>78</v>
      </c>
      <c r="AY283" s="203" t="s">
        <v>139</v>
      </c>
    </row>
    <row r="284" spans="2:51" s="201" customFormat="1" ht="22.5">
      <c r="B284" s="202"/>
      <c r="D284" s="189" t="s">
        <v>148</v>
      </c>
      <c r="E284" s="203" t="s">
        <v>1</v>
      </c>
      <c r="F284" s="204" t="s">
        <v>323</v>
      </c>
      <c r="H284" s="203" t="s">
        <v>1</v>
      </c>
      <c r="I284" s="235"/>
      <c r="L284" s="202"/>
      <c r="M284" s="205"/>
      <c r="N284" s="206"/>
      <c r="O284" s="206"/>
      <c r="P284" s="206"/>
      <c r="Q284" s="206"/>
      <c r="R284" s="206"/>
      <c r="S284" s="206"/>
      <c r="T284" s="207"/>
      <c r="AT284" s="203" t="s">
        <v>148</v>
      </c>
      <c r="AU284" s="203" t="s">
        <v>87</v>
      </c>
      <c r="AV284" s="201" t="s">
        <v>85</v>
      </c>
      <c r="AW284" s="201" t="s">
        <v>34</v>
      </c>
      <c r="AX284" s="201" t="s">
        <v>78</v>
      </c>
      <c r="AY284" s="203" t="s">
        <v>139</v>
      </c>
    </row>
    <row r="285" spans="2:51" s="187" customFormat="1" ht="12">
      <c r="B285" s="188"/>
      <c r="D285" s="189" t="s">
        <v>148</v>
      </c>
      <c r="E285" s="190" t="s">
        <v>1</v>
      </c>
      <c r="F285" s="191" t="s">
        <v>983</v>
      </c>
      <c r="H285" s="192">
        <v>102.1</v>
      </c>
      <c r="I285" s="233"/>
      <c r="L285" s="188"/>
      <c r="M285" s="193"/>
      <c r="N285" s="194"/>
      <c r="O285" s="194"/>
      <c r="P285" s="194"/>
      <c r="Q285" s="194"/>
      <c r="R285" s="194"/>
      <c r="S285" s="194"/>
      <c r="T285" s="195"/>
      <c r="AT285" s="190" t="s">
        <v>148</v>
      </c>
      <c r="AU285" s="190" t="s">
        <v>87</v>
      </c>
      <c r="AV285" s="187" t="s">
        <v>87</v>
      </c>
      <c r="AW285" s="187" t="s">
        <v>34</v>
      </c>
      <c r="AX285" s="187" t="s">
        <v>78</v>
      </c>
      <c r="AY285" s="190" t="s">
        <v>139</v>
      </c>
    </row>
    <row r="286" spans="2:51" s="187" customFormat="1" ht="12">
      <c r="B286" s="188"/>
      <c r="D286" s="189" t="s">
        <v>148</v>
      </c>
      <c r="E286" s="190" t="s">
        <v>1</v>
      </c>
      <c r="F286" s="191" t="s">
        <v>1076</v>
      </c>
      <c r="H286" s="192">
        <v>12.804</v>
      </c>
      <c r="I286" s="233"/>
      <c r="L286" s="188"/>
      <c r="M286" s="193"/>
      <c r="N286" s="194"/>
      <c r="O286" s="194"/>
      <c r="P286" s="194"/>
      <c r="Q286" s="194"/>
      <c r="R286" s="194"/>
      <c r="S286" s="194"/>
      <c r="T286" s="195"/>
      <c r="AT286" s="190" t="s">
        <v>148</v>
      </c>
      <c r="AU286" s="190" t="s">
        <v>87</v>
      </c>
      <c r="AV286" s="187" t="s">
        <v>87</v>
      </c>
      <c r="AW286" s="187" t="s">
        <v>34</v>
      </c>
      <c r="AX286" s="187" t="s">
        <v>78</v>
      </c>
      <c r="AY286" s="190" t="s">
        <v>139</v>
      </c>
    </row>
    <row r="287" spans="2:51" s="187" customFormat="1" ht="12">
      <c r="B287" s="188"/>
      <c r="D287" s="189" t="s">
        <v>148</v>
      </c>
      <c r="E287" s="190" t="s">
        <v>1</v>
      </c>
      <c r="F287" s="191" t="s">
        <v>970</v>
      </c>
      <c r="H287" s="192">
        <v>2.4</v>
      </c>
      <c r="I287" s="233"/>
      <c r="L287" s="188"/>
      <c r="M287" s="193"/>
      <c r="N287" s="194"/>
      <c r="O287" s="194"/>
      <c r="P287" s="194"/>
      <c r="Q287" s="194"/>
      <c r="R287" s="194"/>
      <c r="S287" s="194"/>
      <c r="T287" s="195"/>
      <c r="AT287" s="190" t="s">
        <v>148</v>
      </c>
      <c r="AU287" s="190" t="s">
        <v>87</v>
      </c>
      <c r="AV287" s="187" t="s">
        <v>87</v>
      </c>
      <c r="AW287" s="187" t="s">
        <v>34</v>
      </c>
      <c r="AX287" s="187" t="s">
        <v>78</v>
      </c>
      <c r="AY287" s="190" t="s">
        <v>139</v>
      </c>
    </row>
    <row r="288" spans="2:51" s="208" customFormat="1" ht="12">
      <c r="B288" s="209"/>
      <c r="D288" s="189" t="s">
        <v>148</v>
      </c>
      <c r="E288" s="210" t="s">
        <v>1</v>
      </c>
      <c r="F288" s="211" t="s">
        <v>159</v>
      </c>
      <c r="H288" s="212">
        <v>117.304</v>
      </c>
      <c r="I288" s="236"/>
      <c r="L288" s="209"/>
      <c r="M288" s="213"/>
      <c r="N288" s="214"/>
      <c r="O288" s="214"/>
      <c r="P288" s="214"/>
      <c r="Q288" s="214"/>
      <c r="R288" s="214"/>
      <c r="S288" s="214"/>
      <c r="T288" s="215"/>
      <c r="AT288" s="210" t="s">
        <v>148</v>
      </c>
      <c r="AU288" s="210" t="s">
        <v>87</v>
      </c>
      <c r="AV288" s="208" t="s">
        <v>146</v>
      </c>
      <c r="AW288" s="208" t="s">
        <v>34</v>
      </c>
      <c r="AX288" s="208" t="s">
        <v>85</v>
      </c>
      <c r="AY288" s="210" t="s">
        <v>139</v>
      </c>
    </row>
    <row r="289" spans="1:65" s="95" customFormat="1" ht="24.2" customHeight="1">
      <c r="A289" s="93"/>
      <c r="B289" s="92"/>
      <c r="C289" s="175">
        <v>32</v>
      </c>
      <c r="D289" s="175" t="s">
        <v>141</v>
      </c>
      <c r="E289" s="176" t="s">
        <v>1547</v>
      </c>
      <c r="F289" s="177" t="s">
        <v>1546</v>
      </c>
      <c r="G289" s="178" t="s">
        <v>144</v>
      </c>
      <c r="H289" s="179">
        <v>117.304</v>
      </c>
      <c r="I289" s="69"/>
      <c r="J289" s="180">
        <f>ROUND(I289*H289,2)</f>
        <v>0</v>
      </c>
      <c r="K289" s="177" t="s">
        <v>1</v>
      </c>
      <c r="L289" s="92"/>
      <c r="M289" s="181" t="s">
        <v>1</v>
      </c>
      <c r="N289" s="182" t="s">
        <v>44</v>
      </c>
      <c r="O289" s="183">
        <v>0.024</v>
      </c>
      <c r="P289" s="183">
        <f>O289*H289</f>
        <v>2.815296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R289" s="185" t="s">
        <v>146</v>
      </c>
      <c r="AT289" s="185" t="s">
        <v>141</v>
      </c>
      <c r="AU289" s="185" t="s">
        <v>87</v>
      </c>
      <c r="AY289" s="83" t="s">
        <v>139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83" t="s">
        <v>85</v>
      </c>
      <c r="BK289" s="186">
        <f>ROUND(I289*H289,2)</f>
        <v>0</v>
      </c>
      <c r="BL289" s="83" t="s">
        <v>146</v>
      </c>
      <c r="BM289" s="185" t="s">
        <v>1080</v>
      </c>
    </row>
    <row r="290" spans="2:51" s="201" customFormat="1" ht="12">
      <c r="B290" s="202"/>
      <c r="D290" s="189" t="s">
        <v>148</v>
      </c>
      <c r="E290" s="203" t="s">
        <v>1</v>
      </c>
      <c r="F290" s="204" t="s">
        <v>315</v>
      </c>
      <c r="H290" s="203" t="s">
        <v>1</v>
      </c>
      <c r="I290" s="235"/>
      <c r="L290" s="202"/>
      <c r="M290" s="205"/>
      <c r="N290" s="206"/>
      <c r="O290" s="206"/>
      <c r="P290" s="206"/>
      <c r="Q290" s="206"/>
      <c r="R290" s="206"/>
      <c r="S290" s="206"/>
      <c r="T290" s="207"/>
      <c r="AT290" s="203" t="s">
        <v>148</v>
      </c>
      <c r="AU290" s="203" t="s">
        <v>87</v>
      </c>
      <c r="AV290" s="201" t="s">
        <v>85</v>
      </c>
      <c r="AW290" s="201" t="s">
        <v>34</v>
      </c>
      <c r="AX290" s="201" t="s">
        <v>78</v>
      </c>
      <c r="AY290" s="203" t="s">
        <v>139</v>
      </c>
    </row>
    <row r="291" spans="1:65" s="95" customFormat="1" ht="49.15" customHeight="1">
      <c r="A291" s="93"/>
      <c r="B291" s="92"/>
      <c r="C291" s="175" t="s">
        <v>322</v>
      </c>
      <c r="D291" s="175" t="s">
        <v>141</v>
      </c>
      <c r="E291" s="176" t="s">
        <v>325</v>
      </c>
      <c r="F291" s="177" t="s">
        <v>1081</v>
      </c>
      <c r="G291" s="178" t="s">
        <v>144</v>
      </c>
      <c r="H291" s="179">
        <v>114.904</v>
      </c>
      <c r="I291" s="69"/>
      <c r="J291" s="180">
        <f>ROUND(I291*H291,2)</f>
        <v>0</v>
      </c>
      <c r="K291" s="177" t="s">
        <v>967</v>
      </c>
      <c r="L291" s="92"/>
      <c r="M291" s="181" t="s">
        <v>1</v>
      </c>
      <c r="N291" s="182" t="s">
        <v>44</v>
      </c>
      <c r="O291" s="183">
        <v>0.048</v>
      </c>
      <c r="P291" s="183">
        <f>O291*H291</f>
        <v>5.515392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R291" s="185" t="s">
        <v>146</v>
      </c>
      <c r="AT291" s="185" t="s">
        <v>141</v>
      </c>
      <c r="AU291" s="185" t="s">
        <v>87</v>
      </c>
      <c r="AY291" s="83" t="s">
        <v>139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83" t="s">
        <v>85</v>
      </c>
      <c r="BK291" s="186">
        <f>ROUND(I291*H291,2)</f>
        <v>0</v>
      </c>
      <c r="BL291" s="83" t="s">
        <v>146</v>
      </c>
      <c r="BM291" s="185" t="s">
        <v>1082</v>
      </c>
    </row>
    <row r="292" spans="2:51" s="201" customFormat="1" ht="12">
      <c r="B292" s="202"/>
      <c r="D292" s="189" t="s">
        <v>148</v>
      </c>
      <c r="E292" s="203" t="s">
        <v>1</v>
      </c>
      <c r="F292" s="204" t="s">
        <v>280</v>
      </c>
      <c r="H292" s="203" t="s">
        <v>1</v>
      </c>
      <c r="I292" s="235"/>
      <c r="L292" s="202"/>
      <c r="M292" s="205"/>
      <c r="N292" s="206"/>
      <c r="O292" s="206"/>
      <c r="P292" s="206"/>
      <c r="Q292" s="206"/>
      <c r="R292" s="206"/>
      <c r="S292" s="206"/>
      <c r="T292" s="207"/>
      <c r="AT292" s="203" t="s">
        <v>148</v>
      </c>
      <c r="AU292" s="203" t="s">
        <v>87</v>
      </c>
      <c r="AV292" s="201" t="s">
        <v>85</v>
      </c>
      <c r="AW292" s="201" t="s">
        <v>34</v>
      </c>
      <c r="AX292" s="201" t="s">
        <v>78</v>
      </c>
      <c r="AY292" s="203" t="s">
        <v>139</v>
      </c>
    </row>
    <row r="293" spans="2:51" s="201" customFormat="1" ht="12">
      <c r="B293" s="202"/>
      <c r="D293" s="189" t="s">
        <v>148</v>
      </c>
      <c r="E293" s="203" t="s">
        <v>1</v>
      </c>
      <c r="F293" s="204" t="s">
        <v>156</v>
      </c>
      <c r="H293" s="203" t="s">
        <v>1</v>
      </c>
      <c r="I293" s="235"/>
      <c r="L293" s="202"/>
      <c r="M293" s="205"/>
      <c r="N293" s="206"/>
      <c r="O293" s="206"/>
      <c r="P293" s="206"/>
      <c r="Q293" s="206"/>
      <c r="R293" s="206"/>
      <c r="S293" s="206"/>
      <c r="T293" s="207"/>
      <c r="AT293" s="203" t="s">
        <v>148</v>
      </c>
      <c r="AU293" s="203" t="s">
        <v>87</v>
      </c>
      <c r="AV293" s="201" t="s">
        <v>85</v>
      </c>
      <c r="AW293" s="201" t="s">
        <v>34</v>
      </c>
      <c r="AX293" s="201" t="s">
        <v>78</v>
      </c>
      <c r="AY293" s="203" t="s">
        <v>139</v>
      </c>
    </row>
    <row r="294" spans="2:51" s="187" customFormat="1" ht="12">
      <c r="B294" s="188"/>
      <c r="D294" s="189" t="s">
        <v>148</v>
      </c>
      <c r="E294" s="190" t="s">
        <v>1</v>
      </c>
      <c r="F294" s="191" t="s">
        <v>983</v>
      </c>
      <c r="H294" s="192">
        <v>102.1</v>
      </c>
      <c r="I294" s="233"/>
      <c r="L294" s="188"/>
      <c r="M294" s="193"/>
      <c r="N294" s="194"/>
      <c r="O294" s="194"/>
      <c r="P294" s="194"/>
      <c r="Q294" s="194"/>
      <c r="R294" s="194"/>
      <c r="S294" s="194"/>
      <c r="T294" s="195"/>
      <c r="AT294" s="190" t="s">
        <v>148</v>
      </c>
      <c r="AU294" s="190" t="s">
        <v>87</v>
      </c>
      <c r="AV294" s="187" t="s">
        <v>87</v>
      </c>
      <c r="AW294" s="187" t="s">
        <v>34</v>
      </c>
      <c r="AX294" s="187" t="s">
        <v>78</v>
      </c>
      <c r="AY294" s="190" t="s">
        <v>139</v>
      </c>
    </row>
    <row r="295" spans="2:51" s="187" customFormat="1" ht="12">
      <c r="B295" s="188"/>
      <c r="D295" s="189" t="s">
        <v>148</v>
      </c>
      <c r="E295" s="190" t="s">
        <v>1</v>
      </c>
      <c r="F295" s="191" t="s">
        <v>1076</v>
      </c>
      <c r="H295" s="192">
        <v>12.804</v>
      </c>
      <c r="I295" s="233"/>
      <c r="L295" s="188"/>
      <c r="M295" s="193"/>
      <c r="N295" s="194"/>
      <c r="O295" s="194"/>
      <c r="P295" s="194"/>
      <c r="Q295" s="194"/>
      <c r="R295" s="194"/>
      <c r="S295" s="194"/>
      <c r="T295" s="195"/>
      <c r="AT295" s="190" t="s">
        <v>148</v>
      </c>
      <c r="AU295" s="190" t="s">
        <v>87</v>
      </c>
      <c r="AV295" s="187" t="s">
        <v>87</v>
      </c>
      <c r="AW295" s="187" t="s">
        <v>34</v>
      </c>
      <c r="AX295" s="187" t="s">
        <v>78</v>
      </c>
      <c r="AY295" s="190" t="s">
        <v>139</v>
      </c>
    </row>
    <row r="296" spans="2:51" s="208" customFormat="1" ht="12">
      <c r="B296" s="209"/>
      <c r="D296" s="189" t="s">
        <v>148</v>
      </c>
      <c r="E296" s="210" t="s">
        <v>1</v>
      </c>
      <c r="F296" s="211" t="s">
        <v>159</v>
      </c>
      <c r="H296" s="212">
        <v>114.904</v>
      </c>
      <c r="I296" s="236"/>
      <c r="L296" s="209"/>
      <c r="M296" s="213"/>
      <c r="N296" s="214"/>
      <c r="O296" s="214"/>
      <c r="P296" s="214"/>
      <c r="Q296" s="214"/>
      <c r="R296" s="214"/>
      <c r="S296" s="214"/>
      <c r="T296" s="215"/>
      <c r="AT296" s="210" t="s">
        <v>148</v>
      </c>
      <c r="AU296" s="210" t="s">
        <v>87</v>
      </c>
      <c r="AV296" s="208" t="s">
        <v>146</v>
      </c>
      <c r="AW296" s="208" t="s">
        <v>34</v>
      </c>
      <c r="AX296" s="208" t="s">
        <v>85</v>
      </c>
      <c r="AY296" s="210" t="s">
        <v>139</v>
      </c>
    </row>
    <row r="297" spans="1:65" s="95" customFormat="1" ht="24.2" customHeight="1">
      <c r="A297" s="93"/>
      <c r="B297" s="92"/>
      <c r="C297" s="175" t="s">
        <v>324</v>
      </c>
      <c r="D297" s="175" t="s">
        <v>141</v>
      </c>
      <c r="E297" s="176" t="s">
        <v>329</v>
      </c>
      <c r="F297" s="177" t="s">
        <v>330</v>
      </c>
      <c r="G297" s="178" t="s">
        <v>144</v>
      </c>
      <c r="H297" s="179">
        <v>114.904</v>
      </c>
      <c r="I297" s="69"/>
      <c r="J297" s="180">
        <f>ROUND(I297*H297,2)</f>
        <v>0</v>
      </c>
      <c r="K297" s="177" t="s">
        <v>967</v>
      </c>
      <c r="L297" s="92"/>
      <c r="M297" s="181" t="s">
        <v>1</v>
      </c>
      <c r="N297" s="182" t="s">
        <v>44</v>
      </c>
      <c r="O297" s="183">
        <v>0.004</v>
      </c>
      <c r="P297" s="183">
        <f>O297*H297</f>
        <v>0.45961599999999997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R297" s="185" t="s">
        <v>146</v>
      </c>
      <c r="AT297" s="185" t="s">
        <v>141</v>
      </c>
      <c r="AU297" s="185" t="s">
        <v>87</v>
      </c>
      <c r="AY297" s="83" t="s">
        <v>139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83" t="s">
        <v>85</v>
      </c>
      <c r="BK297" s="186">
        <f>ROUND(I297*H297,2)</f>
        <v>0</v>
      </c>
      <c r="BL297" s="83" t="s">
        <v>146</v>
      </c>
      <c r="BM297" s="185" t="s">
        <v>1083</v>
      </c>
    </row>
    <row r="298" spans="2:51" s="201" customFormat="1" ht="12">
      <c r="B298" s="202"/>
      <c r="D298" s="189" t="s">
        <v>148</v>
      </c>
      <c r="E298" s="203" t="s">
        <v>1</v>
      </c>
      <c r="F298" s="204" t="s">
        <v>280</v>
      </c>
      <c r="H298" s="203" t="s">
        <v>1</v>
      </c>
      <c r="I298" s="235"/>
      <c r="L298" s="202"/>
      <c r="M298" s="205"/>
      <c r="N298" s="206"/>
      <c r="O298" s="206"/>
      <c r="P298" s="206"/>
      <c r="Q298" s="206"/>
      <c r="R298" s="206"/>
      <c r="S298" s="206"/>
      <c r="T298" s="207"/>
      <c r="AT298" s="203" t="s">
        <v>148</v>
      </c>
      <c r="AU298" s="203" t="s">
        <v>87</v>
      </c>
      <c r="AV298" s="201" t="s">
        <v>85</v>
      </c>
      <c r="AW298" s="201" t="s">
        <v>34</v>
      </c>
      <c r="AX298" s="201" t="s">
        <v>78</v>
      </c>
      <c r="AY298" s="203" t="s">
        <v>139</v>
      </c>
    </row>
    <row r="299" spans="2:51" s="201" customFormat="1" ht="12">
      <c r="B299" s="202"/>
      <c r="D299" s="189" t="s">
        <v>148</v>
      </c>
      <c r="E299" s="203" t="s">
        <v>1</v>
      </c>
      <c r="F299" s="204" t="s">
        <v>156</v>
      </c>
      <c r="H299" s="203" t="s">
        <v>1</v>
      </c>
      <c r="I299" s="235"/>
      <c r="L299" s="202"/>
      <c r="M299" s="205"/>
      <c r="N299" s="206"/>
      <c r="O299" s="206"/>
      <c r="P299" s="206"/>
      <c r="Q299" s="206"/>
      <c r="R299" s="206"/>
      <c r="S299" s="206"/>
      <c r="T299" s="207"/>
      <c r="AT299" s="203" t="s">
        <v>148</v>
      </c>
      <c r="AU299" s="203" t="s">
        <v>87</v>
      </c>
      <c r="AV299" s="201" t="s">
        <v>85</v>
      </c>
      <c r="AW299" s="201" t="s">
        <v>34</v>
      </c>
      <c r="AX299" s="201" t="s">
        <v>78</v>
      </c>
      <c r="AY299" s="203" t="s">
        <v>139</v>
      </c>
    </row>
    <row r="300" spans="2:51" s="187" customFormat="1" ht="12">
      <c r="B300" s="188"/>
      <c r="D300" s="189" t="s">
        <v>148</v>
      </c>
      <c r="E300" s="190" t="s">
        <v>1</v>
      </c>
      <c r="F300" s="191" t="s">
        <v>983</v>
      </c>
      <c r="H300" s="192">
        <v>102.1</v>
      </c>
      <c r="I300" s="233"/>
      <c r="L300" s="188"/>
      <c r="M300" s="193"/>
      <c r="N300" s="194"/>
      <c r="O300" s="194"/>
      <c r="P300" s="194"/>
      <c r="Q300" s="194"/>
      <c r="R300" s="194"/>
      <c r="S300" s="194"/>
      <c r="T300" s="195"/>
      <c r="AT300" s="190" t="s">
        <v>148</v>
      </c>
      <c r="AU300" s="190" t="s">
        <v>87</v>
      </c>
      <c r="AV300" s="187" t="s">
        <v>87</v>
      </c>
      <c r="AW300" s="187" t="s">
        <v>34</v>
      </c>
      <c r="AX300" s="187" t="s">
        <v>78</v>
      </c>
      <c r="AY300" s="190" t="s">
        <v>139</v>
      </c>
    </row>
    <row r="301" spans="2:51" s="187" customFormat="1" ht="12">
      <c r="B301" s="188"/>
      <c r="D301" s="189" t="s">
        <v>148</v>
      </c>
      <c r="E301" s="190" t="s">
        <v>1</v>
      </c>
      <c r="F301" s="191" t="s">
        <v>1076</v>
      </c>
      <c r="H301" s="192">
        <v>12.804</v>
      </c>
      <c r="I301" s="233"/>
      <c r="L301" s="188"/>
      <c r="M301" s="193"/>
      <c r="N301" s="194"/>
      <c r="O301" s="194"/>
      <c r="P301" s="194"/>
      <c r="Q301" s="194"/>
      <c r="R301" s="194"/>
      <c r="S301" s="194"/>
      <c r="T301" s="195"/>
      <c r="AT301" s="190" t="s">
        <v>148</v>
      </c>
      <c r="AU301" s="190" t="s">
        <v>87</v>
      </c>
      <c r="AV301" s="187" t="s">
        <v>87</v>
      </c>
      <c r="AW301" s="187" t="s">
        <v>34</v>
      </c>
      <c r="AX301" s="187" t="s">
        <v>78</v>
      </c>
      <c r="AY301" s="190" t="s">
        <v>139</v>
      </c>
    </row>
    <row r="302" spans="2:51" s="208" customFormat="1" ht="12">
      <c r="B302" s="209"/>
      <c r="D302" s="189" t="s">
        <v>148</v>
      </c>
      <c r="E302" s="210" t="s">
        <v>1</v>
      </c>
      <c r="F302" s="211" t="s">
        <v>159</v>
      </c>
      <c r="H302" s="212">
        <v>114.904</v>
      </c>
      <c r="I302" s="236"/>
      <c r="L302" s="209"/>
      <c r="M302" s="213"/>
      <c r="N302" s="214"/>
      <c r="O302" s="214"/>
      <c r="P302" s="214"/>
      <c r="Q302" s="214"/>
      <c r="R302" s="214"/>
      <c r="S302" s="214"/>
      <c r="T302" s="215"/>
      <c r="AT302" s="210" t="s">
        <v>148</v>
      </c>
      <c r="AU302" s="210" t="s">
        <v>87</v>
      </c>
      <c r="AV302" s="208" t="s">
        <v>146</v>
      </c>
      <c r="AW302" s="208" t="s">
        <v>34</v>
      </c>
      <c r="AX302" s="208" t="s">
        <v>85</v>
      </c>
      <c r="AY302" s="210" t="s">
        <v>139</v>
      </c>
    </row>
    <row r="303" spans="1:65" s="95" customFormat="1" ht="24.2" customHeight="1">
      <c r="A303" s="93"/>
      <c r="B303" s="92"/>
      <c r="C303" s="175" t="s">
        <v>328</v>
      </c>
      <c r="D303" s="175" t="s">
        <v>141</v>
      </c>
      <c r="E303" s="176" t="s">
        <v>333</v>
      </c>
      <c r="F303" s="177" t="s">
        <v>334</v>
      </c>
      <c r="G303" s="178" t="s">
        <v>144</v>
      </c>
      <c r="H303" s="179">
        <v>520.125</v>
      </c>
      <c r="I303" s="69"/>
      <c r="J303" s="180">
        <f>ROUND(I303*H303,2)</f>
        <v>0</v>
      </c>
      <c r="K303" s="177" t="s">
        <v>967</v>
      </c>
      <c r="L303" s="92"/>
      <c r="M303" s="181" t="s">
        <v>1</v>
      </c>
      <c r="N303" s="182" t="s">
        <v>44</v>
      </c>
      <c r="O303" s="183">
        <v>0.002</v>
      </c>
      <c r="P303" s="183">
        <f>O303*H303</f>
        <v>1.0402500000000001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R303" s="185" t="s">
        <v>146</v>
      </c>
      <c r="AT303" s="185" t="s">
        <v>141</v>
      </c>
      <c r="AU303" s="185" t="s">
        <v>87</v>
      </c>
      <c r="AY303" s="83" t="s">
        <v>139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83" t="s">
        <v>85</v>
      </c>
      <c r="BK303" s="186">
        <f>ROUND(I303*H303,2)</f>
        <v>0</v>
      </c>
      <c r="BL303" s="83" t="s">
        <v>146</v>
      </c>
      <c r="BM303" s="185" t="s">
        <v>1084</v>
      </c>
    </row>
    <row r="304" spans="2:51" s="201" customFormat="1" ht="12">
      <c r="B304" s="202"/>
      <c r="D304" s="189" t="s">
        <v>148</v>
      </c>
      <c r="E304" s="203" t="s">
        <v>1</v>
      </c>
      <c r="F304" s="204" t="s">
        <v>975</v>
      </c>
      <c r="H304" s="203" t="s">
        <v>1</v>
      </c>
      <c r="I304" s="235"/>
      <c r="L304" s="202"/>
      <c r="M304" s="205"/>
      <c r="N304" s="206"/>
      <c r="O304" s="206"/>
      <c r="P304" s="206"/>
      <c r="Q304" s="206"/>
      <c r="R304" s="206"/>
      <c r="S304" s="206"/>
      <c r="T304" s="207"/>
      <c r="AT304" s="203" t="s">
        <v>148</v>
      </c>
      <c r="AU304" s="203" t="s">
        <v>87</v>
      </c>
      <c r="AV304" s="201" t="s">
        <v>85</v>
      </c>
      <c r="AW304" s="201" t="s">
        <v>34</v>
      </c>
      <c r="AX304" s="201" t="s">
        <v>78</v>
      </c>
      <c r="AY304" s="203" t="s">
        <v>139</v>
      </c>
    </row>
    <row r="305" spans="2:51" s="201" customFormat="1" ht="12">
      <c r="B305" s="202"/>
      <c r="D305" s="189" t="s">
        <v>148</v>
      </c>
      <c r="E305" s="203" t="s">
        <v>1</v>
      </c>
      <c r="F305" s="204" t="s">
        <v>976</v>
      </c>
      <c r="H305" s="203" t="s">
        <v>1</v>
      </c>
      <c r="I305" s="235"/>
      <c r="L305" s="202"/>
      <c r="M305" s="205"/>
      <c r="N305" s="206"/>
      <c r="O305" s="206"/>
      <c r="P305" s="206"/>
      <c r="Q305" s="206"/>
      <c r="R305" s="206"/>
      <c r="S305" s="206"/>
      <c r="T305" s="207"/>
      <c r="AT305" s="203" t="s">
        <v>148</v>
      </c>
      <c r="AU305" s="203" t="s">
        <v>87</v>
      </c>
      <c r="AV305" s="201" t="s">
        <v>85</v>
      </c>
      <c r="AW305" s="201" t="s">
        <v>34</v>
      </c>
      <c r="AX305" s="201" t="s">
        <v>78</v>
      </c>
      <c r="AY305" s="203" t="s">
        <v>139</v>
      </c>
    </row>
    <row r="306" spans="2:51" s="187" customFormat="1" ht="12">
      <c r="B306" s="188"/>
      <c r="D306" s="189" t="s">
        <v>148</v>
      </c>
      <c r="E306" s="190" t="s">
        <v>1</v>
      </c>
      <c r="F306" s="191" t="s">
        <v>977</v>
      </c>
      <c r="H306" s="192">
        <v>520.125</v>
      </c>
      <c r="I306" s="233"/>
      <c r="L306" s="188"/>
      <c r="M306" s="193"/>
      <c r="N306" s="194"/>
      <c r="O306" s="194"/>
      <c r="P306" s="194"/>
      <c r="Q306" s="194"/>
      <c r="R306" s="194"/>
      <c r="S306" s="194"/>
      <c r="T306" s="195"/>
      <c r="AT306" s="190" t="s">
        <v>148</v>
      </c>
      <c r="AU306" s="190" t="s">
        <v>87</v>
      </c>
      <c r="AV306" s="187" t="s">
        <v>87</v>
      </c>
      <c r="AW306" s="187" t="s">
        <v>34</v>
      </c>
      <c r="AX306" s="187" t="s">
        <v>85</v>
      </c>
      <c r="AY306" s="190" t="s">
        <v>139</v>
      </c>
    </row>
    <row r="307" spans="1:65" s="95" customFormat="1" ht="37.9" customHeight="1">
      <c r="A307" s="93"/>
      <c r="B307" s="92"/>
      <c r="C307" s="175" t="s">
        <v>332</v>
      </c>
      <c r="D307" s="175" t="s">
        <v>141</v>
      </c>
      <c r="E307" s="176" t="s">
        <v>338</v>
      </c>
      <c r="F307" s="177" t="s">
        <v>339</v>
      </c>
      <c r="G307" s="178" t="s">
        <v>144</v>
      </c>
      <c r="H307" s="179">
        <v>520.125</v>
      </c>
      <c r="I307" s="69"/>
      <c r="J307" s="180">
        <f>ROUND(I307*H307,2)</f>
        <v>0</v>
      </c>
      <c r="K307" s="177" t="s">
        <v>967</v>
      </c>
      <c r="L307" s="92"/>
      <c r="M307" s="181" t="s">
        <v>1</v>
      </c>
      <c r="N307" s="182" t="s">
        <v>44</v>
      </c>
      <c r="O307" s="183">
        <v>0.071</v>
      </c>
      <c r="P307" s="183">
        <f>O307*H307</f>
        <v>36.928875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R307" s="185" t="s">
        <v>146</v>
      </c>
      <c r="AT307" s="185" t="s">
        <v>141</v>
      </c>
      <c r="AU307" s="185" t="s">
        <v>87</v>
      </c>
      <c r="AY307" s="83" t="s">
        <v>139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83" t="s">
        <v>85</v>
      </c>
      <c r="BK307" s="186">
        <f>ROUND(I307*H307,2)</f>
        <v>0</v>
      </c>
      <c r="BL307" s="83" t="s">
        <v>146</v>
      </c>
      <c r="BM307" s="185" t="s">
        <v>1085</v>
      </c>
    </row>
    <row r="308" spans="2:51" s="201" customFormat="1" ht="12">
      <c r="B308" s="202"/>
      <c r="D308" s="189" t="s">
        <v>148</v>
      </c>
      <c r="E308" s="203" t="s">
        <v>1</v>
      </c>
      <c r="F308" s="204" t="s">
        <v>975</v>
      </c>
      <c r="H308" s="203" t="s">
        <v>1</v>
      </c>
      <c r="I308" s="235"/>
      <c r="L308" s="202"/>
      <c r="M308" s="205"/>
      <c r="N308" s="206"/>
      <c r="O308" s="206"/>
      <c r="P308" s="206"/>
      <c r="Q308" s="206"/>
      <c r="R308" s="206"/>
      <c r="S308" s="206"/>
      <c r="T308" s="207"/>
      <c r="AT308" s="203" t="s">
        <v>148</v>
      </c>
      <c r="AU308" s="203" t="s">
        <v>87</v>
      </c>
      <c r="AV308" s="201" t="s">
        <v>85</v>
      </c>
      <c r="AW308" s="201" t="s">
        <v>34</v>
      </c>
      <c r="AX308" s="201" t="s">
        <v>78</v>
      </c>
      <c r="AY308" s="203" t="s">
        <v>139</v>
      </c>
    </row>
    <row r="309" spans="2:51" s="201" customFormat="1" ht="12">
      <c r="B309" s="202"/>
      <c r="D309" s="189" t="s">
        <v>148</v>
      </c>
      <c r="E309" s="203" t="s">
        <v>1</v>
      </c>
      <c r="F309" s="204" t="s">
        <v>976</v>
      </c>
      <c r="H309" s="203" t="s">
        <v>1</v>
      </c>
      <c r="I309" s="235"/>
      <c r="L309" s="202"/>
      <c r="M309" s="205"/>
      <c r="N309" s="206"/>
      <c r="O309" s="206"/>
      <c r="P309" s="206"/>
      <c r="Q309" s="206"/>
      <c r="R309" s="206"/>
      <c r="S309" s="206"/>
      <c r="T309" s="207"/>
      <c r="AT309" s="203" t="s">
        <v>148</v>
      </c>
      <c r="AU309" s="203" t="s">
        <v>87</v>
      </c>
      <c r="AV309" s="201" t="s">
        <v>85</v>
      </c>
      <c r="AW309" s="201" t="s">
        <v>34</v>
      </c>
      <c r="AX309" s="201" t="s">
        <v>78</v>
      </c>
      <c r="AY309" s="203" t="s">
        <v>139</v>
      </c>
    </row>
    <row r="310" spans="2:51" s="187" customFormat="1" ht="12">
      <c r="B310" s="188"/>
      <c r="D310" s="189" t="s">
        <v>148</v>
      </c>
      <c r="E310" s="190" t="s">
        <v>1</v>
      </c>
      <c r="F310" s="191" t="s">
        <v>977</v>
      </c>
      <c r="H310" s="192">
        <v>520.125</v>
      </c>
      <c r="I310" s="233"/>
      <c r="L310" s="188"/>
      <c r="M310" s="193"/>
      <c r="N310" s="194"/>
      <c r="O310" s="194"/>
      <c r="P310" s="194"/>
      <c r="Q310" s="194"/>
      <c r="R310" s="194"/>
      <c r="S310" s="194"/>
      <c r="T310" s="195"/>
      <c r="AT310" s="190" t="s">
        <v>148</v>
      </c>
      <c r="AU310" s="190" t="s">
        <v>87</v>
      </c>
      <c r="AV310" s="187" t="s">
        <v>87</v>
      </c>
      <c r="AW310" s="187" t="s">
        <v>34</v>
      </c>
      <c r="AX310" s="187" t="s">
        <v>85</v>
      </c>
      <c r="AY310" s="190" t="s">
        <v>139</v>
      </c>
    </row>
    <row r="311" spans="2:63" s="162" customFormat="1" ht="22.9" customHeight="1">
      <c r="B311" s="163"/>
      <c r="D311" s="164" t="s">
        <v>77</v>
      </c>
      <c r="E311" s="173" t="s">
        <v>174</v>
      </c>
      <c r="F311" s="173" t="s">
        <v>852</v>
      </c>
      <c r="I311" s="237"/>
      <c r="J311" s="174">
        <f>J312</f>
        <v>0</v>
      </c>
      <c r="L311" s="163"/>
      <c r="M311" s="167"/>
      <c r="N311" s="168"/>
      <c r="O311" s="168"/>
      <c r="P311" s="169">
        <f>SUM(P312:P314)</f>
        <v>0.0752</v>
      </c>
      <c r="Q311" s="168"/>
      <c r="R311" s="169">
        <f>SUM(R312:R314)</f>
        <v>0.00128</v>
      </c>
      <c r="S311" s="168"/>
      <c r="T311" s="170">
        <f>SUM(T312:T314)</f>
        <v>0</v>
      </c>
      <c r="AR311" s="164" t="s">
        <v>85</v>
      </c>
      <c r="AT311" s="171" t="s">
        <v>77</v>
      </c>
      <c r="AU311" s="171" t="s">
        <v>85</v>
      </c>
      <c r="AY311" s="164" t="s">
        <v>139</v>
      </c>
      <c r="BK311" s="172">
        <f>SUM(BK312:BK314)</f>
        <v>0</v>
      </c>
    </row>
    <row r="312" spans="1:65" s="95" customFormat="1" ht="37.9" customHeight="1">
      <c r="A312" s="93"/>
      <c r="B312" s="92"/>
      <c r="C312" s="175" t="s">
        <v>337</v>
      </c>
      <c r="D312" s="175" t="s">
        <v>141</v>
      </c>
      <c r="E312" s="176" t="s">
        <v>1086</v>
      </c>
      <c r="F312" s="177" t="s">
        <v>1087</v>
      </c>
      <c r="G312" s="178" t="s">
        <v>144</v>
      </c>
      <c r="H312" s="179">
        <v>0.16</v>
      </c>
      <c r="I312" s="69"/>
      <c r="J312" s="180">
        <f>ROUND(I312*H312,2)</f>
        <v>0</v>
      </c>
      <c r="K312" s="177" t="s">
        <v>967</v>
      </c>
      <c r="L312" s="92"/>
      <c r="M312" s="181" t="s">
        <v>1</v>
      </c>
      <c r="N312" s="182" t="s">
        <v>44</v>
      </c>
      <c r="O312" s="183">
        <v>0.47</v>
      </c>
      <c r="P312" s="183">
        <f>O312*H312</f>
        <v>0.0752</v>
      </c>
      <c r="Q312" s="183">
        <v>0.008</v>
      </c>
      <c r="R312" s="183">
        <f>Q312*H312</f>
        <v>0.00128</v>
      </c>
      <c r="S312" s="183">
        <v>0</v>
      </c>
      <c r="T312" s="184">
        <f>S312*H312</f>
        <v>0</v>
      </c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R312" s="185" t="s">
        <v>146</v>
      </c>
      <c r="AT312" s="185" t="s">
        <v>141</v>
      </c>
      <c r="AU312" s="185" t="s">
        <v>87</v>
      </c>
      <c r="AY312" s="83" t="s">
        <v>139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83" t="s">
        <v>85</v>
      </c>
      <c r="BK312" s="186">
        <f>ROUND(I312*H312,2)</f>
        <v>0</v>
      </c>
      <c r="BL312" s="83" t="s">
        <v>146</v>
      </c>
      <c r="BM312" s="185" t="s">
        <v>1088</v>
      </c>
    </row>
    <row r="313" spans="2:51" s="201" customFormat="1" ht="12">
      <c r="B313" s="202"/>
      <c r="D313" s="189" t="s">
        <v>148</v>
      </c>
      <c r="E313" s="203" t="s">
        <v>1</v>
      </c>
      <c r="F313" s="204" t="s">
        <v>1089</v>
      </c>
      <c r="H313" s="203" t="s">
        <v>1</v>
      </c>
      <c r="I313" s="235"/>
      <c r="L313" s="202"/>
      <c r="M313" s="205"/>
      <c r="N313" s="206"/>
      <c r="O313" s="206"/>
      <c r="P313" s="206"/>
      <c r="Q313" s="206"/>
      <c r="R313" s="206"/>
      <c r="S313" s="206"/>
      <c r="T313" s="207"/>
      <c r="AT313" s="203" t="s">
        <v>148</v>
      </c>
      <c r="AU313" s="203" t="s">
        <v>87</v>
      </c>
      <c r="AV313" s="201" t="s">
        <v>85</v>
      </c>
      <c r="AW313" s="201" t="s">
        <v>34</v>
      </c>
      <c r="AX313" s="201" t="s">
        <v>78</v>
      </c>
      <c r="AY313" s="203" t="s">
        <v>139</v>
      </c>
    </row>
    <row r="314" spans="2:51" s="187" customFormat="1" ht="12">
      <c r="B314" s="188"/>
      <c r="D314" s="189" t="s">
        <v>148</v>
      </c>
      <c r="E314" s="190" t="s">
        <v>1</v>
      </c>
      <c r="F314" s="191" t="s">
        <v>1090</v>
      </c>
      <c r="H314" s="192">
        <v>0.16</v>
      </c>
      <c r="I314" s="233"/>
      <c r="L314" s="188"/>
      <c r="M314" s="193"/>
      <c r="N314" s="194"/>
      <c r="O314" s="194"/>
      <c r="P314" s="194"/>
      <c r="Q314" s="194"/>
      <c r="R314" s="194"/>
      <c r="S314" s="194"/>
      <c r="T314" s="195"/>
      <c r="AT314" s="190" t="s">
        <v>148</v>
      </c>
      <c r="AU314" s="190" t="s">
        <v>87</v>
      </c>
      <c r="AV314" s="187" t="s">
        <v>87</v>
      </c>
      <c r="AW314" s="187" t="s">
        <v>34</v>
      </c>
      <c r="AX314" s="187" t="s">
        <v>85</v>
      </c>
      <c r="AY314" s="190" t="s">
        <v>139</v>
      </c>
    </row>
    <row r="315" spans="2:63" s="162" customFormat="1" ht="22.9" customHeight="1">
      <c r="B315" s="163"/>
      <c r="D315" s="164" t="s">
        <v>77</v>
      </c>
      <c r="E315" s="173" t="s">
        <v>187</v>
      </c>
      <c r="F315" s="173" t="s">
        <v>347</v>
      </c>
      <c r="I315" s="237"/>
      <c r="J315" s="174">
        <f>SUM(J316:J377)</f>
        <v>0</v>
      </c>
      <c r="L315" s="163"/>
      <c r="M315" s="167"/>
      <c r="N315" s="168"/>
      <c r="O315" s="168"/>
      <c r="P315" s="169">
        <f>SUM(P316:P379)</f>
        <v>105.311084</v>
      </c>
      <c r="Q315" s="168"/>
      <c r="R315" s="169">
        <f>SUM(R316:R379)</f>
        <v>18.299480799999998</v>
      </c>
      <c r="S315" s="168"/>
      <c r="T315" s="170">
        <f>SUM(T316:T379)</f>
        <v>9.02592</v>
      </c>
      <c r="AR315" s="164" t="s">
        <v>85</v>
      </c>
      <c r="AT315" s="171" t="s">
        <v>77</v>
      </c>
      <c r="AU315" s="171" t="s">
        <v>85</v>
      </c>
      <c r="AY315" s="164" t="s">
        <v>139</v>
      </c>
      <c r="BK315" s="172">
        <f>SUM(BK316:BK379)</f>
        <v>0</v>
      </c>
    </row>
    <row r="316" spans="1:65" s="95" customFormat="1" ht="24.2" customHeight="1">
      <c r="A316" s="93"/>
      <c r="B316" s="92"/>
      <c r="C316" s="175" t="s">
        <v>342</v>
      </c>
      <c r="D316" s="175" t="s">
        <v>141</v>
      </c>
      <c r="E316" s="176" t="s">
        <v>1091</v>
      </c>
      <c r="F316" s="177" t="s">
        <v>1092</v>
      </c>
      <c r="G316" s="178" t="s">
        <v>171</v>
      </c>
      <c r="H316" s="179">
        <v>40</v>
      </c>
      <c r="I316" s="69"/>
      <c r="J316" s="180">
        <f>ROUND(I316*H316,2)</f>
        <v>0</v>
      </c>
      <c r="K316" s="177" t="s">
        <v>967</v>
      </c>
      <c r="L316" s="92"/>
      <c r="M316" s="181" t="s">
        <v>1</v>
      </c>
      <c r="N316" s="182" t="s">
        <v>44</v>
      </c>
      <c r="O316" s="183">
        <v>0.164</v>
      </c>
      <c r="P316" s="183">
        <f>O316*H316</f>
        <v>6.5600000000000005</v>
      </c>
      <c r="Q316" s="183">
        <v>0</v>
      </c>
      <c r="R316" s="183">
        <f>Q316*H316</f>
        <v>0</v>
      </c>
      <c r="S316" s="183">
        <v>0.155</v>
      </c>
      <c r="T316" s="184">
        <f>S316*H316</f>
        <v>6.2</v>
      </c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R316" s="185" t="s">
        <v>146</v>
      </c>
      <c r="AT316" s="185" t="s">
        <v>141</v>
      </c>
      <c r="AU316" s="185" t="s">
        <v>87</v>
      </c>
      <c r="AY316" s="83" t="s">
        <v>139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83" t="s">
        <v>85</v>
      </c>
      <c r="BK316" s="186">
        <f>ROUND(I316*H316,2)</f>
        <v>0</v>
      </c>
      <c r="BL316" s="83" t="s">
        <v>146</v>
      </c>
      <c r="BM316" s="185" t="s">
        <v>1093</v>
      </c>
    </row>
    <row r="317" spans="1:47" s="95" customFormat="1" ht="19.5">
      <c r="A317" s="93"/>
      <c r="B317" s="92"/>
      <c r="C317" s="93"/>
      <c r="D317" s="189" t="s">
        <v>153</v>
      </c>
      <c r="E317" s="93"/>
      <c r="F317" s="196" t="s">
        <v>1094</v>
      </c>
      <c r="G317" s="93"/>
      <c r="H317" s="93"/>
      <c r="I317" s="234"/>
      <c r="J317" s="93"/>
      <c r="K317" s="93"/>
      <c r="L317" s="92"/>
      <c r="M317" s="197"/>
      <c r="N317" s="198"/>
      <c r="O317" s="199"/>
      <c r="P317" s="199"/>
      <c r="Q317" s="199"/>
      <c r="R317" s="199"/>
      <c r="S317" s="199"/>
      <c r="T317" s="200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T317" s="83" t="s">
        <v>153</v>
      </c>
      <c r="AU317" s="83" t="s">
        <v>87</v>
      </c>
    </row>
    <row r="318" spans="2:51" s="187" customFormat="1" ht="12">
      <c r="B318" s="188"/>
      <c r="D318" s="189" t="s">
        <v>148</v>
      </c>
      <c r="E318" s="190" t="s">
        <v>1</v>
      </c>
      <c r="F318" s="191" t="s">
        <v>987</v>
      </c>
      <c r="H318" s="192">
        <v>40</v>
      </c>
      <c r="I318" s="233"/>
      <c r="L318" s="188"/>
      <c r="M318" s="193"/>
      <c r="N318" s="194"/>
      <c r="O318" s="194"/>
      <c r="P318" s="194"/>
      <c r="Q318" s="194"/>
      <c r="R318" s="194"/>
      <c r="S318" s="194"/>
      <c r="T318" s="195"/>
      <c r="AT318" s="190" t="s">
        <v>148</v>
      </c>
      <c r="AU318" s="190" t="s">
        <v>87</v>
      </c>
      <c r="AV318" s="187" t="s">
        <v>87</v>
      </c>
      <c r="AW318" s="187" t="s">
        <v>34</v>
      </c>
      <c r="AX318" s="187" t="s">
        <v>85</v>
      </c>
      <c r="AY318" s="190" t="s">
        <v>139</v>
      </c>
    </row>
    <row r="319" spans="1:65" s="95" customFormat="1" ht="37.9" customHeight="1">
      <c r="A319" s="93"/>
      <c r="B319" s="92"/>
      <c r="C319" s="175" t="s">
        <v>348</v>
      </c>
      <c r="D319" s="175" t="s">
        <v>141</v>
      </c>
      <c r="E319" s="176" t="s">
        <v>1095</v>
      </c>
      <c r="F319" s="177" t="s">
        <v>1096</v>
      </c>
      <c r="G319" s="178" t="s">
        <v>171</v>
      </c>
      <c r="H319" s="179">
        <v>14.64</v>
      </c>
      <c r="I319" s="69"/>
      <c r="J319" s="180">
        <f>ROUND(I319*H319,2)</f>
        <v>0</v>
      </c>
      <c r="K319" s="177" t="s">
        <v>967</v>
      </c>
      <c r="L319" s="92"/>
      <c r="M319" s="181" t="s">
        <v>1</v>
      </c>
      <c r="N319" s="182" t="s">
        <v>44</v>
      </c>
      <c r="O319" s="183">
        <v>0.283</v>
      </c>
      <c r="P319" s="183">
        <f>O319*H319</f>
        <v>4.14312</v>
      </c>
      <c r="Q319" s="183">
        <v>3E-05</v>
      </c>
      <c r="R319" s="183">
        <f>Q319*H319</f>
        <v>0.00043920000000000005</v>
      </c>
      <c r="S319" s="183">
        <v>0</v>
      </c>
      <c r="T319" s="184">
        <f>S319*H319</f>
        <v>0</v>
      </c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R319" s="185" t="s">
        <v>146</v>
      </c>
      <c r="AT319" s="185" t="s">
        <v>141</v>
      </c>
      <c r="AU319" s="185" t="s">
        <v>87</v>
      </c>
      <c r="AY319" s="83" t="s">
        <v>139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83" t="s">
        <v>85</v>
      </c>
      <c r="BK319" s="186">
        <f>ROUND(I319*H319,2)</f>
        <v>0</v>
      </c>
      <c r="BL319" s="83" t="s">
        <v>146</v>
      </c>
      <c r="BM319" s="185" t="s">
        <v>1097</v>
      </c>
    </row>
    <row r="320" spans="2:51" s="187" customFormat="1" ht="12">
      <c r="B320" s="188"/>
      <c r="D320" s="189" t="s">
        <v>148</v>
      </c>
      <c r="E320" s="190" t="s">
        <v>1</v>
      </c>
      <c r="F320" s="191" t="s">
        <v>1098</v>
      </c>
      <c r="H320" s="192">
        <v>11.64</v>
      </c>
      <c r="I320" s="233"/>
      <c r="L320" s="188"/>
      <c r="M320" s="193"/>
      <c r="N320" s="194"/>
      <c r="O320" s="194"/>
      <c r="P320" s="194"/>
      <c r="Q320" s="194"/>
      <c r="R320" s="194"/>
      <c r="S320" s="194"/>
      <c r="T320" s="195"/>
      <c r="AT320" s="190" t="s">
        <v>148</v>
      </c>
      <c r="AU320" s="190" t="s">
        <v>87</v>
      </c>
      <c r="AV320" s="187" t="s">
        <v>87</v>
      </c>
      <c r="AW320" s="187" t="s">
        <v>34</v>
      </c>
      <c r="AX320" s="187" t="s">
        <v>78</v>
      </c>
      <c r="AY320" s="190" t="s">
        <v>139</v>
      </c>
    </row>
    <row r="321" spans="2:51" s="187" customFormat="1" ht="12">
      <c r="B321" s="188"/>
      <c r="D321" s="189" t="s">
        <v>148</v>
      </c>
      <c r="E321" s="190" t="s">
        <v>1</v>
      </c>
      <c r="F321" s="191" t="s">
        <v>1099</v>
      </c>
      <c r="H321" s="192">
        <v>3</v>
      </c>
      <c r="I321" s="233"/>
      <c r="L321" s="188"/>
      <c r="M321" s="193"/>
      <c r="N321" s="194"/>
      <c r="O321" s="194"/>
      <c r="P321" s="194"/>
      <c r="Q321" s="194"/>
      <c r="R321" s="194"/>
      <c r="S321" s="194"/>
      <c r="T321" s="195"/>
      <c r="AT321" s="190" t="s">
        <v>148</v>
      </c>
      <c r="AU321" s="190" t="s">
        <v>87</v>
      </c>
      <c r="AV321" s="187" t="s">
        <v>87</v>
      </c>
      <c r="AW321" s="187" t="s">
        <v>34</v>
      </c>
      <c r="AX321" s="187" t="s">
        <v>78</v>
      </c>
      <c r="AY321" s="190" t="s">
        <v>139</v>
      </c>
    </row>
    <row r="322" spans="2:51" s="208" customFormat="1" ht="12">
      <c r="B322" s="209"/>
      <c r="D322" s="189" t="s">
        <v>148</v>
      </c>
      <c r="E322" s="210" t="s">
        <v>1</v>
      </c>
      <c r="F322" s="211" t="s">
        <v>159</v>
      </c>
      <c r="H322" s="212">
        <v>14.64</v>
      </c>
      <c r="I322" s="236"/>
      <c r="L322" s="209"/>
      <c r="M322" s="213"/>
      <c r="N322" s="214"/>
      <c r="O322" s="214"/>
      <c r="P322" s="214"/>
      <c r="Q322" s="214"/>
      <c r="R322" s="214"/>
      <c r="S322" s="214"/>
      <c r="T322" s="215"/>
      <c r="AT322" s="210" t="s">
        <v>148</v>
      </c>
      <c r="AU322" s="210" t="s">
        <v>87</v>
      </c>
      <c r="AV322" s="208" t="s">
        <v>146</v>
      </c>
      <c r="AW322" s="208" t="s">
        <v>34</v>
      </c>
      <c r="AX322" s="208" t="s">
        <v>85</v>
      </c>
      <c r="AY322" s="210" t="s">
        <v>139</v>
      </c>
    </row>
    <row r="323" spans="1:65" s="95" customFormat="1" ht="24.2" customHeight="1">
      <c r="A323" s="93"/>
      <c r="B323" s="92"/>
      <c r="C323" s="217" t="s">
        <v>352</v>
      </c>
      <c r="D323" s="217" t="s">
        <v>251</v>
      </c>
      <c r="E323" s="218" t="s">
        <v>1100</v>
      </c>
      <c r="F323" s="219" t="s">
        <v>1101</v>
      </c>
      <c r="G323" s="220" t="s">
        <v>171</v>
      </c>
      <c r="H323" s="221">
        <v>14.64</v>
      </c>
      <c r="I323" s="70"/>
      <c r="J323" s="222">
        <f>ROUND(I323*H323,2)</f>
        <v>0</v>
      </c>
      <c r="K323" s="219" t="s">
        <v>967</v>
      </c>
      <c r="L323" s="223"/>
      <c r="M323" s="224" t="s">
        <v>1</v>
      </c>
      <c r="N323" s="225" t="s">
        <v>44</v>
      </c>
      <c r="O323" s="183">
        <v>0</v>
      </c>
      <c r="P323" s="183">
        <f>O323*H323</f>
        <v>0</v>
      </c>
      <c r="Q323" s="183">
        <v>0.024</v>
      </c>
      <c r="R323" s="183">
        <f>Q323*H323</f>
        <v>0.35136</v>
      </c>
      <c r="S323" s="183">
        <v>0</v>
      </c>
      <c r="T323" s="184">
        <f>S323*H323</f>
        <v>0</v>
      </c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R323" s="185" t="s">
        <v>187</v>
      </c>
      <c r="AT323" s="185" t="s">
        <v>251</v>
      </c>
      <c r="AU323" s="185" t="s">
        <v>87</v>
      </c>
      <c r="AY323" s="83" t="s">
        <v>139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83" t="s">
        <v>85</v>
      </c>
      <c r="BK323" s="186">
        <f>ROUND(I323*H323,2)</f>
        <v>0</v>
      </c>
      <c r="BL323" s="83" t="s">
        <v>146</v>
      </c>
      <c r="BM323" s="185" t="s">
        <v>1102</v>
      </c>
    </row>
    <row r="324" spans="1:65" s="95" customFormat="1" ht="62.65" customHeight="1">
      <c r="A324" s="93"/>
      <c r="B324" s="92"/>
      <c r="C324" s="175" t="s">
        <v>357</v>
      </c>
      <c r="D324" s="175" t="s">
        <v>141</v>
      </c>
      <c r="E324" s="176" t="s">
        <v>1103</v>
      </c>
      <c r="F324" s="177" t="s">
        <v>1104</v>
      </c>
      <c r="G324" s="178" t="s">
        <v>297</v>
      </c>
      <c r="H324" s="179">
        <v>5</v>
      </c>
      <c r="I324" s="69"/>
      <c r="J324" s="180">
        <f>ROUND(I324*H324,2)</f>
        <v>0</v>
      </c>
      <c r="K324" s="177" t="s">
        <v>967</v>
      </c>
      <c r="L324" s="92"/>
      <c r="M324" s="181" t="s">
        <v>1</v>
      </c>
      <c r="N324" s="182" t="s">
        <v>44</v>
      </c>
      <c r="O324" s="183">
        <v>0.037</v>
      </c>
      <c r="P324" s="183">
        <f>O324*H324</f>
        <v>0.185</v>
      </c>
      <c r="Q324" s="183">
        <v>0.00085</v>
      </c>
      <c r="R324" s="183">
        <f>Q324*H324</f>
        <v>0.0042499999999999994</v>
      </c>
      <c r="S324" s="183">
        <v>0</v>
      </c>
      <c r="T324" s="184">
        <f>S324*H324</f>
        <v>0</v>
      </c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R324" s="185" t="s">
        <v>146</v>
      </c>
      <c r="AT324" s="185" t="s">
        <v>141</v>
      </c>
      <c r="AU324" s="185" t="s">
        <v>87</v>
      </c>
      <c r="AY324" s="83" t="s">
        <v>139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83" t="s">
        <v>85</v>
      </c>
      <c r="BK324" s="186">
        <f>ROUND(I324*H324,2)</f>
        <v>0</v>
      </c>
      <c r="BL324" s="83" t="s">
        <v>146</v>
      </c>
      <c r="BM324" s="185" t="s">
        <v>1105</v>
      </c>
    </row>
    <row r="325" spans="2:51" s="201" customFormat="1" ht="12">
      <c r="B325" s="202"/>
      <c r="D325" s="189" t="s">
        <v>148</v>
      </c>
      <c r="E325" s="203" t="s">
        <v>1</v>
      </c>
      <c r="F325" s="204" t="s">
        <v>440</v>
      </c>
      <c r="H325" s="203" t="s">
        <v>1</v>
      </c>
      <c r="I325" s="235"/>
      <c r="L325" s="202"/>
      <c r="M325" s="205"/>
      <c r="N325" s="206"/>
      <c r="O325" s="206"/>
      <c r="P325" s="206"/>
      <c r="Q325" s="206"/>
      <c r="R325" s="206"/>
      <c r="S325" s="206"/>
      <c r="T325" s="207"/>
      <c r="AT325" s="203" t="s">
        <v>148</v>
      </c>
      <c r="AU325" s="203" t="s">
        <v>87</v>
      </c>
      <c r="AV325" s="201" t="s">
        <v>85</v>
      </c>
      <c r="AW325" s="201" t="s">
        <v>34</v>
      </c>
      <c r="AX325" s="201" t="s">
        <v>78</v>
      </c>
      <c r="AY325" s="203" t="s">
        <v>139</v>
      </c>
    </row>
    <row r="326" spans="2:51" s="187" customFormat="1" ht="12">
      <c r="B326" s="188"/>
      <c r="D326" s="189" t="s">
        <v>148</v>
      </c>
      <c r="E326" s="190" t="s">
        <v>1</v>
      </c>
      <c r="F326" s="191" t="s">
        <v>168</v>
      </c>
      <c r="H326" s="192">
        <v>5</v>
      </c>
      <c r="I326" s="233"/>
      <c r="L326" s="188"/>
      <c r="M326" s="193"/>
      <c r="N326" s="194"/>
      <c r="O326" s="194"/>
      <c r="P326" s="194"/>
      <c r="Q326" s="194"/>
      <c r="R326" s="194"/>
      <c r="S326" s="194"/>
      <c r="T326" s="195"/>
      <c r="AT326" s="190" t="s">
        <v>148</v>
      </c>
      <c r="AU326" s="190" t="s">
        <v>87</v>
      </c>
      <c r="AV326" s="187" t="s">
        <v>87</v>
      </c>
      <c r="AW326" s="187" t="s">
        <v>34</v>
      </c>
      <c r="AX326" s="187" t="s">
        <v>85</v>
      </c>
      <c r="AY326" s="190" t="s">
        <v>139</v>
      </c>
    </row>
    <row r="327" spans="1:65" s="95" customFormat="1" ht="37.9" customHeight="1">
      <c r="A327" s="93"/>
      <c r="B327" s="92"/>
      <c r="C327" s="175" t="s">
        <v>362</v>
      </c>
      <c r="D327" s="175" t="s">
        <v>141</v>
      </c>
      <c r="E327" s="176" t="s">
        <v>853</v>
      </c>
      <c r="F327" s="177" t="s">
        <v>854</v>
      </c>
      <c r="G327" s="178" t="s">
        <v>171</v>
      </c>
      <c r="H327" s="179">
        <v>75.08</v>
      </c>
      <c r="I327" s="69"/>
      <c r="J327" s="180">
        <f>ROUND(I327*H327,2)</f>
        <v>0</v>
      </c>
      <c r="K327" s="177" t="s">
        <v>967</v>
      </c>
      <c r="L327" s="92"/>
      <c r="M327" s="181" t="s">
        <v>1</v>
      </c>
      <c r="N327" s="182" t="s">
        <v>44</v>
      </c>
      <c r="O327" s="183">
        <v>0.686</v>
      </c>
      <c r="P327" s="183">
        <f>O327*H327</f>
        <v>51.50488</v>
      </c>
      <c r="Q327" s="183">
        <v>8E-05</v>
      </c>
      <c r="R327" s="183">
        <f>Q327*H327</f>
        <v>0.0060064</v>
      </c>
      <c r="S327" s="183">
        <v>0</v>
      </c>
      <c r="T327" s="184">
        <f>S327*H327</f>
        <v>0</v>
      </c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R327" s="185" t="s">
        <v>146</v>
      </c>
      <c r="AT327" s="185" t="s">
        <v>141</v>
      </c>
      <c r="AU327" s="185" t="s">
        <v>87</v>
      </c>
      <c r="AY327" s="83" t="s">
        <v>139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83" t="s">
        <v>85</v>
      </c>
      <c r="BK327" s="186">
        <f>ROUND(I327*H327,2)</f>
        <v>0</v>
      </c>
      <c r="BL327" s="83" t="s">
        <v>146</v>
      </c>
      <c r="BM327" s="185" t="s">
        <v>1106</v>
      </c>
    </row>
    <row r="328" spans="2:51" s="201" customFormat="1" ht="12">
      <c r="B328" s="202"/>
      <c r="D328" s="189" t="s">
        <v>148</v>
      </c>
      <c r="E328" s="203" t="s">
        <v>1</v>
      </c>
      <c r="F328" s="204" t="s">
        <v>871</v>
      </c>
      <c r="H328" s="203" t="s">
        <v>1</v>
      </c>
      <c r="I328" s="235"/>
      <c r="L328" s="202"/>
      <c r="M328" s="205"/>
      <c r="N328" s="206"/>
      <c r="O328" s="206"/>
      <c r="P328" s="206"/>
      <c r="Q328" s="206"/>
      <c r="R328" s="206"/>
      <c r="S328" s="206"/>
      <c r="T328" s="207"/>
      <c r="AT328" s="203" t="s">
        <v>148</v>
      </c>
      <c r="AU328" s="203" t="s">
        <v>87</v>
      </c>
      <c r="AV328" s="201" t="s">
        <v>85</v>
      </c>
      <c r="AW328" s="201" t="s">
        <v>34</v>
      </c>
      <c r="AX328" s="201" t="s">
        <v>78</v>
      </c>
      <c r="AY328" s="203" t="s">
        <v>139</v>
      </c>
    </row>
    <row r="329" spans="2:51" s="187" customFormat="1" ht="12">
      <c r="B329" s="188"/>
      <c r="D329" s="189" t="s">
        <v>148</v>
      </c>
      <c r="E329" s="190" t="s">
        <v>1</v>
      </c>
      <c r="F329" s="191" t="s">
        <v>1107</v>
      </c>
      <c r="H329" s="192">
        <v>81.68</v>
      </c>
      <c r="I329" s="233"/>
      <c r="L329" s="188"/>
      <c r="M329" s="193"/>
      <c r="N329" s="194"/>
      <c r="O329" s="194"/>
      <c r="P329" s="194"/>
      <c r="Q329" s="194"/>
      <c r="R329" s="194"/>
      <c r="S329" s="194"/>
      <c r="T329" s="195"/>
      <c r="AT329" s="190" t="s">
        <v>148</v>
      </c>
      <c r="AU329" s="190" t="s">
        <v>87</v>
      </c>
      <c r="AV329" s="187" t="s">
        <v>87</v>
      </c>
      <c r="AW329" s="187" t="s">
        <v>34</v>
      </c>
      <c r="AX329" s="187" t="s">
        <v>78</v>
      </c>
      <c r="AY329" s="190" t="s">
        <v>139</v>
      </c>
    </row>
    <row r="330" spans="2:51" s="187" customFormat="1" ht="12">
      <c r="B330" s="188"/>
      <c r="D330" s="189" t="s">
        <v>148</v>
      </c>
      <c r="E330" s="190" t="s">
        <v>1</v>
      </c>
      <c r="F330" s="191" t="s">
        <v>1108</v>
      </c>
      <c r="H330" s="192">
        <v>-3</v>
      </c>
      <c r="I330" s="233"/>
      <c r="L330" s="188"/>
      <c r="M330" s="193"/>
      <c r="N330" s="194"/>
      <c r="O330" s="194"/>
      <c r="P330" s="194"/>
      <c r="Q330" s="194"/>
      <c r="R330" s="194"/>
      <c r="S330" s="194"/>
      <c r="T330" s="195"/>
      <c r="AT330" s="190" t="s">
        <v>148</v>
      </c>
      <c r="AU330" s="190" t="s">
        <v>87</v>
      </c>
      <c r="AV330" s="187" t="s">
        <v>87</v>
      </c>
      <c r="AW330" s="187" t="s">
        <v>34</v>
      </c>
      <c r="AX330" s="187" t="s">
        <v>78</v>
      </c>
      <c r="AY330" s="190" t="s">
        <v>139</v>
      </c>
    </row>
    <row r="331" spans="2:51" s="187" customFormat="1" ht="12">
      <c r="B331" s="188"/>
      <c r="D331" s="189" t="s">
        <v>148</v>
      </c>
      <c r="E331" s="190" t="s">
        <v>1</v>
      </c>
      <c r="F331" s="191" t="s">
        <v>1109</v>
      </c>
      <c r="H331" s="192">
        <v>-3.6</v>
      </c>
      <c r="I331" s="233"/>
      <c r="L331" s="188"/>
      <c r="M331" s="193"/>
      <c r="N331" s="194"/>
      <c r="O331" s="194"/>
      <c r="P331" s="194"/>
      <c r="Q331" s="194"/>
      <c r="R331" s="194"/>
      <c r="S331" s="194"/>
      <c r="T331" s="195"/>
      <c r="AT331" s="190" t="s">
        <v>148</v>
      </c>
      <c r="AU331" s="190" t="s">
        <v>87</v>
      </c>
      <c r="AV331" s="187" t="s">
        <v>87</v>
      </c>
      <c r="AW331" s="187" t="s">
        <v>34</v>
      </c>
      <c r="AX331" s="187" t="s">
        <v>78</v>
      </c>
      <c r="AY331" s="190" t="s">
        <v>139</v>
      </c>
    </row>
    <row r="332" spans="2:51" s="208" customFormat="1" ht="12">
      <c r="B332" s="209"/>
      <c r="D332" s="189" t="s">
        <v>148</v>
      </c>
      <c r="E332" s="210" t="s">
        <v>1</v>
      </c>
      <c r="F332" s="211" t="s">
        <v>159</v>
      </c>
      <c r="H332" s="212">
        <v>75.08</v>
      </c>
      <c r="I332" s="236"/>
      <c r="L332" s="209"/>
      <c r="M332" s="213"/>
      <c r="N332" s="214"/>
      <c r="O332" s="214"/>
      <c r="P332" s="214"/>
      <c r="Q332" s="214"/>
      <c r="R332" s="214"/>
      <c r="S332" s="214"/>
      <c r="T332" s="215"/>
      <c r="AT332" s="210" t="s">
        <v>148</v>
      </c>
      <c r="AU332" s="210" t="s">
        <v>87</v>
      </c>
      <c r="AV332" s="208" t="s">
        <v>146</v>
      </c>
      <c r="AW332" s="208" t="s">
        <v>34</v>
      </c>
      <c r="AX332" s="208" t="s">
        <v>85</v>
      </c>
      <c r="AY332" s="210" t="s">
        <v>139</v>
      </c>
    </row>
    <row r="333" spans="1:65" s="95" customFormat="1" ht="24.2" customHeight="1">
      <c r="A333" s="93"/>
      <c r="B333" s="92"/>
      <c r="C333" s="217" t="s">
        <v>367</v>
      </c>
      <c r="D333" s="217" t="s">
        <v>251</v>
      </c>
      <c r="E333" s="218" t="s">
        <v>855</v>
      </c>
      <c r="F333" s="219" t="s">
        <v>1110</v>
      </c>
      <c r="G333" s="220" t="s">
        <v>171</v>
      </c>
      <c r="H333" s="221">
        <v>75.08</v>
      </c>
      <c r="I333" s="70"/>
      <c r="J333" s="222">
        <f>ROUND(I333*H333,2)</f>
        <v>0</v>
      </c>
      <c r="K333" s="219" t="s">
        <v>967</v>
      </c>
      <c r="L333" s="223"/>
      <c r="M333" s="224" t="s">
        <v>1</v>
      </c>
      <c r="N333" s="225" t="s">
        <v>44</v>
      </c>
      <c r="O333" s="183">
        <v>0</v>
      </c>
      <c r="P333" s="183">
        <f>O333*H333</f>
        <v>0</v>
      </c>
      <c r="Q333" s="183">
        <v>0.072</v>
      </c>
      <c r="R333" s="183">
        <f>Q333*H333</f>
        <v>5.40576</v>
      </c>
      <c r="S333" s="183">
        <v>0</v>
      </c>
      <c r="T333" s="184">
        <f>S333*H333</f>
        <v>0</v>
      </c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R333" s="185" t="s">
        <v>187</v>
      </c>
      <c r="AT333" s="185" t="s">
        <v>251</v>
      </c>
      <c r="AU333" s="185" t="s">
        <v>87</v>
      </c>
      <c r="AY333" s="83" t="s">
        <v>139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83" t="s">
        <v>85</v>
      </c>
      <c r="BK333" s="186">
        <f>ROUND(I333*H333,2)</f>
        <v>0</v>
      </c>
      <c r="BL333" s="83" t="s">
        <v>146</v>
      </c>
      <c r="BM333" s="185" t="s">
        <v>1111</v>
      </c>
    </row>
    <row r="334" spans="1:65" s="95" customFormat="1" ht="37.9" customHeight="1">
      <c r="A334" s="93"/>
      <c r="B334" s="92"/>
      <c r="C334" s="175" t="s">
        <v>371</v>
      </c>
      <c r="D334" s="175" t="s">
        <v>141</v>
      </c>
      <c r="E334" s="176" t="s">
        <v>1112</v>
      </c>
      <c r="F334" s="177" t="s">
        <v>1113</v>
      </c>
      <c r="G334" s="178" t="s">
        <v>297</v>
      </c>
      <c r="H334" s="179">
        <f>H335</f>
        <v>5</v>
      </c>
      <c r="I334" s="69"/>
      <c r="J334" s="180">
        <f>ROUND(I334*H334,2)</f>
        <v>0</v>
      </c>
      <c r="K334" s="177" t="s">
        <v>967</v>
      </c>
      <c r="L334" s="92"/>
      <c r="M334" s="181" t="s">
        <v>1</v>
      </c>
      <c r="N334" s="182" t="s">
        <v>44</v>
      </c>
      <c r="O334" s="183">
        <v>0.539</v>
      </c>
      <c r="P334" s="183">
        <f>O334*H334</f>
        <v>2.6950000000000003</v>
      </c>
      <c r="Q334" s="183">
        <v>7E-05</v>
      </c>
      <c r="R334" s="183">
        <f>Q334*H334</f>
        <v>0.00034999999999999994</v>
      </c>
      <c r="S334" s="183">
        <v>0</v>
      </c>
      <c r="T334" s="184">
        <f>S334*H334</f>
        <v>0</v>
      </c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R334" s="185" t="s">
        <v>146</v>
      </c>
      <c r="AT334" s="185" t="s">
        <v>141</v>
      </c>
      <c r="AU334" s="185" t="s">
        <v>87</v>
      </c>
      <c r="AY334" s="83" t="s">
        <v>139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83" t="s">
        <v>85</v>
      </c>
      <c r="BK334" s="186">
        <f>ROUND(I334*H334,2)</f>
        <v>0</v>
      </c>
      <c r="BL334" s="83" t="s">
        <v>146</v>
      </c>
      <c r="BM334" s="185" t="s">
        <v>1114</v>
      </c>
    </row>
    <row r="335" spans="2:51" s="187" customFormat="1" ht="12">
      <c r="B335" s="188"/>
      <c r="D335" s="189" t="s">
        <v>148</v>
      </c>
      <c r="E335" s="190" t="s">
        <v>1</v>
      </c>
      <c r="F335" s="191">
        <v>5</v>
      </c>
      <c r="H335" s="192">
        <v>5</v>
      </c>
      <c r="I335" s="233"/>
      <c r="L335" s="188"/>
      <c r="M335" s="193"/>
      <c r="N335" s="194"/>
      <c r="O335" s="194"/>
      <c r="P335" s="194"/>
      <c r="Q335" s="194"/>
      <c r="R335" s="194"/>
      <c r="S335" s="194"/>
      <c r="T335" s="195"/>
      <c r="AT335" s="190" t="s">
        <v>148</v>
      </c>
      <c r="AU335" s="190" t="s">
        <v>87</v>
      </c>
      <c r="AV335" s="187" t="s">
        <v>87</v>
      </c>
      <c r="AW335" s="187" t="s">
        <v>34</v>
      </c>
      <c r="AX335" s="187" t="s">
        <v>85</v>
      </c>
      <c r="AY335" s="190" t="s">
        <v>139</v>
      </c>
    </row>
    <row r="336" spans="1:65" s="95" customFormat="1" ht="24.2" customHeight="1">
      <c r="A336" s="93"/>
      <c r="B336" s="92"/>
      <c r="C336" s="217" t="s">
        <v>375</v>
      </c>
      <c r="D336" s="217" t="s">
        <v>251</v>
      </c>
      <c r="E336" s="218" t="s">
        <v>1115</v>
      </c>
      <c r="F336" s="219" t="s">
        <v>1116</v>
      </c>
      <c r="G336" s="220" t="s">
        <v>297</v>
      </c>
      <c r="H336" s="221">
        <v>2</v>
      </c>
      <c r="I336" s="70"/>
      <c r="J336" s="222">
        <f>ROUND(I336*H336,2)</f>
        <v>0</v>
      </c>
      <c r="K336" s="219" t="s">
        <v>967</v>
      </c>
      <c r="L336" s="223"/>
      <c r="M336" s="224" t="s">
        <v>1</v>
      </c>
      <c r="N336" s="225" t="s">
        <v>44</v>
      </c>
      <c r="O336" s="183">
        <v>0</v>
      </c>
      <c r="P336" s="183">
        <f>O336*H336</f>
        <v>0</v>
      </c>
      <c r="Q336" s="183">
        <v>0.01</v>
      </c>
      <c r="R336" s="183">
        <f>Q336*H336</f>
        <v>0.02</v>
      </c>
      <c r="S336" s="183">
        <v>0</v>
      </c>
      <c r="T336" s="184">
        <f>S336*H336</f>
        <v>0</v>
      </c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R336" s="185" t="s">
        <v>187</v>
      </c>
      <c r="AT336" s="185" t="s">
        <v>251</v>
      </c>
      <c r="AU336" s="185" t="s">
        <v>87</v>
      </c>
      <c r="AY336" s="83" t="s">
        <v>139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83" t="s">
        <v>85</v>
      </c>
      <c r="BK336" s="186">
        <f>ROUND(I336*H336,2)</f>
        <v>0</v>
      </c>
      <c r="BL336" s="83" t="s">
        <v>146</v>
      </c>
      <c r="BM336" s="185" t="s">
        <v>1117</v>
      </c>
    </row>
    <row r="337" spans="1:65" s="95" customFormat="1" ht="24.2" customHeight="1">
      <c r="A337" s="93"/>
      <c r="B337" s="92"/>
      <c r="C337" s="217" t="s">
        <v>379</v>
      </c>
      <c r="D337" s="217" t="s">
        <v>251</v>
      </c>
      <c r="E337" s="218" t="s">
        <v>1118</v>
      </c>
      <c r="F337" s="219" t="s">
        <v>1119</v>
      </c>
      <c r="G337" s="220" t="s">
        <v>297</v>
      </c>
      <c r="H337" s="221">
        <v>3</v>
      </c>
      <c r="I337" s="70"/>
      <c r="J337" s="222">
        <f>ROUND(I337*H337,2)</f>
        <v>0</v>
      </c>
      <c r="K337" s="219" t="s">
        <v>967</v>
      </c>
      <c r="L337" s="223"/>
      <c r="M337" s="224" t="s">
        <v>1</v>
      </c>
      <c r="N337" s="225" t="s">
        <v>44</v>
      </c>
      <c r="O337" s="183">
        <v>0</v>
      </c>
      <c r="P337" s="183">
        <f>O337*H337</f>
        <v>0</v>
      </c>
      <c r="Q337" s="183">
        <v>0.01</v>
      </c>
      <c r="R337" s="183">
        <f>Q337*H337</f>
        <v>0.03</v>
      </c>
      <c r="S337" s="183">
        <v>0</v>
      </c>
      <c r="T337" s="184">
        <f>S337*H337</f>
        <v>0</v>
      </c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R337" s="185" t="s">
        <v>187</v>
      </c>
      <c r="AT337" s="185" t="s">
        <v>251</v>
      </c>
      <c r="AU337" s="185" t="s">
        <v>87</v>
      </c>
      <c r="AY337" s="83" t="s">
        <v>139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83" t="s">
        <v>85</v>
      </c>
      <c r="BK337" s="186">
        <f>ROUND(I337*H337,2)</f>
        <v>0</v>
      </c>
      <c r="BL337" s="83" t="s">
        <v>146</v>
      </c>
      <c r="BM337" s="185" t="s">
        <v>1120</v>
      </c>
    </row>
    <row r="338" spans="1:65" s="95" customFormat="1" ht="37.9" customHeight="1">
      <c r="A338" s="93"/>
      <c r="B338" s="92"/>
      <c r="C338" s="175" t="s">
        <v>388</v>
      </c>
      <c r="D338" s="175" t="s">
        <v>141</v>
      </c>
      <c r="E338" s="176" t="s">
        <v>856</v>
      </c>
      <c r="F338" s="177" t="s">
        <v>857</v>
      </c>
      <c r="G338" s="178" t="s">
        <v>297</v>
      </c>
      <c r="H338" s="179">
        <v>5</v>
      </c>
      <c r="I338" s="69"/>
      <c r="J338" s="180">
        <f>ROUND(I338*H338,2)</f>
        <v>0</v>
      </c>
      <c r="K338" s="177" t="s">
        <v>967</v>
      </c>
      <c r="L338" s="92"/>
      <c r="M338" s="181" t="s">
        <v>1</v>
      </c>
      <c r="N338" s="182" t="s">
        <v>44</v>
      </c>
      <c r="O338" s="183">
        <v>1</v>
      </c>
      <c r="P338" s="183">
        <f>O338*H338</f>
        <v>5</v>
      </c>
      <c r="Q338" s="183">
        <v>0.00016</v>
      </c>
      <c r="R338" s="183">
        <f>Q338*H338</f>
        <v>0.0008</v>
      </c>
      <c r="S338" s="183">
        <v>0</v>
      </c>
      <c r="T338" s="184">
        <f>S338*H338</f>
        <v>0</v>
      </c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R338" s="185" t="s">
        <v>146</v>
      </c>
      <c r="AT338" s="185" t="s">
        <v>141</v>
      </c>
      <c r="AU338" s="185" t="s">
        <v>87</v>
      </c>
      <c r="AY338" s="83" t="s">
        <v>139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83" t="s">
        <v>85</v>
      </c>
      <c r="BK338" s="186">
        <f>ROUND(I338*H338,2)</f>
        <v>0</v>
      </c>
      <c r="BL338" s="83" t="s">
        <v>146</v>
      </c>
      <c r="BM338" s="185" t="s">
        <v>1121</v>
      </c>
    </row>
    <row r="339" spans="2:51" s="201" customFormat="1" ht="12">
      <c r="B339" s="202"/>
      <c r="D339" s="189" t="s">
        <v>148</v>
      </c>
      <c r="E339" s="203" t="s">
        <v>1</v>
      </c>
      <c r="F339" s="204" t="s">
        <v>1122</v>
      </c>
      <c r="H339" s="203" t="s">
        <v>1</v>
      </c>
      <c r="I339" s="235"/>
      <c r="L339" s="202"/>
      <c r="M339" s="205"/>
      <c r="N339" s="206"/>
      <c r="O339" s="206"/>
      <c r="P339" s="206"/>
      <c r="Q339" s="206"/>
      <c r="R339" s="206"/>
      <c r="S339" s="206"/>
      <c r="T339" s="207"/>
      <c r="AT339" s="203" t="s">
        <v>148</v>
      </c>
      <c r="AU339" s="203" t="s">
        <v>87</v>
      </c>
      <c r="AV339" s="201" t="s">
        <v>85</v>
      </c>
      <c r="AW339" s="201" t="s">
        <v>34</v>
      </c>
      <c r="AX339" s="201" t="s">
        <v>78</v>
      </c>
      <c r="AY339" s="203" t="s">
        <v>139</v>
      </c>
    </row>
    <row r="340" spans="2:51" s="187" customFormat="1" ht="12">
      <c r="B340" s="188"/>
      <c r="D340" s="189" t="s">
        <v>148</v>
      </c>
      <c r="E340" s="190" t="s">
        <v>1</v>
      </c>
      <c r="F340" s="191">
        <v>5</v>
      </c>
      <c r="H340" s="192">
        <v>5</v>
      </c>
      <c r="I340" s="233"/>
      <c r="L340" s="188"/>
      <c r="M340" s="193"/>
      <c r="N340" s="194"/>
      <c r="O340" s="194"/>
      <c r="P340" s="194"/>
      <c r="Q340" s="194"/>
      <c r="R340" s="194"/>
      <c r="S340" s="194"/>
      <c r="T340" s="195"/>
      <c r="AT340" s="190" t="s">
        <v>148</v>
      </c>
      <c r="AU340" s="190" t="s">
        <v>87</v>
      </c>
      <c r="AV340" s="187" t="s">
        <v>87</v>
      </c>
      <c r="AW340" s="187" t="s">
        <v>34</v>
      </c>
      <c r="AX340" s="187" t="s">
        <v>85</v>
      </c>
      <c r="AY340" s="190" t="s">
        <v>139</v>
      </c>
    </row>
    <row r="341" spans="1:65" s="95" customFormat="1" ht="24.2" customHeight="1">
      <c r="A341" s="93"/>
      <c r="B341" s="92"/>
      <c r="C341" s="217" t="s">
        <v>392</v>
      </c>
      <c r="D341" s="217" t="s">
        <v>251</v>
      </c>
      <c r="E341" s="218" t="s">
        <v>1123</v>
      </c>
      <c r="F341" s="219" t="s">
        <v>1124</v>
      </c>
      <c r="G341" s="220" t="s">
        <v>297</v>
      </c>
      <c r="H341" s="221">
        <v>5</v>
      </c>
      <c r="I341" s="70"/>
      <c r="J341" s="222">
        <f>ROUND(I341*H341,2)</f>
        <v>0</v>
      </c>
      <c r="K341" s="219" t="s">
        <v>967</v>
      </c>
      <c r="L341" s="223"/>
      <c r="M341" s="224" t="s">
        <v>1</v>
      </c>
      <c r="N341" s="225" t="s">
        <v>44</v>
      </c>
      <c r="O341" s="183">
        <v>0</v>
      </c>
      <c r="P341" s="183">
        <f>O341*H341</f>
        <v>0</v>
      </c>
      <c r="Q341" s="183">
        <v>0.073</v>
      </c>
      <c r="R341" s="183">
        <f>Q341*H341</f>
        <v>0.365</v>
      </c>
      <c r="S341" s="183">
        <v>0</v>
      </c>
      <c r="T341" s="184">
        <f>S341*H341</f>
        <v>0</v>
      </c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R341" s="185" t="s">
        <v>187</v>
      </c>
      <c r="AT341" s="185" t="s">
        <v>251</v>
      </c>
      <c r="AU341" s="185" t="s">
        <v>87</v>
      </c>
      <c r="AY341" s="83" t="s">
        <v>139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83" t="s">
        <v>85</v>
      </c>
      <c r="BK341" s="186">
        <f>ROUND(I341*H341,2)</f>
        <v>0</v>
      </c>
      <c r="BL341" s="83" t="s">
        <v>146</v>
      </c>
      <c r="BM341" s="185" t="s">
        <v>1125</v>
      </c>
    </row>
    <row r="342" spans="1:65" s="95" customFormat="1" ht="37.9" customHeight="1">
      <c r="A342" s="93"/>
      <c r="B342" s="92"/>
      <c r="C342" s="175" t="s">
        <v>396</v>
      </c>
      <c r="D342" s="175" t="s">
        <v>141</v>
      </c>
      <c r="E342" s="176" t="s">
        <v>1126</v>
      </c>
      <c r="F342" s="177" t="s">
        <v>1127</v>
      </c>
      <c r="G342" s="178" t="s">
        <v>297</v>
      </c>
      <c r="H342" s="179">
        <v>6</v>
      </c>
      <c r="I342" s="69"/>
      <c r="J342" s="180">
        <f>ROUND(I342*H342,2)</f>
        <v>0</v>
      </c>
      <c r="K342" s="177" t="s">
        <v>967</v>
      </c>
      <c r="L342" s="92"/>
      <c r="M342" s="181" t="s">
        <v>1</v>
      </c>
      <c r="N342" s="182" t="s">
        <v>44</v>
      </c>
      <c r="O342" s="183">
        <v>1.006</v>
      </c>
      <c r="P342" s="183">
        <f>O342*H342</f>
        <v>6.036</v>
      </c>
      <c r="Q342" s="183">
        <v>9E-05</v>
      </c>
      <c r="R342" s="183">
        <f>Q342*H342</f>
        <v>0.00054</v>
      </c>
      <c r="S342" s="183">
        <v>0</v>
      </c>
      <c r="T342" s="184">
        <f>S342*H342</f>
        <v>0</v>
      </c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R342" s="185" t="s">
        <v>146</v>
      </c>
      <c r="AT342" s="185" t="s">
        <v>141</v>
      </c>
      <c r="AU342" s="185" t="s">
        <v>87</v>
      </c>
      <c r="AY342" s="83" t="s">
        <v>139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83" t="s">
        <v>85</v>
      </c>
      <c r="BK342" s="186">
        <f>ROUND(I342*H342,2)</f>
        <v>0</v>
      </c>
      <c r="BL342" s="83" t="s">
        <v>146</v>
      </c>
      <c r="BM342" s="185" t="s">
        <v>1128</v>
      </c>
    </row>
    <row r="343" spans="2:51" s="187" customFormat="1" ht="12">
      <c r="B343" s="188"/>
      <c r="D343" s="189" t="s">
        <v>148</v>
      </c>
      <c r="E343" s="190" t="s">
        <v>1</v>
      </c>
      <c r="F343" s="191" t="s">
        <v>1129</v>
      </c>
      <c r="H343" s="192">
        <v>6</v>
      </c>
      <c r="I343" s="233"/>
      <c r="L343" s="188"/>
      <c r="M343" s="193"/>
      <c r="N343" s="194"/>
      <c r="O343" s="194"/>
      <c r="P343" s="194"/>
      <c r="Q343" s="194"/>
      <c r="R343" s="194"/>
      <c r="S343" s="194"/>
      <c r="T343" s="195"/>
      <c r="AT343" s="190" t="s">
        <v>148</v>
      </c>
      <c r="AU343" s="190" t="s">
        <v>87</v>
      </c>
      <c r="AV343" s="187" t="s">
        <v>87</v>
      </c>
      <c r="AW343" s="187" t="s">
        <v>34</v>
      </c>
      <c r="AX343" s="187" t="s">
        <v>85</v>
      </c>
      <c r="AY343" s="190" t="s">
        <v>139</v>
      </c>
    </row>
    <row r="344" spans="1:65" s="95" customFormat="1" ht="24.2" customHeight="1">
      <c r="A344" s="93"/>
      <c r="B344" s="92"/>
      <c r="C344" s="217" t="s">
        <v>400</v>
      </c>
      <c r="D344" s="217" t="s">
        <v>251</v>
      </c>
      <c r="E344" s="218" t="s">
        <v>1130</v>
      </c>
      <c r="F344" s="219" t="s">
        <v>1131</v>
      </c>
      <c r="G344" s="220" t="s">
        <v>297</v>
      </c>
      <c r="H344" s="221">
        <v>3</v>
      </c>
      <c r="I344" s="70"/>
      <c r="J344" s="222">
        <f>ROUND(I344*H344,2)</f>
        <v>0</v>
      </c>
      <c r="K344" s="219" t="s">
        <v>967</v>
      </c>
      <c r="L344" s="223"/>
      <c r="M344" s="224" t="s">
        <v>1</v>
      </c>
      <c r="N344" s="225" t="s">
        <v>44</v>
      </c>
      <c r="O344" s="183">
        <v>0</v>
      </c>
      <c r="P344" s="183">
        <f>O344*H344</f>
        <v>0</v>
      </c>
      <c r="Q344" s="183">
        <v>0.045</v>
      </c>
      <c r="R344" s="183">
        <f>Q344*H344</f>
        <v>0.135</v>
      </c>
      <c r="S344" s="183">
        <v>0</v>
      </c>
      <c r="T344" s="184">
        <f>S344*H344</f>
        <v>0</v>
      </c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R344" s="185" t="s">
        <v>187</v>
      </c>
      <c r="AT344" s="185" t="s">
        <v>251</v>
      </c>
      <c r="AU344" s="185" t="s">
        <v>87</v>
      </c>
      <c r="AY344" s="83" t="s">
        <v>139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83" t="s">
        <v>85</v>
      </c>
      <c r="BK344" s="186">
        <f>ROUND(I344*H344,2)</f>
        <v>0</v>
      </c>
      <c r="BL344" s="83" t="s">
        <v>146</v>
      </c>
      <c r="BM344" s="185" t="s">
        <v>1132</v>
      </c>
    </row>
    <row r="345" spans="2:51" s="187" customFormat="1" ht="12">
      <c r="B345" s="188"/>
      <c r="D345" s="189" t="s">
        <v>148</v>
      </c>
      <c r="E345" s="190" t="s">
        <v>1</v>
      </c>
      <c r="F345" s="191" t="s">
        <v>160</v>
      </c>
      <c r="H345" s="192">
        <v>3</v>
      </c>
      <c r="I345" s="233"/>
      <c r="L345" s="188"/>
      <c r="M345" s="193"/>
      <c r="N345" s="194"/>
      <c r="O345" s="194"/>
      <c r="P345" s="194"/>
      <c r="Q345" s="194"/>
      <c r="R345" s="194"/>
      <c r="S345" s="194"/>
      <c r="T345" s="195"/>
      <c r="AT345" s="190" t="s">
        <v>148</v>
      </c>
      <c r="AU345" s="190" t="s">
        <v>87</v>
      </c>
      <c r="AV345" s="187" t="s">
        <v>87</v>
      </c>
      <c r="AW345" s="187" t="s">
        <v>34</v>
      </c>
      <c r="AX345" s="187" t="s">
        <v>85</v>
      </c>
      <c r="AY345" s="190" t="s">
        <v>139</v>
      </c>
    </row>
    <row r="346" spans="1:65" s="95" customFormat="1" ht="24.2" customHeight="1">
      <c r="A346" s="93"/>
      <c r="B346" s="92"/>
      <c r="C346" s="217" t="s">
        <v>404</v>
      </c>
      <c r="D346" s="217" t="s">
        <v>251</v>
      </c>
      <c r="E346" s="218" t="s">
        <v>1133</v>
      </c>
      <c r="F346" s="219" t="s">
        <v>1134</v>
      </c>
      <c r="G346" s="220" t="s">
        <v>297</v>
      </c>
      <c r="H346" s="221">
        <v>3</v>
      </c>
      <c r="I346" s="70"/>
      <c r="J346" s="222">
        <f>ROUND(I346*H346,2)</f>
        <v>0</v>
      </c>
      <c r="K346" s="219" t="s">
        <v>967</v>
      </c>
      <c r="L346" s="223"/>
      <c r="M346" s="224" t="s">
        <v>1</v>
      </c>
      <c r="N346" s="225" t="s">
        <v>44</v>
      </c>
      <c r="O346" s="183">
        <v>0</v>
      </c>
      <c r="P346" s="183">
        <f>O346*H346</f>
        <v>0</v>
      </c>
      <c r="Q346" s="183">
        <v>0.056</v>
      </c>
      <c r="R346" s="183">
        <f>Q346*H346</f>
        <v>0.168</v>
      </c>
      <c r="S346" s="183">
        <v>0</v>
      </c>
      <c r="T346" s="184">
        <f>S346*H346</f>
        <v>0</v>
      </c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R346" s="185" t="s">
        <v>187</v>
      </c>
      <c r="AT346" s="185" t="s">
        <v>251</v>
      </c>
      <c r="AU346" s="185" t="s">
        <v>87</v>
      </c>
      <c r="AY346" s="83" t="s">
        <v>139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83" t="s">
        <v>85</v>
      </c>
      <c r="BK346" s="186">
        <f>ROUND(I346*H346,2)</f>
        <v>0</v>
      </c>
      <c r="BL346" s="83" t="s">
        <v>146</v>
      </c>
      <c r="BM346" s="185" t="s">
        <v>1135</v>
      </c>
    </row>
    <row r="347" spans="1:65" s="95" customFormat="1" ht="24.2" customHeight="1">
      <c r="A347" s="93"/>
      <c r="B347" s="92"/>
      <c r="C347" s="175" t="s">
        <v>408</v>
      </c>
      <c r="D347" s="175" t="s">
        <v>141</v>
      </c>
      <c r="E347" s="176" t="s">
        <v>858</v>
      </c>
      <c r="F347" s="177" t="s">
        <v>1136</v>
      </c>
      <c r="G347" s="178" t="s">
        <v>194</v>
      </c>
      <c r="H347" s="179">
        <v>1.492</v>
      </c>
      <c r="I347" s="69"/>
      <c r="J347" s="180">
        <f>ROUND(I347*H347,2)</f>
        <v>0</v>
      </c>
      <c r="K347" s="177" t="s">
        <v>967</v>
      </c>
      <c r="L347" s="92"/>
      <c r="M347" s="181" t="s">
        <v>1</v>
      </c>
      <c r="N347" s="182" t="s">
        <v>44</v>
      </c>
      <c r="O347" s="183">
        <v>2.177</v>
      </c>
      <c r="P347" s="183">
        <f>O347*H347</f>
        <v>3.248084</v>
      </c>
      <c r="Q347" s="183">
        <v>0</v>
      </c>
      <c r="R347" s="183">
        <f>Q347*H347</f>
        <v>0</v>
      </c>
      <c r="S347" s="183">
        <v>1.76</v>
      </c>
      <c r="T347" s="184">
        <f>S347*H347</f>
        <v>2.62592</v>
      </c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R347" s="185" t="s">
        <v>146</v>
      </c>
      <c r="AT347" s="185" t="s">
        <v>141</v>
      </c>
      <c r="AU347" s="185" t="s">
        <v>87</v>
      </c>
      <c r="AY347" s="83" t="s">
        <v>139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83" t="s">
        <v>85</v>
      </c>
      <c r="BK347" s="186">
        <f>ROUND(I347*H347,2)</f>
        <v>0</v>
      </c>
      <c r="BL347" s="83" t="s">
        <v>146</v>
      </c>
      <c r="BM347" s="185" t="s">
        <v>1137</v>
      </c>
    </row>
    <row r="348" spans="1:47" s="95" customFormat="1" ht="19.5">
      <c r="A348" s="93"/>
      <c r="B348" s="92"/>
      <c r="C348" s="93"/>
      <c r="D348" s="189" t="s">
        <v>153</v>
      </c>
      <c r="E348" s="93"/>
      <c r="F348" s="196" t="s">
        <v>1138</v>
      </c>
      <c r="G348" s="93"/>
      <c r="H348" s="93"/>
      <c r="I348" s="234"/>
      <c r="J348" s="93"/>
      <c r="K348" s="93"/>
      <c r="L348" s="92"/>
      <c r="M348" s="197"/>
      <c r="N348" s="198"/>
      <c r="O348" s="199"/>
      <c r="P348" s="199"/>
      <c r="Q348" s="199"/>
      <c r="R348" s="199"/>
      <c r="S348" s="199"/>
      <c r="T348" s="200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T348" s="83" t="s">
        <v>153</v>
      </c>
      <c r="AU348" s="83" t="s">
        <v>87</v>
      </c>
    </row>
    <row r="349" spans="2:51" s="201" customFormat="1" ht="12">
      <c r="B349" s="202"/>
      <c r="D349" s="189" t="s">
        <v>148</v>
      </c>
      <c r="E349" s="203" t="s">
        <v>1</v>
      </c>
      <c r="F349" s="204" t="s">
        <v>1139</v>
      </c>
      <c r="H349" s="203" t="s">
        <v>1</v>
      </c>
      <c r="I349" s="235"/>
      <c r="L349" s="202"/>
      <c r="M349" s="205"/>
      <c r="N349" s="206"/>
      <c r="O349" s="206"/>
      <c r="P349" s="206"/>
      <c r="Q349" s="206"/>
      <c r="R349" s="206"/>
      <c r="S349" s="206"/>
      <c r="T349" s="207"/>
      <c r="AT349" s="203" t="s">
        <v>148</v>
      </c>
      <c r="AU349" s="203" t="s">
        <v>87</v>
      </c>
      <c r="AV349" s="201" t="s">
        <v>85</v>
      </c>
      <c r="AW349" s="201" t="s">
        <v>34</v>
      </c>
      <c r="AX349" s="201" t="s">
        <v>78</v>
      </c>
      <c r="AY349" s="203" t="s">
        <v>139</v>
      </c>
    </row>
    <row r="350" spans="2:51" s="187" customFormat="1" ht="12">
      <c r="B350" s="188"/>
      <c r="D350" s="189" t="s">
        <v>148</v>
      </c>
      <c r="E350" s="190" t="s">
        <v>1</v>
      </c>
      <c r="F350" s="191" t="s">
        <v>1140</v>
      </c>
      <c r="H350" s="192">
        <v>0.942</v>
      </c>
      <c r="I350" s="233"/>
      <c r="L350" s="188"/>
      <c r="M350" s="193"/>
      <c r="N350" s="194"/>
      <c r="O350" s="194"/>
      <c r="P350" s="194"/>
      <c r="Q350" s="194"/>
      <c r="R350" s="194"/>
      <c r="S350" s="194"/>
      <c r="T350" s="195"/>
      <c r="AT350" s="190" t="s">
        <v>148</v>
      </c>
      <c r="AU350" s="190" t="s">
        <v>87</v>
      </c>
      <c r="AV350" s="187" t="s">
        <v>87</v>
      </c>
      <c r="AW350" s="187" t="s">
        <v>34</v>
      </c>
      <c r="AX350" s="187" t="s">
        <v>78</v>
      </c>
      <c r="AY350" s="190" t="s">
        <v>139</v>
      </c>
    </row>
    <row r="351" spans="2:51" s="187" customFormat="1" ht="12">
      <c r="B351" s="188"/>
      <c r="D351" s="189" t="s">
        <v>148</v>
      </c>
      <c r="E351" s="190" t="s">
        <v>1</v>
      </c>
      <c r="F351" s="191" t="s">
        <v>1141</v>
      </c>
      <c r="H351" s="192">
        <v>0.55</v>
      </c>
      <c r="I351" s="233"/>
      <c r="L351" s="188"/>
      <c r="M351" s="193"/>
      <c r="N351" s="194"/>
      <c r="O351" s="194"/>
      <c r="P351" s="194"/>
      <c r="Q351" s="194"/>
      <c r="R351" s="194"/>
      <c r="S351" s="194"/>
      <c r="T351" s="195"/>
      <c r="AT351" s="190" t="s">
        <v>148</v>
      </c>
      <c r="AU351" s="190" t="s">
        <v>87</v>
      </c>
      <c r="AV351" s="187" t="s">
        <v>87</v>
      </c>
      <c r="AW351" s="187" t="s">
        <v>34</v>
      </c>
      <c r="AX351" s="187" t="s">
        <v>78</v>
      </c>
      <c r="AY351" s="190" t="s">
        <v>139</v>
      </c>
    </row>
    <row r="352" spans="2:51" s="208" customFormat="1" ht="12">
      <c r="B352" s="209"/>
      <c r="D352" s="189" t="s">
        <v>148</v>
      </c>
      <c r="E352" s="210" t="s">
        <v>1</v>
      </c>
      <c r="F352" s="211" t="s">
        <v>159</v>
      </c>
      <c r="H352" s="212">
        <v>1.492</v>
      </c>
      <c r="I352" s="236"/>
      <c r="L352" s="209"/>
      <c r="M352" s="213"/>
      <c r="N352" s="214"/>
      <c r="O352" s="214"/>
      <c r="P352" s="214"/>
      <c r="Q352" s="214"/>
      <c r="R352" s="214"/>
      <c r="S352" s="214"/>
      <c r="T352" s="215"/>
      <c r="AT352" s="210" t="s">
        <v>148</v>
      </c>
      <c r="AU352" s="210" t="s">
        <v>87</v>
      </c>
      <c r="AV352" s="208" t="s">
        <v>146</v>
      </c>
      <c r="AW352" s="208" t="s">
        <v>34</v>
      </c>
      <c r="AX352" s="208" t="s">
        <v>85</v>
      </c>
      <c r="AY352" s="210" t="s">
        <v>139</v>
      </c>
    </row>
    <row r="353" spans="1:65" s="95" customFormat="1" ht="24.2" customHeight="1">
      <c r="A353" s="93"/>
      <c r="B353" s="92"/>
      <c r="C353" s="175" t="s">
        <v>416</v>
      </c>
      <c r="D353" s="175" t="s">
        <v>141</v>
      </c>
      <c r="E353" s="176" t="s">
        <v>859</v>
      </c>
      <c r="F353" s="177" t="s">
        <v>1142</v>
      </c>
      <c r="G353" s="178" t="s">
        <v>297</v>
      </c>
      <c r="H353" s="179">
        <v>4</v>
      </c>
      <c r="I353" s="69"/>
      <c r="J353" s="180">
        <f>ROUND(I353*H353,2)</f>
        <v>0</v>
      </c>
      <c r="K353" s="177" t="s">
        <v>967</v>
      </c>
      <c r="L353" s="92"/>
      <c r="M353" s="181" t="s">
        <v>1</v>
      </c>
      <c r="N353" s="182" t="s">
        <v>44</v>
      </c>
      <c r="O353" s="183">
        <v>1.562</v>
      </c>
      <c r="P353" s="183">
        <f>O353*H353</f>
        <v>6.248</v>
      </c>
      <c r="Q353" s="183">
        <v>0.01019</v>
      </c>
      <c r="R353" s="183">
        <f>Q353*H353</f>
        <v>0.04076</v>
      </c>
      <c r="S353" s="183">
        <v>0</v>
      </c>
      <c r="T353" s="184">
        <f>S353*H353</f>
        <v>0</v>
      </c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R353" s="185" t="s">
        <v>146</v>
      </c>
      <c r="AT353" s="185" t="s">
        <v>141</v>
      </c>
      <c r="AU353" s="185" t="s">
        <v>87</v>
      </c>
      <c r="AY353" s="83" t="s">
        <v>139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83" t="s">
        <v>85</v>
      </c>
      <c r="BK353" s="186">
        <f>ROUND(I353*H353,2)</f>
        <v>0</v>
      </c>
      <c r="BL353" s="83" t="s">
        <v>146</v>
      </c>
      <c r="BM353" s="185" t="s">
        <v>1143</v>
      </c>
    </row>
    <row r="354" spans="2:51" s="201" customFormat="1" ht="12">
      <c r="B354" s="202"/>
      <c r="D354" s="189" t="s">
        <v>148</v>
      </c>
      <c r="E354" s="203" t="s">
        <v>1</v>
      </c>
      <c r="F354" s="204" t="s">
        <v>1055</v>
      </c>
      <c r="H354" s="203" t="s">
        <v>1</v>
      </c>
      <c r="I354" s="235"/>
      <c r="L354" s="202"/>
      <c r="M354" s="205"/>
      <c r="N354" s="206"/>
      <c r="O354" s="206"/>
      <c r="P354" s="206"/>
      <c r="Q354" s="206"/>
      <c r="R354" s="206"/>
      <c r="S354" s="206"/>
      <c r="T354" s="207"/>
      <c r="AT354" s="203" t="s">
        <v>148</v>
      </c>
      <c r="AU354" s="203" t="s">
        <v>87</v>
      </c>
      <c r="AV354" s="201" t="s">
        <v>85</v>
      </c>
      <c r="AW354" s="201" t="s">
        <v>34</v>
      </c>
      <c r="AX354" s="201" t="s">
        <v>78</v>
      </c>
      <c r="AY354" s="203" t="s">
        <v>139</v>
      </c>
    </row>
    <row r="355" spans="2:51" s="187" customFormat="1" ht="12">
      <c r="B355" s="188"/>
      <c r="D355" s="189" t="s">
        <v>148</v>
      </c>
      <c r="E355" s="190" t="s">
        <v>1</v>
      </c>
      <c r="F355" s="191" t="s">
        <v>1144</v>
      </c>
      <c r="H355" s="192">
        <v>4</v>
      </c>
      <c r="I355" s="233"/>
      <c r="L355" s="188"/>
      <c r="M355" s="193"/>
      <c r="N355" s="194"/>
      <c r="O355" s="194"/>
      <c r="P355" s="194"/>
      <c r="Q355" s="194"/>
      <c r="R355" s="194"/>
      <c r="S355" s="194"/>
      <c r="T355" s="195"/>
      <c r="AT355" s="190" t="s">
        <v>148</v>
      </c>
      <c r="AU355" s="190" t="s">
        <v>87</v>
      </c>
      <c r="AV355" s="187" t="s">
        <v>87</v>
      </c>
      <c r="AW355" s="187" t="s">
        <v>34</v>
      </c>
      <c r="AX355" s="187" t="s">
        <v>85</v>
      </c>
      <c r="AY355" s="190" t="s">
        <v>139</v>
      </c>
    </row>
    <row r="356" spans="1:65" s="95" customFormat="1" ht="24.2" customHeight="1">
      <c r="A356" s="93"/>
      <c r="B356" s="92"/>
      <c r="C356" s="217" t="s">
        <v>421</v>
      </c>
      <c r="D356" s="217" t="s">
        <v>251</v>
      </c>
      <c r="E356" s="218" t="s">
        <v>1145</v>
      </c>
      <c r="F356" s="219" t="s">
        <v>1146</v>
      </c>
      <c r="G356" s="220" t="s">
        <v>297</v>
      </c>
      <c r="H356" s="221">
        <v>1</v>
      </c>
      <c r="I356" s="70"/>
      <c r="J356" s="222">
        <f>ROUND(I356*H356,2)</f>
        <v>0</v>
      </c>
      <c r="K356" s="219" t="s">
        <v>967</v>
      </c>
      <c r="L356" s="223"/>
      <c r="M356" s="224" t="s">
        <v>1</v>
      </c>
      <c r="N356" s="225" t="s">
        <v>44</v>
      </c>
      <c r="O356" s="183">
        <v>0</v>
      </c>
      <c r="P356" s="183">
        <f>O356*H356</f>
        <v>0</v>
      </c>
      <c r="Q356" s="183">
        <v>0.254</v>
      </c>
      <c r="R356" s="183">
        <f>Q356*H356</f>
        <v>0.254</v>
      </c>
      <c r="S356" s="183">
        <v>0</v>
      </c>
      <c r="T356" s="184">
        <f>S356*H356</f>
        <v>0</v>
      </c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R356" s="185" t="s">
        <v>187</v>
      </c>
      <c r="AT356" s="185" t="s">
        <v>251</v>
      </c>
      <c r="AU356" s="185" t="s">
        <v>87</v>
      </c>
      <c r="AY356" s="83" t="s">
        <v>139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83" t="s">
        <v>85</v>
      </c>
      <c r="BK356" s="186">
        <f>ROUND(I356*H356,2)</f>
        <v>0</v>
      </c>
      <c r="BL356" s="83" t="s">
        <v>146</v>
      </c>
      <c r="BM356" s="185" t="s">
        <v>1147</v>
      </c>
    </row>
    <row r="357" spans="1:65" s="95" customFormat="1" ht="24.2" customHeight="1">
      <c r="A357" s="93"/>
      <c r="B357" s="92"/>
      <c r="C357" s="217" t="s">
        <v>425</v>
      </c>
      <c r="D357" s="217" t="s">
        <v>251</v>
      </c>
      <c r="E357" s="218" t="s">
        <v>1148</v>
      </c>
      <c r="F357" s="219" t="s">
        <v>1149</v>
      </c>
      <c r="G357" s="220" t="s">
        <v>297</v>
      </c>
      <c r="H357" s="221">
        <v>1</v>
      </c>
      <c r="I357" s="70"/>
      <c r="J357" s="222">
        <f>ROUND(I357*H357,2)</f>
        <v>0</v>
      </c>
      <c r="K357" s="219" t="s">
        <v>967</v>
      </c>
      <c r="L357" s="223"/>
      <c r="M357" s="224" t="s">
        <v>1</v>
      </c>
      <c r="N357" s="225" t="s">
        <v>44</v>
      </c>
      <c r="O357" s="183">
        <v>0</v>
      </c>
      <c r="P357" s="183">
        <f>O357*H357</f>
        <v>0</v>
      </c>
      <c r="Q357" s="183">
        <v>0.506</v>
      </c>
      <c r="R357" s="183">
        <f>Q357*H357</f>
        <v>0.506</v>
      </c>
      <c r="S357" s="183">
        <v>0</v>
      </c>
      <c r="T357" s="184">
        <f>S357*H357</f>
        <v>0</v>
      </c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R357" s="185" t="s">
        <v>187</v>
      </c>
      <c r="AT357" s="185" t="s">
        <v>251</v>
      </c>
      <c r="AU357" s="185" t="s">
        <v>87</v>
      </c>
      <c r="AY357" s="83" t="s">
        <v>139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83" t="s">
        <v>85</v>
      </c>
      <c r="BK357" s="186">
        <f>ROUND(I357*H357,2)</f>
        <v>0</v>
      </c>
      <c r="BL357" s="83" t="s">
        <v>146</v>
      </c>
      <c r="BM357" s="185" t="s">
        <v>1150</v>
      </c>
    </row>
    <row r="358" spans="1:65" s="95" customFormat="1" ht="24.2" customHeight="1">
      <c r="A358" s="93"/>
      <c r="B358" s="92"/>
      <c r="C358" s="217" t="s">
        <v>431</v>
      </c>
      <c r="D358" s="217" t="s">
        <v>251</v>
      </c>
      <c r="E358" s="218" t="s">
        <v>1151</v>
      </c>
      <c r="F358" s="219" t="s">
        <v>1152</v>
      </c>
      <c r="G358" s="220" t="s">
        <v>297</v>
      </c>
      <c r="H358" s="221">
        <v>2</v>
      </c>
      <c r="I358" s="70"/>
      <c r="J358" s="222">
        <f>ROUND(I358*H358,2)</f>
        <v>0</v>
      </c>
      <c r="K358" s="219" t="s">
        <v>967</v>
      </c>
      <c r="L358" s="223"/>
      <c r="M358" s="224" t="s">
        <v>1</v>
      </c>
      <c r="N358" s="225" t="s">
        <v>44</v>
      </c>
      <c r="O358" s="183">
        <v>0</v>
      </c>
      <c r="P358" s="183">
        <f>O358*H358</f>
        <v>0</v>
      </c>
      <c r="Q358" s="183">
        <v>1.013</v>
      </c>
      <c r="R358" s="183">
        <f>Q358*H358</f>
        <v>2.026</v>
      </c>
      <c r="S358" s="183">
        <v>0</v>
      </c>
      <c r="T358" s="184">
        <f>S358*H358</f>
        <v>0</v>
      </c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R358" s="185" t="s">
        <v>187</v>
      </c>
      <c r="AT358" s="185" t="s">
        <v>251</v>
      </c>
      <c r="AU358" s="185" t="s">
        <v>87</v>
      </c>
      <c r="AY358" s="83" t="s">
        <v>139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83" t="s">
        <v>85</v>
      </c>
      <c r="BK358" s="186">
        <f>ROUND(I358*H358,2)</f>
        <v>0</v>
      </c>
      <c r="BL358" s="83" t="s">
        <v>146</v>
      </c>
      <c r="BM358" s="185" t="s">
        <v>1153</v>
      </c>
    </row>
    <row r="359" spans="1:65" s="95" customFormat="1" ht="24.2" customHeight="1">
      <c r="A359" s="93"/>
      <c r="B359" s="92"/>
      <c r="C359" s="175" t="s">
        <v>435</v>
      </c>
      <c r="D359" s="175" t="s">
        <v>141</v>
      </c>
      <c r="E359" s="176" t="s">
        <v>1154</v>
      </c>
      <c r="F359" s="177" t="s">
        <v>1155</v>
      </c>
      <c r="G359" s="178" t="s">
        <v>297</v>
      </c>
      <c r="H359" s="179">
        <v>2</v>
      </c>
      <c r="I359" s="69"/>
      <c r="J359" s="180">
        <f>ROUND(I359*H359,2)</f>
        <v>0</v>
      </c>
      <c r="K359" s="177" t="s">
        <v>967</v>
      </c>
      <c r="L359" s="92"/>
      <c r="M359" s="181" t="s">
        <v>1</v>
      </c>
      <c r="N359" s="182" t="s">
        <v>44</v>
      </c>
      <c r="O359" s="183">
        <v>1.664</v>
      </c>
      <c r="P359" s="183">
        <f>O359*H359</f>
        <v>3.328</v>
      </c>
      <c r="Q359" s="183">
        <v>0.01248</v>
      </c>
      <c r="R359" s="183">
        <f>Q359*H359</f>
        <v>0.02496</v>
      </c>
      <c r="S359" s="183">
        <v>0</v>
      </c>
      <c r="T359" s="184">
        <f>S359*H359</f>
        <v>0</v>
      </c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R359" s="185" t="s">
        <v>146</v>
      </c>
      <c r="AT359" s="185" t="s">
        <v>141</v>
      </c>
      <c r="AU359" s="185" t="s">
        <v>87</v>
      </c>
      <c r="AY359" s="83" t="s">
        <v>139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83" t="s">
        <v>85</v>
      </c>
      <c r="BK359" s="186">
        <f>ROUND(I359*H359,2)</f>
        <v>0</v>
      </c>
      <c r="BL359" s="83" t="s">
        <v>146</v>
      </c>
      <c r="BM359" s="185" t="s">
        <v>1156</v>
      </c>
    </row>
    <row r="360" spans="2:51" s="201" customFormat="1" ht="12">
      <c r="B360" s="202"/>
      <c r="D360" s="189" t="s">
        <v>148</v>
      </c>
      <c r="E360" s="203" t="s">
        <v>1</v>
      </c>
      <c r="F360" s="204" t="s">
        <v>1055</v>
      </c>
      <c r="H360" s="203" t="s">
        <v>1</v>
      </c>
      <c r="I360" s="235"/>
      <c r="L360" s="202"/>
      <c r="M360" s="205"/>
      <c r="N360" s="206"/>
      <c r="O360" s="206"/>
      <c r="P360" s="206"/>
      <c r="Q360" s="206"/>
      <c r="R360" s="206"/>
      <c r="S360" s="206"/>
      <c r="T360" s="207"/>
      <c r="AT360" s="203" t="s">
        <v>148</v>
      </c>
      <c r="AU360" s="203" t="s">
        <v>87</v>
      </c>
      <c r="AV360" s="201" t="s">
        <v>85</v>
      </c>
      <c r="AW360" s="201" t="s">
        <v>34</v>
      </c>
      <c r="AX360" s="201" t="s">
        <v>78</v>
      </c>
      <c r="AY360" s="203" t="s">
        <v>139</v>
      </c>
    </row>
    <row r="361" spans="2:51" s="187" customFormat="1" ht="12">
      <c r="B361" s="188"/>
      <c r="D361" s="189" t="s">
        <v>148</v>
      </c>
      <c r="E361" s="190" t="s">
        <v>1</v>
      </c>
      <c r="F361" s="191" t="s">
        <v>87</v>
      </c>
      <c r="H361" s="192">
        <v>2</v>
      </c>
      <c r="I361" s="233"/>
      <c r="L361" s="188"/>
      <c r="M361" s="193"/>
      <c r="N361" s="194"/>
      <c r="O361" s="194"/>
      <c r="P361" s="194"/>
      <c r="Q361" s="194"/>
      <c r="R361" s="194"/>
      <c r="S361" s="194"/>
      <c r="T361" s="195"/>
      <c r="AT361" s="190" t="s">
        <v>148</v>
      </c>
      <c r="AU361" s="190" t="s">
        <v>87</v>
      </c>
      <c r="AV361" s="187" t="s">
        <v>87</v>
      </c>
      <c r="AW361" s="187" t="s">
        <v>34</v>
      </c>
      <c r="AX361" s="187" t="s">
        <v>85</v>
      </c>
      <c r="AY361" s="190" t="s">
        <v>139</v>
      </c>
    </row>
    <row r="362" spans="1:65" s="95" customFormat="1" ht="24.2" customHeight="1">
      <c r="A362" s="93"/>
      <c r="B362" s="92"/>
      <c r="C362" s="217" t="s">
        <v>442</v>
      </c>
      <c r="D362" s="217" t="s">
        <v>251</v>
      </c>
      <c r="E362" s="218" t="s">
        <v>1157</v>
      </c>
      <c r="F362" s="219" t="s">
        <v>1158</v>
      </c>
      <c r="G362" s="220" t="s">
        <v>297</v>
      </c>
      <c r="H362" s="221">
        <v>2</v>
      </c>
      <c r="I362" s="70"/>
      <c r="J362" s="222">
        <f>ROUND(I362*H362,2)</f>
        <v>0</v>
      </c>
      <c r="K362" s="219" t="s">
        <v>967</v>
      </c>
      <c r="L362" s="223"/>
      <c r="M362" s="224" t="s">
        <v>1</v>
      </c>
      <c r="N362" s="225" t="s">
        <v>44</v>
      </c>
      <c r="O362" s="183">
        <v>0</v>
      </c>
      <c r="P362" s="183">
        <f>O362*H362</f>
        <v>0</v>
      </c>
      <c r="Q362" s="183">
        <v>0.585</v>
      </c>
      <c r="R362" s="183">
        <f>Q362*H362</f>
        <v>1.17</v>
      </c>
      <c r="S362" s="183">
        <v>0</v>
      </c>
      <c r="T362" s="184">
        <f>S362*H362</f>
        <v>0</v>
      </c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R362" s="185" t="s">
        <v>187</v>
      </c>
      <c r="AT362" s="185" t="s">
        <v>251</v>
      </c>
      <c r="AU362" s="185" t="s">
        <v>87</v>
      </c>
      <c r="AY362" s="83" t="s">
        <v>139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83" t="s">
        <v>85</v>
      </c>
      <c r="BK362" s="186">
        <f>ROUND(I362*H362,2)</f>
        <v>0</v>
      </c>
      <c r="BL362" s="83" t="s">
        <v>146</v>
      </c>
      <c r="BM362" s="185" t="s">
        <v>1159</v>
      </c>
    </row>
    <row r="363" spans="1:65" s="95" customFormat="1" ht="24.2" customHeight="1">
      <c r="A363" s="93"/>
      <c r="B363" s="92"/>
      <c r="C363" s="175" t="s">
        <v>449</v>
      </c>
      <c r="D363" s="175" t="s">
        <v>141</v>
      </c>
      <c r="E363" s="176" t="s">
        <v>860</v>
      </c>
      <c r="F363" s="177" t="s">
        <v>1160</v>
      </c>
      <c r="G363" s="178" t="s">
        <v>297</v>
      </c>
      <c r="H363" s="179">
        <v>3</v>
      </c>
      <c r="I363" s="69"/>
      <c r="J363" s="180">
        <f>ROUND(I363*H363,2)</f>
        <v>0</v>
      </c>
      <c r="K363" s="177" t="s">
        <v>967</v>
      </c>
      <c r="L363" s="92"/>
      <c r="M363" s="181" t="s">
        <v>1</v>
      </c>
      <c r="N363" s="182" t="s">
        <v>44</v>
      </c>
      <c r="O363" s="183">
        <v>2.08</v>
      </c>
      <c r="P363" s="183">
        <f>O363*H363</f>
        <v>6.24</v>
      </c>
      <c r="Q363" s="183">
        <v>0.02854</v>
      </c>
      <c r="R363" s="183">
        <f>Q363*H363</f>
        <v>0.08562</v>
      </c>
      <c r="S363" s="183">
        <v>0</v>
      </c>
      <c r="T363" s="184">
        <f>S363*H363</f>
        <v>0</v>
      </c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R363" s="185" t="s">
        <v>146</v>
      </c>
      <c r="AT363" s="185" t="s">
        <v>141</v>
      </c>
      <c r="AU363" s="185" t="s">
        <v>87</v>
      </c>
      <c r="AY363" s="83" t="s">
        <v>139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83" t="s">
        <v>85</v>
      </c>
      <c r="BK363" s="186">
        <f>ROUND(I363*H363,2)</f>
        <v>0</v>
      </c>
      <c r="BL363" s="83" t="s">
        <v>146</v>
      </c>
      <c r="BM363" s="185" t="s">
        <v>1161</v>
      </c>
    </row>
    <row r="364" spans="2:51" s="201" customFormat="1" ht="12">
      <c r="B364" s="202"/>
      <c r="D364" s="189" t="s">
        <v>148</v>
      </c>
      <c r="E364" s="203" t="s">
        <v>1</v>
      </c>
      <c r="F364" s="204" t="s">
        <v>1055</v>
      </c>
      <c r="H364" s="203" t="s">
        <v>1</v>
      </c>
      <c r="I364" s="235"/>
      <c r="L364" s="202"/>
      <c r="M364" s="205"/>
      <c r="N364" s="206"/>
      <c r="O364" s="206"/>
      <c r="P364" s="206"/>
      <c r="Q364" s="206"/>
      <c r="R364" s="206"/>
      <c r="S364" s="206"/>
      <c r="T364" s="207"/>
      <c r="AT364" s="203" t="s">
        <v>148</v>
      </c>
      <c r="AU364" s="203" t="s">
        <v>87</v>
      </c>
      <c r="AV364" s="201" t="s">
        <v>85</v>
      </c>
      <c r="AW364" s="201" t="s">
        <v>34</v>
      </c>
      <c r="AX364" s="201" t="s">
        <v>78</v>
      </c>
      <c r="AY364" s="203" t="s">
        <v>139</v>
      </c>
    </row>
    <row r="365" spans="2:51" s="187" customFormat="1" ht="12">
      <c r="B365" s="188"/>
      <c r="D365" s="189" t="s">
        <v>148</v>
      </c>
      <c r="E365" s="190" t="s">
        <v>1</v>
      </c>
      <c r="F365" s="191" t="s">
        <v>160</v>
      </c>
      <c r="H365" s="192">
        <v>3</v>
      </c>
      <c r="I365" s="233"/>
      <c r="L365" s="188"/>
      <c r="M365" s="193"/>
      <c r="N365" s="194"/>
      <c r="O365" s="194"/>
      <c r="P365" s="194"/>
      <c r="Q365" s="194"/>
      <c r="R365" s="194"/>
      <c r="S365" s="194"/>
      <c r="T365" s="195"/>
      <c r="AT365" s="190" t="s">
        <v>148</v>
      </c>
      <c r="AU365" s="190" t="s">
        <v>87</v>
      </c>
      <c r="AV365" s="187" t="s">
        <v>87</v>
      </c>
      <c r="AW365" s="187" t="s">
        <v>34</v>
      </c>
      <c r="AX365" s="187" t="s">
        <v>85</v>
      </c>
      <c r="AY365" s="190" t="s">
        <v>139</v>
      </c>
    </row>
    <row r="366" spans="1:65" s="95" customFormat="1" ht="24.2" customHeight="1">
      <c r="A366" s="93"/>
      <c r="B366" s="92"/>
      <c r="C366" s="217" t="s">
        <v>453</v>
      </c>
      <c r="D366" s="217" t="s">
        <v>251</v>
      </c>
      <c r="E366" s="218" t="s">
        <v>1162</v>
      </c>
      <c r="F366" s="219" t="s">
        <v>1163</v>
      </c>
      <c r="G366" s="220" t="s">
        <v>297</v>
      </c>
      <c r="H366" s="221">
        <v>3</v>
      </c>
      <c r="I366" s="70"/>
      <c r="J366" s="222">
        <f>ROUND(I366*H366,2)</f>
        <v>0</v>
      </c>
      <c r="K366" s="219" t="s">
        <v>1</v>
      </c>
      <c r="L366" s="223"/>
      <c r="M366" s="224" t="s">
        <v>1</v>
      </c>
      <c r="N366" s="225" t="s">
        <v>44</v>
      </c>
      <c r="O366" s="183">
        <v>0</v>
      </c>
      <c r="P366" s="183">
        <f>O366*H366</f>
        <v>0</v>
      </c>
      <c r="Q366" s="183">
        <v>2.1</v>
      </c>
      <c r="R366" s="183">
        <f>Q366*H366</f>
        <v>6.300000000000001</v>
      </c>
      <c r="S366" s="183">
        <v>0</v>
      </c>
      <c r="T366" s="184">
        <f>S366*H366</f>
        <v>0</v>
      </c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R366" s="185" t="s">
        <v>187</v>
      </c>
      <c r="AT366" s="185" t="s">
        <v>251</v>
      </c>
      <c r="AU366" s="185" t="s">
        <v>87</v>
      </c>
      <c r="AY366" s="83" t="s">
        <v>139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83" t="s">
        <v>85</v>
      </c>
      <c r="BK366" s="186">
        <f>ROUND(I366*H366,2)</f>
        <v>0</v>
      </c>
      <c r="BL366" s="83" t="s">
        <v>146</v>
      </c>
      <c r="BM366" s="185" t="s">
        <v>1164</v>
      </c>
    </row>
    <row r="367" spans="1:65" s="95" customFormat="1" ht="24.2" customHeight="1">
      <c r="A367" s="93"/>
      <c r="B367" s="92"/>
      <c r="C367" s="217" t="s">
        <v>457</v>
      </c>
      <c r="D367" s="217" t="s">
        <v>251</v>
      </c>
      <c r="E367" s="218" t="s">
        <v>1165</v>
      </c>
      <c r="F367" s="219" t="s">
        <v>1166</v>
      </c>
      <c r="G367" s="220" t="s">
        <v>297</v>
      </c>
      <c r="H367" s="221">
        <v>7</v>
      </c>
      <c r="I367" s="70"/>
      <c r="J367" s="222">
        <f>ROUND(I367*H367,2)</f>
        <v>0</v>
      </c>
      <c r="K367" s="219" t="s">
        <v>967</v>
      </c>
      <c r="L367" s="223"/>
      <c r="M367" s="224" t="s">
        <v>1</v>
      </c>
      <c r="N367" s="225" t="s">
        <v>44</v>
      </c>
      <c r="O367" s="183">
        <v>0</v>
      </c>
      <c r="P367" s="183">
        <f>O367*H367</f>
        <v>0</v>
      </c>
      <c r="Q367" s="183">
        <v>0.002</v>
      </c>
      <c r="R367" s="183">
        <f>Q367*H367</f>
        <v>0.014</v>
      </c>
      <c r="S367" s="183">
        <v>0</v>
      </c>
      <c r="T367" s="184">
        <f>S367*H367</f>
        <v>0</v>
      </c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R367" s="185" t="s">
        <v>187</v>
      </c>
      <c r="AT367" s="185" t="s">
        <v>251</v>
      </c>
      <c r="AU367" s="185" t="s">
        <v>87</v>
      </c>
      <c r="AY367" s="83" t="s">
        <v>139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83" t="s">
        <v>85</v>
      </c>
      <c r="BK367" s="186">
        <f>ROUND(I367*H367,2)</f>
        <v>0</v>
      </c>
      <c r="BL367" s="83" t="s">
        <v>146</v>
      </c>
      <c r="BM367" s="185" t="s">
        <v>1167</v>
      </c>
    </row>
    <row r="368" spans="2:51" s="201" customFormat="1" ht="12">
      <c r="B368" s="202"/>
      <c r="D368" s="189" t="s">
        <v>148</v>
      </c>
      <c r="E368" s="203" t="s">
        <v>1</v>
      </c>
      <c r="F368" s="204" t="s">
        <v>1055</v>
      </c>
      <c r="H368" s="203" t="s">
        <v>1</v>
      </c>
      <c r="I368" s="235"/>
      <c r="L368" s="202"/>
      <c r="M368" s="205"/>
      <c r="N368" s="206"/>
      <c r="O368" s="206"/>
      <c r="P368" s="206"/>
      <c r="Q368" s="206"/>
      <c r="R368" s="206"/>
      <c r="S368" s="206"/>
      <c r="T368" s="207"/>
      <c r="AT368" s="203" t="s">
        <v>148</v>
      </c>
      <c r="AU368" s="203" t="s">
        <v>87</v>
      </c>
      <c r="AV368" s="201" t="s">
        <v>85</v>
      </c>
      <c r="AW368" s="201" t="s">
        <v>34</v>
      </c>
      <c r="AX368" s="201" t="s">
        <v>78</v>
      </c>
      <c r="AY368" s="203" t="s">
        <v>139</v>
      </c>
    </row>
    <row r="369" spans="2:51" s="187" customFormat="1" ht="12">
      <c r="B369" s="188"/>
      <c r="D369" s="189" t="s">
        <v>148</v>
      </c>
      <c r="E369" s="190" t="s">
        <v>1</v>
      </c>
      <c r="F369" s="191" t="s">
        <v>181</v>
      </c>
      <c r="H369" s="192">
        <v>7</v>
      </c>
      <c r="I369" s="233"/>
      <c r="L369" s="188"/>
      <c r="M369" s="193"/>
      <c r="N369" s="194"/>
      <c r="O369" s="194"/>
      <c r="P369" s="194"/>
      <c r="Q369" s="194"/>
      <c r="R369" s="194"/>
      <c r="S369" s="194"/>
      <c r="T369" s="195"/>
      <c r="AT369" s="190" t="s">
        <v>148</v>
      </c>
      <c r="AU369" s="190" t="s">
        <v>87</v>
      </c>
      <c r="AV369" s="187" t="s">
        <v>87</v>
      </c>
      <c r="AW369" s="187" t="s">
        <v>34</v>
      </c>
      <c r="AX369" s="187" t="s">
        <v>85</v>
      </c>
      <c r="AY369" s="190" t="s">
        <v>139</v>
      </c>
    </row>
    <row r="370" spans="1:65" s="95" customFormat="1" ht="24.2" customHeight="1">
      <c r="A370" s="93"/>
      <c r="B370" s="92"/>
      <c r="C370" s="175" t="s">
        <v>462</v>
      </c>
      <c r="D370" s="175" t="s">
        <v>141</v>
      </c>
      <c r="E370" s="176" t="s">
        <v>861</v>
      </c>
      <c r="F370" s="177" t="s">
        <v>1168</v>
      </c>
      <c r="G370" s="178" t="s">
        <v>297</v>
      </c>
      <c r="H370" s="179">
        <v>1</v>
      </c>
      <c r="I370" s="69"/>
      <c r="J370" s="180">
        <f>ROUND(I370*H370,2)</f>
        <v>0</v>
      </c>
      <c r="K370" s="177" t="s">
        <v>967</v>
      </c>
      <c r="L370" s="92"/>
      <c r="M370" s="181" t="s">
        <v>1</v>
      </c>
      <c r="N370" s="182" t="s">
        <v>44</v>
      </c>
      <c r="O370" s="183">
        <v>0.817</v>
      </c>
      <c r="P370" s="183">
        <f>O370*H370</f>
        <v>0.817</v>
      </c>
      <c r="Q370" s="183">
        <v>0.03927</v>
      </c>
      <c r="R370" s="183">
        <f>Q370*H370</f>
        <v>0.03927</v>
      </c>
      <c r="S370" s="183">
        <v>0</v>
      </c>
      <c r="T370" s="184">
        <f>S370*H370</f>
        <v>0</v>
      </c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R370" s="185" t="s">
        <v>146</v>
      </c>
      <c r="AT370" s="185" t="s">
        <v>141</v>
      </c>
      <c r="AU370" s="185" t="s">
        <v>87</v>
      </c>
      <c r="AY370" s="83" t="s">
        <v>139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83" t="s">
        <v>85</v>
      </c>
      <c r="BK370" s="186">
        <f>ROUND(I370*H370,2)</f>
        <v>0</v>
      </c>
      <c r="BL370" s="83" t="s">
        <v>146</v>
      </c>
      <c r="BM370" s="185" t="s">
        <v>1169</v>
      </c>
    </row>
    <row r="371" spans="1:65" s="95" customFormat="1" ht="24.2" customHeight="1">
      <c r="A371" s="93"/>
      <c r="B371" s="92"/>
      <c r="C371" s="217" t="s">
        <v>466</v>
      </c>
      <c r="D371" s="217" t="s">
        <v>251</v>
      </c>
      <c r="E371" s="218" t="s">
        <v>862</v>
      </c>
      <c r="F371" s="219" t="s">
        <v>1170</v>
      </c>
      <c r="G371" s="220" t="s">
        <v>297</v>
      </c>
      <c r="H371" s="221">
        <v>1</v>
      </c>
      <c r="I371" s="70"/>
      <c r="J371" s="222">
        <f>ROUND(I371*H371,2)</f>
        <v>0</v>
      </c>
      <c r="K371" s="219" t="s">
        <v>967</v>
      </c>
      <c r="L371" s="223"/>
      <c r="M371" s="224" t="s">
        <v>1</v>
      </c>
      <c r="N371" s="225" t="s">
        <v>44</v>
      </c>
      <c r="O371" s="183">
        <v>0</v>
      </c>
      <c r="P371" s="183">
        <f>O371*H371</f>
        <v>0</v>
      </c>
      <c r="Q371" s="183">
        <v>0.449</v>
      </c>
      <c r="R371" s="183">
        <f>Q371*H371</f>
        <v>0.449</v>
      </c>
      <c r="S371" s="183">
        <v>0</v>
      </c>
      <c r="T371" s="184">
        <f>S371*H371</f>
        <v>0</v>
      </c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R371" s="185" t="s">
        <v>187</v>
      </c>
      <c r="AT371" s="185" t="s">
        <v>251</v>
      </c>
      <c r="AU371" s="185" t="s">
        <v>87</v>
      </c>
      <c r="AY371" s="83" t="s">
        <v>139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83" t="s">
        <v>85</v>
      </c>
      <c r="BK371" s="186">
        <f>ROUND(I371*H371,2)</f>
        <v>0</v>
      </c>
      <c r="BL371" s="83" t="s">
        <v>146</v>
      </c>
      <c r="BM371" s="185" t="s">
        <v>1171</v>
      </c>
    </row>
    <row r="372" spans="1:65" s="95" customFormat="1" ht="24.2" customHeight="1">
      <c r="A372" s="93"/>
      <c r="B372" s="92"/>
      <c r="C372" s="175" t="s">
        <v>470</v>
      </c>
      <c r="D372" s="175" t="s">
        <v>141</v>
      </c>
      <c r="E372" s="176" t="s">
        <v>807</v>
      </c>
      <c r="F372" s="177" t="s">
        <v>808</v>
      </c>
      <c r="G372" s="178" t="s">
        <v>297</v>
      </c>
      <c r="H372" s="179">
        <v>2</v>
      </c>
      <c r="I372" s="69"/>
      <c r="J372" s="180">
        <f>ROUND(I372*H372,2)</f>
        <v>0</v>
      </c>
      <c r="K372" s="177" t="s">
        <v>967</v>
      </c>
      <c r="L372" s="92"/>
      <c r="M372" s="181" t="s">
        <v>1</v>
      </c>
      <c r="N372" s="182" t="s">
        <v>44</v>
      </c>
      <c r="O372" s="183">
        <v>0.641</v>
      </c>
      <c r="P372" s="183">
        <f>O372*H372</f>
        <v>1.282</v>
      </c>
      <c r="Q372" s="183">
        <v>0</v>
      </c>
      <c r="R372" s="183">
        <f>Q372*H372</f>
        <v>0</v>
      </c>
      <c r="S372" s="183">
        <v>0.1</v>
      </c>
      <c r="T372" s="184">
        <f>S372*H372</f>
        <v>0.2</v>
      </c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R372" s="185" t="s">
        <v>146</v>
      </c>
      <c r="AT372" s="185" t="s">
        <v>141</v>
      </c>
      <c r="AU372" s="185" t="s">
        <v>87</v>
      </c>
      <c r="AY372" s="83" t="s">
        <v>139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83" t="s">
        <v>85</v>
      </c>
      <c r="BK372" s="186">
        <f>ROUND(I372*H372,2)</f>
        <v>0</v>
      </c>
      <c r="BL372" s="83" t="s">
        <v>146</v>
      </c>
      <c r="BM372" s="185" t="s">
        <v>1172</v>
      </c>
    </row>
    <row r="373" spans="1:65" s="95" customFormat="1" ht="24.2" customHeight="1">
      <c r="A373" s="93"/>
      <c r="B373" s="92"/>
      <c r="C373" s="175" t="s">
        <v>475</v>
      </c>
      <c r="D373" s="175" t="s">
        <v>141</v>
      </c>
      <c r="E373" s="176" t="s">
        <v>1173</v>
      </c>
      <c r="F373" s="177" t="s">
        <v>1174</v>
      </c>
      <c r="G373" s="178" t="s">
        <v>297</v>
      </c>
      <c r="H373" s="179">
        <v>3</v>
      </c>
      <c r="I373" s="69"/>
      <c r="J373" s="180">
        <f>ROUND(I373*H373,2)</f>
        <v>0</v>
      </c>
      <c r="K373" s="177" t="s">
        <v>1</v>
      </c>
      <c r="L373" s="92"/>
      <c r="M373" s="181" t="s">
        <v>1</v>
      </c>
      <c r="N373" s="182" t="s">
        <v>44</v>
      </c>
      <c r="O373" s="183">
        <v>1.994</v>
      </c>
      <c r="P373" s="183">
        <f>O373*H373</f>
        <v>5.982</v>
      </c>
      <c r="Q373" s="183">
        <v>0.217338</v>
      </c>
      <c r="R373" s="183">
        <f>Q373*H373</f>
        <v>0.652014</v>
      </c>
      <c r="S373" s="183">
        <v>0</v>
      </c>
      <c r="T373" s="184">
        <f>S373*H373</f>
        <v>0</v>
      </c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R373" s="185" t="s">
        <v>146</v>
      </c>
      <c r="AT373" s="185" t="s">
        <v>141</v>
      </c>
      <c r="AU373" s="185" t="s">
        <v>87</v>
      </c>
      <c r="AY373" s="83" t="s">
        <v>139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83" t="s">
        <v>85</v>
      </c>
      <c r="BK373" s="186">
        <f>ROUND(I373*H373,2)</f>
        <v>0</v>
      </c>
      <c r="BL373" s="83" t="s">
        <v>146</v>
      </c>
      <c r="BM373" s="185" t="s">
        <v>1175</v>
      </c>
    </row>
    <row r="374" spans="2:51" s="201" customFormat="1" ht="12">
      <c r="B374" s="202"/>
      <c r="D374" s="189" t="s">
        <v>148</v>
      </c>
      <c r="E374" s="203" t="s">
        <v>1</v>
      </c>
      <c r="F374" s="204" t="s">
        <v>1055</v>
      </c>
      <c r="H374" s="203" t="s">
        <v>1</v>
      </c>
      <c r="I374" s="235"/>
      <c r="L374" s="202"/>
      <c r="M374" s="205"/>
      <c r="N374" s="206"/>
      <c r="O374" s="206"/>
      <c r="P374" s="206"/>
      <c r="Q374" s="206"/>
      <c r="R374" s="206"/>
      <c r="S374" s="206"/>
      <c r="T374" s="207"/>
      <c r="AT374" s="203" t="s">
        <v>148</v>
      </c>
      <c r="AU374" s="203" t="s">
        <v>87</v>
      </c>
      <c r="AV374" s="201" t="s">
        <v>85</v>
      </c>
      <c r="AW374" s="201" t="s">
        <v>34</v>
      </c>
      <c r="AX374" s="201" t="s">
        <v>78</v>
      </c>
      <c r="AY374" s="203" t="s">
        <v>139</v>
      </c>
    </row>
    <row r="375" spans="2:51" s="187" customFormat="1" ht="12">
      <c r="B375" s="188"/>
      <c r="D375" s="189" t="s">
        <v>148</v>
      </c>
      <c r="E375" s="190" t="s">
        <v>1</v>
      </c>
      <c r="F375" s="191" t="s">
        <v>160</v>
      </c>
      <c r="H375" s="192">
        <v>3</v>
      </c>
      <c r="I375" s="233"/>
      <c r="L375" s="188"/>
      <c r="M375" s="193"/>
      <c r="N375" s="194"/>
      <c r="O375" s="194"/>
      <c r="P375" s="194"/>
      <c r="Q375" s="194"/>
      <c r="R375" s="194"/>
      <c r="S375" s="194"/>
      <c r="T375" s="195"/>
      <c r="AT375" s="190" t="s">
        <v>148</v>
      </c>
      <c r="AU375" s="190" t="s">
        <v>87</v>
      </c>
      <c r="AV375" s="187" t="s">
        <v>87</v>
      </c>
      <c r="AW375" s="187" t="s">
        <v>34</v>
      </c>
      <c r="AX375" s="187" t="s">
        <v>85</v>
      </c>
      <c r="AY375" s="190" t="s">
        <v>139</v>
      </c>
    </row>
    <row r="376" spans="1:65" s="95" customFormat="1" ht="24.2" customHeight="1">
      <c r="A376" s="93"/>
      <c r="B376" s="92"/>
      <c r="C376" s="217" t="s">
        <v>479</v>
      </c>
      <c r="D376" s="217" t="s">
        <v>251</v>
      </c>
      <c r="E376" s="218" t="s">
        <v>1176</v>
      </c>
      <c r="F376" s="228" t="s">
        <v>1177</v>
      </c>
      <c r="G376" s="220" t="s">
        <v>297</v>
      </c>
      <c r="H376" s="221">
        <v>3</v>
      </c>
      <c r="I376" s="70"/>
      <c r="J376" s="222">
        <f>ROUND(I376*H376,2)</f>
        <v>0</v>
      </c>
      <c r="K376" s="219" t="s">
        <v>1</v>
      </c>
      <c r="L376" s="223"/>
      <c r="M376" s="224" t="s">
        <v>1</v>
      </c>
      <c r="N376" s="225" t="s">
        <v>44</v>
      </c>
      <c r="O376" s="183">
        <v>0</v>
      </c>
      <c r="P376" s="183">
        <f>O376*H376</f>
        <v>0</v>
      </c>
      <c r="Q376" s="183">
        <v>0.081</v>
      </c>
      <c r="R376" s="183">
        <f>Q376*H376</f>
        <v>0.243</v>
      </c>
      <c r="S376" s="183">
        <v>0</v>
      </c>
      <c r="T376" s="184">
        <f>S376*H376</f>
        <v>0</v>
      </c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R376" s="185" t="s">
        <v>187</v>
      </c>
      <c r="AT376" s="185" t="s">
        <v>251</v>
      </c>
      <c r="AU376" s="185" t="s">
        <v>87</v>
      </c>
      <c r="AY376" s="83" t="s">
        <v>139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83" t="s">
        <v>85</v>
      </c>
      <c r="BK376" s="186">
        <f>ROUND(I376*H376,2)</f>
        <v>0</v>
      </c>
      <c r="BL376" s="83" t="s">
        <v>146</v>
      </c>
      <c r="BM376" s="185" t="s">
        <v>1178</v>
      </c>
    </row>
    <row r="377" spans="1:65" s="95" customFormat="1" ht="14.45" customHeight="1">
      <c r="A377" s="93"/>
      <c r="B377" s="92"/>
      <c r="C377" s="175" t="s">
        <v>483</v>
      </c>
      <c r="D377" s="175" t="s">
        <v>141</v>
      </c>
      <c r="E377" s="176" t="s">
        <v>554</v>
      </c>
      <c r="F377" s="177" t="s">
        <v>1179</v>
      </c>
      <c r="G377" s="178" t="s">
        <v>171</v>
      </c>
      <c r="H377" s="179">
        <v>81.68</v>
      </c>
      <c r="I377" s="69"/>
      <c r="J377" s="180">
        <f>ROUND(I377*H377,2)</f>
        <v>0</v>
      </c>
      <c r="K377" s="177" t="s">
        <v>967</v>
      </c>
      <c r="L377" s="92"/>
      <c r="M377" s="181" t="s">
        <v>1</v>
      </c>
      <c r="N377" s="182" t="s">
        <v>44</v>
      </c>
      <c r="O377" s="183">
        <v>0.025</v>
      </c>
      <c r="P377" s="183">
        <f>O377*H377</f>
        <v>2.0420000000000003</v>
      </c>
      <c r="Q377" s="183">
        <v>9E-05</v>
      </c>
      <c r="R377" s="183">
        <f>Q377*H377</f>
        <v>0.007351200000000001</v>
      </c>
      <c r="S377" s="183">
        <v>0</v>
      </c>
      <c r="T377" s="184">
        <f>S377*H377</f>
        <v>0</v>
      </c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R377" s="185" t="s">
        <v>146</v>
      </c>
      <c r="AT377" s="185" t="s">
        <v>141</v>
      </c>
      <c r="AU377" s="185" t="s">
        <v>87</v>
      </c>
      <c r="AY377" s="83" t="s">
        <v>139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83" t="s">
        <v>85</v>
      </c>
      <c r="BK377" s="186">
        <f>ROUND(I377*H377,2)</f>
        <v>0</v>
      </c>
      <c r="BL377" s="83" t="s">
        <v>146</v>
      </c>
      <c r="BM377" s="185" t="s">
        <v>1180</v>
      </c>
    </row>
    <row r="378" spans="2:51" s="201" customFormat="1" ht="12">
      <c r="B378" s="202"/>
      <c r="D378" s="189" t="s">
        <v>148</v>
      </c>
      <c r="E378" s="203" t="s">
        <v>1</v>
      </c>
      <c r="F378" s="204" t="s">
        <v>1181</v>
      </c>
      <c r="H378" s="203" t="s">
        <v>1</v>
      </c>
      <c r="I378" s="235"/>
      <c r="L378" s="202"/>
      <c r="M378" s="205"/>
      <c r="N378" s="206"/>
      <c r="O378" s="206"/>
      <c r="P378" s="206"/>
      <c r="Q378" s="206"/>
      <c r="R378" s="206"/>
      <c r="S378" s="206"/>
      <c r="T378" s="207"/>
      <c r="AT378" s="203" t="s">
        <v>148</v>
      </c>
      <c r="AU378" s="203" t="s">
        <v>87</v>
      </c>
      <c r="AV378" s="201" t="s">
        <v>85</v>
      </c>
      <c r="AW378" s="201" t="s">
        <v>34</v>
      </c>
      <c r="AX378" s="201" t="s">
        <v>78</v>
      </c>
      <c r="AY378" s="203" t="s">
        <v>139</v>
      </c>
    </row>
    <row r="379" spans="2:51" s="187" customFormat="1" ht="12">
      <c r="B379" s="188"/>
      <c r="D379" s="189" t="s">
        <v>148</v>
      </c>
      <c r="E379" s="190" t="s">
        <v>1</v>
      </c>
      <c r="F379" s="191" t="s">
        <v>1107</v>
      </c>
      <c r="H379" s="192">
        <v>81.68</v>
      </c>
      <c r="I379" s="233"/>
      <c r="L379" s="188"/>
      <c r="M379" s="193"/>
      <c r="N379" s="194"/>
      <c r="O379" s="194"/>
      <c r="P379" s="194"/>
      <c r="Q379" s="194"/>
      <c r="R379" s="194"/>
      <c r="S379" s="194"/>
      <c r="T379" s="195"/>
      <c r="AT379" s="190" t="s">
        <v>148</v>
      </c>
      <c r="AU379" s="190" t="s">
        <v>87</v>
      </c>
      <c r="AV379" s="187" t="s">
        <v>87</v>
      </c>
      <c r="AW379" s="187" t="s">
        <v>34</v>
      </c>
      <c r="AX379" s="187" t="s">
        <v>85</v>
      </c>
      <c r="AY379" s="190" t="s">
        <v>139</v>
      </c>
    </row>
    <row r="380" spans="2:63" s="162" customFormat="1" ht="22.9" customHeight="1">
      <c r="B380" s="163"/>
      <c r="D380" s="164" t="s">
        <v>77</v>
      </c>
      <c r="E380" s="173" t="s">
        <v>191</v>
      </c>
      <c r="F380" s="173" t="s">
        <v>562</v>
      </c>
      <c r="I380" s="237"/>
      <c r="J380" s="174">
        <f>SUM(J381:J396)</f>
        <v>0</v>
      </c>
      <c r="L380" s="163"/>
      <c r="M380" s="167"/>
      <c r="N380" s="168"/>
      <c r="O380" s="168"/>
      <c r="P380" s="169">
        <f>SUM(P381:P397)</f>
        <v>43.974325</v>
      </c>
      <c r="Q380" s="168"/>
      <c r="R380" s="169">
        <f>SUM(R381:R397)</f>
        <v>0.05034275</v>
      </c>
      <c r="S380" s="168"/>
      <c r="T380" s="170">
        <f>SUM(T381:T397)</f>
        <v>0.33312</v>
      </c>
      <c r="AR380" s="164" t="s">
        <v>85</v>
      </c>
      <c r="AT380" s="171" t="s">
        <v>77</v>
      </c>
      <c r="AU380" s="171" t="s">
        <v>85</v>
      </c>
      <c r="AY380" s="164" t="s">
        <v>139</v>
      </c>
      <c r="BK380" s="172">
        <f>SUM(BK381:BK397)</f>
        <v>0</v>
      </c>
    </row>
    <row r="381" spans="1:65" s="95" customFormat="1" ht="37.9" customHeight="1">
      <c r="A381" s="93"/>
      <c r="B381" s="92"/>
      <c r="C381" s="175" t="s">
        <v>487</v>
      </c>
      <c r="D381" s="175" t="s">
        <v>141</v>
      </c>
      <c r="E381" s="176" t="s">
        <v>818</v>
      </c>
      <c r="F381" s="177" t="s">
        <v>819</v>
      </c>
      <c r="G381" s="178" t="s">
        <v>171</v>
      </c>
      <c r="H381" s="179">
        <v>21.5</v>
      </c>
      <c r="I381" s="69"/>
      <c r="J381" s="180">
        <f>ROUND(I381*H381,2)</f>
        <v>0</v>
      </c>
      <c r="K381" s="177" t="s">
        <v>967</v>
      </c>
      <c r="L381" s="92"/>
      <c r="M381" s="181" t="s">
        <v>1</v>
      </c>
      <c r="N381" s="182" t="s">
        <v>44</v>
      </c>
      <c r="O381" s="183">
        <v>0.24</v>
      </c>
      <c r="P381" s="183">
        <f>O381*H381</f>
        <v>5.16</v>
      </c>
      <c r="Q381" s="183">
        <v>1E-05</v>
      </c>
      <c r="R381" s="183">
        <f>Q381*H381</f>
        <v>0.00021500000000000002</v>
      </c>
      <c r="S381" s="183">
        <v>0</v>
      </c>
      <c r="T381" s="184">
        <f>S381*H381</f>
        <v>0</v>
      </c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R381" s="185" t="s">
        <v>146</v>
      </c>
      <c r="AT381" s="185" t="s">
        <v>141</v>
      </c>
      <c r="AU381" s="185" t="s">
        <v>87</v>
      </c>
      <c r="AY381" s="83" t="s">
        <v>139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83" t="s">
        <v>85</v>
      </c>
      <c r="BK381" s="186">
        <f>ROUND(I381*H381,2)</f>
        <v>0</v>
      </c>
      <c r="BL381" s="83" t="s">
        <v>146</v>
      </c>
      <c r="BM381" s="185" t="s">
        <v>1182</v>
      </c>
    </row>
    <row r="382" spans="2:51" s="201" customFormat="1" ht="12">
      <c r="B382" s="202"/>
      <c r="D382" s="189" t="s">
        <v>148</v>
      </c>
      <c r="E382" s="203" t="s">
        <v>1</v>
      </c>
      <c r="F382" s="204" t="s">
        <v>1183</v>
      </c>
      <c r="H382" s="203" t="s">
        <v>1</v>
      </c>
      <c r="I382" s="235"/>
      <c r="L382" s="202"/>
      <c r="M382" s="205"/>
      <c r="N382" s="206"/>
      <c r="O382" s="206"/>
      <c r="P382" s="206"/>
      <c r="Q382" s="206"/>
      <c r="R382" s="206"/>
      <c r="S382" s="206"/>
      <c r="T382" s="207"/>
      <c r="AT382" s="203" t="s">
        <v>148</v>
      </c>
      <c r="AU382" s="203" t="s">
        <v>87</v>
      </c>
      <c r="AV382" s="201" t="s">
        <v>85</v>
      </c>
      <c r="AW382" s="201" t="s">
        <v>34</v>
      </c>
      <c r="AX382" s="201" t="s">
        <v>78</v>
      </c>
      <c r="AY382" s="203" t="s">
        <v>139</v>
      </c>
    </row>
    <row r="383" spans="2:51" s="187" customFormat="1" ht="12">
      <c r="B383" s="188"/>
      <c r="D383" s="189" t="s">
        <v>148</v>
      </c>
      <c r="E383" s="190" t="s">
        <v>1</v>
      </c>
      <c r="F383" s="191" t="s">
        <v>1184</v>
      </c>
      <c r="H383" s="192">
        <v>21.5</v>
      </c>
      <c r="I383" s="233"/>
      <c r="L383" s="188"/>
      <c r="M383" s="193"/>
      <c r="N383" s="194"/>
      <c r="O383" s="194"/>
      <c r="P383" s="194"/>
      <c r="Q383" s="194"/>
      <c r="R383" s="194"/>
      <c r="S383" s="194"/>
      <c r="T383" s="195"/>
      <c r="AT383" s="190" t="s">
        <v>148</v>
      </c>
      <c r="AU383" s="190" t="s">
        <v>87</v>
      </c>
      <c r="AV383" s="187" t="s">
        <v>87</v>
      </c>
      <c r="AW383" s="187" t="s">
        <v>34</v>
      </c>
      <c r="AX383" s="187" t="s">
        <v>85</v>
      </c>
      <c r="AY383" s="190" t="s">
        <v>139</v>
      </c>
    </row>
    <row r="384" spans="1:65" s="95" customFormat="1" ht="49.15" customHeight="1">
      <c r="A384" s="93"/>
      <c r="B384" s="92"/>
      <c r="C384" s="175" t="s">
        <v>493</v>
      </c>
      <c r="D384" s="175" t="s">
        <v>141</v>
      </c>
      <c r="E384" s="176" t="s">
        <v>826</v>
      </c>
      <c r="F384" s="177" t="s">
        <v>827</v>
      </c>
      <c r="G384" s="178" t="s">
        <v>171</v>
      </c>
      <c r="H384" s="179">
        <v>21.5</v>
      </c>
      <c r="I384" s="69"/>
      <c r="J384" s="180">
        <f>ROUND(I384*H384,2)</f>
        <v>0</v>
      </c>
      <c r="K384" s="177" t="s">
        <v>967</v>
      </c>
      <c r="L384" s="92"/>
      <c r="M384" s="181" t="s">
        <v>1</v>
      </c>
      <c r="N384" s="182" t="s">
        <v>44</v>
      </c>
      <c r="O384" s="183">
        <v>0.104</v>
      </c>
      <c r="P384" s="183">
        <f>O384*H384</f>
        <v>2.2359999999999998</v>
      </c>
      <c r="Q384" s="183">
        <v>0.00034</v>
      </c>
      <c r="R384" s="183">
        <f>Q384*H384</f>
        <v>0.0073100000000000005</v>
      </c>
      <c r="S384" s="183">
        <v>0</v>
      </c>
      <c r="T384" s="184">
        <f>S384*H384</f>
        <v>0</v>
      </c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R384" s="185" t="s">
        <v>146</v>
      </c>
      <c r="AT384" s="185" t="s">
        <v>141</v>
      </c>
      <c r="AU384" s="185" t="s">
        <v>87</v>
      </c>
      <c r="AY384" s="83" t="s">
        <v>139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83" t="s">
        <v>85</v>
      </c>
      <c r="BK384" s="186">
        <f>ROUND(I384*H384,2)</f>
        <v>0</v>
      </c>
      <c r="BL384" s="83" t="s">
        <v>146</v>
      </c>
      <c r="BM384" s="185" t="s">
        <v>1185</v>
      </c>
    </row>
    <row r="385" spans="2:51" s="201" customFormat="1" ht="12">
      <c r="B385" s="202"/>
      <c r="D385" s="189" t="s">
        <v>148</v>
      </c>
      <c r="E385" s="203" t="s">
        <v>1</v>
      </c>
      <c r="F385" s="204" t="s">
        <v>1183</v>
      </c>
      <c r="H385" s="203" t="s">
        <v>1</v>
      </c>
      <c r="I385" s="235"/>
      <c r="L385" s="202"/>
      <c r="M385" s="205"/>
      <c r="N385" s="206"/>
      <c r="O385" s="206"/>
      <c r="P385" s="206"/>
      <c r="Q385" s="206"/>
      <c r="R385" s="206"/>
      <c r="S385" s="206"/>
      <c r="T385" s="207"/>
      <c r="AT385" s="203" t="s">
        <v>148</v>
      </c>
      <c r="AU385" s="203" t="s">
        <v>87</v>
      </c>
      <c r="AV385" s="201" t="s">
        <v>85</v>
      </c>
      <c r="AW385" s="201" t="s">
        <v>34</v>
      </c>
      <c r="AX385" s="201" t="s">
        <v>78</v>
      </c>
      <c r="AY385" s="203" t="s">
        <v>139</v>
      </c>
    </row>
    <row r="386" spans="2:51" s="187" customFormat="1" ht="12">
      <c r="B386" s="188"/>
      <c r="D386" s="189" t="s">
        <v>148</v>
      </c>
      <c r="E386" s="190" t="s">
        <v>1</v>
      </c>
      <c r="F386" s="191" t="s">
        <v>1184</v>
      </c>
      <c r="H386" s="192">
        <v>21.5</v>
      </c>
      <c r="I386" s="233"/>
      <c r="L386" s="188"/>
      <c r="M386" s="193"/>
      <c r="N386" s="194"/>
      <c r="O386" s="194"/>
      <c r="P386" s="194"/>
      <c r="Q386" s="194"/>
      <c r="R386" s="194"/>
      <c r="S386" s="194"/>
      <c r="T386" s="195"/>
      <c r="AT386" s="190" t="s">
        <v>148</v>
      </c>
      <c r="AU386" s="190" t="s">
        <v>87</v>
      </c>
      <c r="AV386" s="187" t="s">
        <v>87</v>
      </c>
      <c r="AW386" s="187" t="s">
        <v>34</v>
      </c>
      <c r="AX386" s="187" t="s">
        <v>85</v>
      </c>
      <c r="AY386" s="190" t="s">
        <v>139</v>
      </c>
    </row>
    <row r="387" spans="1:65" s="95" customFormat="1" ht="24.2" customHeight="1">
      <c r="A387" s="93"/>
      <c r="B387" s="92"/>
      <c r="C387" s="175" t="s">
        <v>501</v>
      </c>
      <c r="D387" s="175" t="s">
        <v>141</v>
      </c>
      <c r="E387" s="176" t="s">
        <v>829</v>
      </c>
      <c r="F387" s="177" t="s">
        <v>830</v>
      </c>
      <c r="G387" s="178" t="s">
        <v>171</v>
      </c>
      <c r="H387" s="179">
        <v>164.61</v>
      </c>
      <c r="I387" s="69"/>
      <c r="J387" s="180">
        <f>ROUND(I387*H387,2)</f>
        <v>0</v>
      </c>
      <c r="K387" s="177" t="s">
        <v>967</v>
      </c>
      <c r="L387" s="92"/>
      <c r="M387" s="181" t="s">
        <v>1</v>
      </c>
      <c r="N387" s="182" t="s">
        <v>44</v>
      </c>
      <c r="O387" s="183">
        <v>0.196</v>
      </c>
      <c r="P387" s="183">
        <f>O387*H387</f>
        <v>32.263560000000005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R387" s="185" t="s">
        <v>146</v>
      </c>
      <c r="AT387" s="185" t="s">
        <v>141</v>
      </c>
      <c r="AU387" s="185" t="s">
        <v>87</v>
      </c>
      <c r="AY387" s="83" t="s">
        <v>139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83" t="s">
        <v>85</v>
      </c>
      <c r="BK387" s="186">
        <f>ROUND(I387*H387,2)</f>
        <v>0</v>
      </c>
      <c r="BL387" s="83" t="s">
        <v>146</v>
      </c>
      <c r="BM387" s="185" t="s">
        <v>1187</v>
      </c>
    </row>
    <row r="388" spans="2:51" s="201" customFormat="1" ht="12">
      <c r="B388" s="202"/>
      <c r="D388" s="189" t="s">
        <v>148</v>
      </c>
      <c r="E388" s="203" t="s">
        <v>1</v>
      </c>
      <c r="F388" s="204" t="s">
        <v>307</v>
      </c>
      <c r="H388" s="203" t="s">
        <v>1</v>
      </c>
      <c r="I388" s="235"/>
      <c r="L388" s="202"/>
      <c r="M388" s="205"/>
      <c r="N388" s="206"/>
      <c r="O388" s="206"/>
      <c r="P388" s="206"/>
      <c r="Q388" s="206"/>
      <c r="R388" s="206"/>
      <c r="S388" s="206"/>
      <c r="T388" s="207"/>
      <c r="AT388" s="203" t="s">
        <v>148</v>
      </c>
      <c r="AU388" s="203" t="s">
        <v>87</v>
      </c>
      <c r="AV388" s="201" t="s">
        <v>85</v>
      </c>
      <c r="AW388" s="201" t="s">
        <v>34</v>
      </c>
      <c r="AX388" s="201" t="s">
        <v>78</v>
      </c>
      <c r="AY388" s="203" t="s">
        <v>139</v>
      </c>
    </row>
    <row r="389" spans="2:51" s="187" customFormat="1" ht="12">
      <c r="B389" s="188"/>
      <c r="D389" s="189" t="s">
        <v>148</v>
      </c>
      <c r="E389" s="190" t="s">
        <v>1</v>
      </c>
      <c r="F389" s="191" t="s">
        <v>1186</v>
      </c>
      <c r="H389" s="192">
        <v>164.61</v>
      </c>
      <c r="I389" s="233"/>
      <c r="L389" s="188"/>
      <c r="M389" s="193"/>
      <c r="N389" s="194"/>
      <c r="O389" s="194"/>
      <c r="P389" s="194"/>
      <c r="Q389" s="194"/>
      <c r="R389" s="194"/>
      <c r="S389" s="194"/>
      <c r="T389" s="195"/>
      <c r="AT389" s="190" t="s">
        <v>148</v>
      </c>
      <c r="AU389" s="190" t="s">
        <v>87</v>
      </c>
      <c r="AV389" s="187" t="s">
        <v>87</v>
      </c>
      <c r="AW389" s="187" t="s">
        <v>34</v>
      </c>
      <c r="AX389" s="187" t="s">
        <v>85</v>
      </c>
      <c r="AY389" s="190" t="s">
        <v>139</v>
      </c>
    </row>
    <row r="390" spans="1:65" s="95" customFormat="1" ht="49.15" customHeight="1">
      <c r="A390" s="93"/>
      <c r="B390" s="92"/>
      <c r="C390" s="175" t="s">
        <v>508</v>
      </c>
      <c r="D390" s="175" t="s">
        <v>141</v>
      </c>
      <c r="E390" s="176" t="s">
        <v>865</v>
      </c>
      <c r="F390" s="177" t="s">
        <v>866</v>
      </c>
      <c r="G390" s="178" t="s">
        <v>194</v>
      </c>
      <c r="H390" s="179">
        <v>0.015</v>
      </c>
      <c r="I390" s="69"/>
      <c r="J390" s="180">
        <f>ROUND(I390*H390,2)</f>
        <v>0</v>
      </c>
      <c r="K390" s="177" t="s">
        <v>967</v>
      </c>
      <c r="L390" s="92"/>
      <c r="M390" s="181" t="s">
        <v>1</v>
      </c>
      <c r="N390" s="182" t="s">
        <v>44</v>
      </c>
      <c r="O390" s="183">
        <v>42.051</v>
      </c>
      <c r="P390" s="183">
        <f>O390*H390</f>
        <v>0.630765</v>
      </c>
      <c r="Q390" s="183">
        <v>2.57913</v>
      </c>
      <c r="R390" s="183">
        <f>Q390*H390</f>
        <v>0.03868695</v>
      </c>
      <c r="S390" s="183">
        <v>0</v>
      </c>
      <c r="T390" s="184">
        <f>S390*H390</f>
        <v>0</v>
      </c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R390" s="185" t="s">
        <v>146</v>
      </c>
      <c r="AT390" s="185" t="s">
        <v>141</v>
      </c>
      <c r="AU390" s="185" t="s">
        <v>87</v>
      </c>
      <c r="AY390" s="83" t="s">
        <v>139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83" t="s">
        <v>85</v>
      </c>
      <c r="BK390" s="186">
        <f>ROUND(I390*H390,2)</f>
        <v>0</v>
      </c>
      <c r="BL390" s="83" t="s">
        <v>146</v>
      </c>
      <c r="BM390" s="185" t="s">
        <v>1188</v>
      </c>
    </row>
    <row r="391" spans="2:51" s="201" customFormat="1" ht="22.5">
      <c r="B391" s="202"/>
      <c r="D391" s="189" t="s">
        <v>148</v>
      </c>
      <c r="E391" s="203" t="s">
        <v>1</v>
      </c>
      <c r="F391" s="204" t="s">
        <v>867</v>
      </c>
      <c r="H391" s="203" t="s">
        <v>1</v>
      </c>
      <c r="I391" s="235"/>
      <c r="L391" s="202"/>
      <c r="M391" s="205"/>
      <c r="N391" s="206"/>
      <c r="O391" s="206"/>
      <c r="P391" s="206"/>
      <c r="Q391" s="206"/>
      <c r="R391" s="206"/>
      <c r="S391" s="206"/>
      <c r="T391" s="207"/>
      <c r="AT391" s="203" t="s">
        <v>148</v>
      </c>
      <c r="AU391" s="203" t="s">
        <v>87</v>
      </c>
      <c r="AV391" s="201" t="s">
        <v>85</v>
      </c>
      <c r="AW391" s="201" t="s">
        <v>34</v>
      </c>
      <c r="AX391" s="201" t="s">
        <v>78</v>
      </c>
      <c r="AY391" s="203" t="s">
        <v>139</v>
      </c>
    </row>
    <row r="392" spans="2:51" s="187" customFormat="1" ht="12">
      <c r="B392" s="188"/>
      <c r="D392" s="189" t="s">
        <v>148</v>
      </c>
      <c r="E392" s="190" t="s">
        <v>1</v>
      </c>
      <c r="F392" s="191" t="s">
        <v>1189</v>
      </c>
      <c r="H392" s="192">
        <v>0.014</v>
      </c>
      <c r="I392" s="233"/>
      <c r="L392" s="188"/>
      <c r="M392" s="193"/>
      <c r="N392" s="194"/>
      <c r="O392" s="194"/>
      <c r="P392" s="194"/>
      <c r="Q392" s="194"/>
      <c r="R392" s="194"/>
      <c r="S392" s="194"/>
      <c r="T392" s="195"/>
      <c r="AT392" s="190" t="s">
        <v>148</v>
      </c>
      <c r="AU392" s="190" t="s">
        <v>87</v>
      </c>
      <c r="AV392" s="187" t="s">
        <v>87</v>
      </c>
      <c r="AW392" s="187" t="s">
        <v>34</v>
      </c>
      <c r="AX392" s="187" t="s">
        <v>78</v>
      </c>
      <c r="AY392" s="190" t="s">
        <v>139</v>
      </c>
    </row>
    <row r="393" spans="2:51" s="187" customFormat="1" ht="12">
      <c r="B393" s="188"/>
      <c r="D393" s="189" t="s">
        <v>148</v>
      </c>
      <c r="E393" s="190" t="s">
        <v>1</v>
      </c>
      <c r="F393" s="191" t="s">
        <v>1190</v>
      </c>
      <c r="H393" s="192">
        <v>0.001</v>
      </c>
      <c r="I393" s="233"/>
      <c r="L393" s="188"/>
      <c r="M393" s="193"/>
      <c r="N393" s="194"/>
      <c r="O393" s="194"/>
      <c r="P393" s="194"/>
      <c r="Q393" s="194"/>
      <c r="R393" s="194"/>
      <c r="S393" s="194"/>
      <c r="T393" s="195"/>
      <c r="AT393" s="190" t="s">
        <v>148</v>
      </c>
      <c r="AU393" s="190" t="s">
        <v>87</v>
      </c>
      <c r="AV393" s="187" t="s">
        <v>87</v>
      </c>
      <c r="AW393" s="187" t="s">
        <v>34</v>
      </c>
      <c r="AX393" s="187" t="s">
        <v>78</v>
      </c>
      <c r="AY393" s="190" t="s">
        <v>139</v>
      </c>
    </row>
    <row r="394" spans="2:51" s="208" customFormat="1" ht="12">
      <c r="B394" s="209"/>
      <c r="D394" s="189" t="s">
        <v>148</v>
      </c>
      <c r="E394" s="210" t="s">
        <v>1</v>
      </c>
      <c r="F394" s="211" t="s">
        <v>159</v>
      </c>
      <c r="H394" s="212">
        <v>0.015</v>
      </c>
      <c r="I394" s="236"/>
      <c r="L394" s="209"/>
      <c r="M394" s="213"/>
      <c r="N394" s="214"/>
      <c r="O394" s="214"/>
      <c r="P394" s="214"/>
      <c r="Q394" s="214"/>
      <c r="R394" s="214"/>
      <c r="S394" s="214"/>
      <c r="T394" s="215"/>
      <c r="AT394" s="210" t="s">
        <v>148</v>
      </c>
      <c r="AU394" s="210" t="s">
        <v>87</v>
      </c>
      <c r="AV394" s="208" t="s">
        <v>146</v>
      </c>
      <c r="AW394" s="208" t="s">
        <v>34</v>
      </c>
      <c r="AX394" s="208" t="s">
        <v>85</v>
      </c>
      <c r="AY394" s="210" t="s">
        <v>139</v>
      </c>
    </row>
    <row r="395" spans="1:65" s="95" customFormat="1" ht="37.9" customHeight="1">
      <c r="A395" s="93"/>
      <c r="B395" s="92"/>
      <c r="C395" s="175" t="s">
        <v>512</v>
      </c>
      <c r="D395" s="175" t="s">
        <v>141</v>
      </c>
      <c r="E395" s="176" t="s">
        <v>868</v>
      </c>
      <c r="F395" s="177" t="s">
        <v>869</v>
      </c>
      <c r="G395" s="178" t="s">
        <v>171</v>
      </c>
      <c r="H395" s="179">
        <v>0.12</v>
      </c>
      <c r="I395" s="69"/>
      <c r="J395" s="180">
        <f>ROUND(I395*H395,2)</f>
        <v>0</v>
      </c>
      <c r="K395" s="177" t="s">
        <v>967</v>
      </c>
      <c r="L395" s="92"/>
      <c r="M395" s="181" t="s">
        <v>1</v>
      </c>
      <c r="N395" s="182" t="s">
        <v>44</v>
      </c>
      <c r="O395" s="183">
        <v>3.2</v>
      </c>
      <c r="P395" s="183">
        <f>O395*H395</f>
        <v>0.384</v>
      </c>
      <c r="Q395" s="183">
        <v>0.00259</v>
      </c>
      <c r="R395" s="183">
        <f>Q395*H395</f>
        <v>0.00031079999999999997</v>
      </c>
      <c r="S395" s="183">
        <v>0.126</v>
      </c>
      <c r="T395" s="184">
        <f>S395*H395</f>
        <v>0.01512</v>
      </c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R395" s="185" t="s">
        <v>146</v>
      </c>
      <c r="AT395" s="185" t="s">
        <v>141</v>
      </c>
      <c r="AU395" s="185" t="s">
        <v>87</v>
      </c>
      <c r="AY395" s="83" t="s">
        <v>139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83" t="s">
        <v>85</v>
      </c>
      <c r="BK395" s="186">
        <f>ROUND(I395*H395,2)</f>
        <v>0</v>
      </c>
      <c r="BL395" s="83" t="s">
        <v>146</v>
      </c>
      <c r="BM395" s="185" t="s">
        <v>1191</v>
      </c>
    </row>
    <row r="396" spans="1:65" s="95" customFormat="1" ht="37.9" customHeight="1">
      <c r="A396" s="93"/>
      <c r="B396" s="92"/>
      <c r="C396" s="175" t="s">
        <v>516</v>
      </c>
      <c r="D396" s="175" t="s">
        <v>141</v>
      </c>
      <c r="E396" s="176" t="s">
        <v>1192</v>
      </c>
      <c r="F396" s="177" t="s">
        <v>1193</v>
      </c>
      <c r="G396" s="178" t="s">
        <v>171</v>
      </c>
      <c r="H396" s="179">
        <v>0.5</v>
      </c>
      <c r="I396" s="69"/>
      <c r="J396" s="180">
        <f>ROUND(I396*H396,2)</f>
        <v>0</v>
      </c>
      <c r="K396" s="177" t="s">
        <v>967</v>
      </c>
      <c r="L396" s="92"/>
      <c r="M396" s="181" t="s">
        <v>1</v>
      </c>
      <c r="N396" s="182" t="s">
        <v>44</v>
      </c>
      <c r="O396" s="183">
        <v>6.6</v>
      </c>
      <c r="P396" s="183">
        <f>O396*H396</f>
        <v>3.3</v>
      </c>
      <c r="Q396" s="183">
        <v>0.00764</v>
      </c>
      <c r="R396" s="183">
        <f>Q396*H396</f>
        <v>0.00382</v>
      </c>
      <c r="S396" s="183">
        <v>0.636</v>
      </c>
      <c r="T396" s="184">
        <f>S396*H396</f>
        <v>0.318</v>
      </c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R396" s="185" t="s">
        <v>146</v>
      </c>
      <c r="AT396" s="185" t="s">
        <v>141</v>
      </c>
      <c r="AU396" s="185" t="s">
        <v>87</v>
      </c>
      <c r="AY396" s="83" t="s">
        <v>139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83" t="s">
        <v>85</v>
      </c>
      <c r="BK396" s="186">
        <f>ROUND(I396*H396,2)</f>
        <v>0</v>
      </c>
      <c r="BL396" s="83" t="s">
        <v>146</v>
      </c>
      <c r="BM396" s="185" t="s">
        <v>1194</v>
      </c>
    </row>
    <row r="397" spans="2:51" s="187" customFormat="1" ht="12">
      <c r="B397" s="188"/>
      <c r="D397" s="189" t="s">
        <v>148</v>
      </c>
      <c r="E397" s="190" t="s">
        <v>1</v>
      </c>
      <c r="F397" s="191" t="s">
        <v>1195</v>
      </c>
      <c r="H397" s="192">
        <v>0.5</v>
      </c>
      <c r="I397" s="233"/>
      <c r="L397" s="188"/>
      <c r="M397" s="193"/>
      <c r="N397" s="194"/>
      <c r="O397" s="194"/>
      <c r="P397" s="194"/>
      <c r="Q397" s="194"/>
      <c r="R397" s="194"/>
      <c r="S397" s="194"/>
      <c r="T397" s="195"/>
      <c r="AT397" s="190" t="s">
        <v>148</v>
      </c>
      <c r="AU397" s="190" t="s">
        <v>87</v>
      </c>
      <c r="AV397" s="187" t="s">
        <v>87</v>
      </c>
      <c r="AW397" s="187" t="s">
        <v>34</v>
      </c>
      <c r="AX397" s="187" t="s">
        <v>85</v>
      </c>
      <c r="AY397" s="190" t="s">
        <v>139</v>
      </c>
    </row>
    <row r="398" spans="2:63" s="162" customFormat="1" ht="22.9" customHeight="1">
      <c r="B398" s="163"/>
      <c r="D398" s="164" t="s">
        <v>77</v>
      </c>
      <c r="E398" s="173" t="s">
        <v>576</v>
      </c>
      <c r="F398" s="173" t="s">
        <v>577</v>
      </c>
      <c r="I398" s="237"/>
      <c r="J398" s="174">
        <f>J399</f>
        <v>0</v>
      </c>
      <c r="L398" s="163"/>
      <c r="M398" s="167"/>
      <c r="N398" s="168"/>
      <c r="O398" s="168"/>
      <c r="P398" s="169">
        <f>SUM(P399:P406)</f>
        <v>2.71081536</v>
      </c>
      <c r="Q398" s="168"/>
      <c r="R398" s="169">
        <f>SUM(R399:R406)</f>
        <v>0</v>
      </c>
      <c r="S398" s="168"/>
      <c r="T398" s="170">
        <f>SUM(T399:T406)</f>
        <v>0</v>
      </c>
      <c r="AR398" s="164" t="s">
        <v>85</v>
      </c>
      <c r="AT398" s="171" t="s">
        <v>77</v>
      </c>
      <c r="AU398" s="171" t="s">
        <v>85</v>
      </c>
      <c r="AY398" s="164" t="s">
        <v>139</v>
      </c>
      <c r="BK398" s="172">
        <f>SUM(BK399:BK406)</f>
        <v>0</v>
      </c>
    </row>
    <row r="399" spans="1:65" s="95" customFormat="1" ht="24.2" customHeight="1">
      <c r="A399" s="93"/>
      <c r="B399" s="92"/>
      <c r="C399" s="175" t="s">
        <v>520</v>
      </c>
      <c r="D399" s="175" t="s">
        <v>141</v>
      </c>
      <c r="E399" s="176" t="s">
        <v>579</v>
      </c>
      <c r="F399" s="177" t="s">
        <v>580</v>
      </c>
      <c r="G399" s="178" t="s">
        <v>254</v>
      </c>
      <c r="H399" s="179">
        <f>H406</f>
        <v>90.360512</v>
      </c>
      <c r="I399" s="69"/>
      <c r="J399" s="180">
        <f>ROUND(I399*H399,2)</f>
        <v>0</v>
      </c>
      <c r="K399" s="177" t="s">
        <v>1</v>
      </c>
      <c r="L399" s="92"/>
      <c r="M399" s="181" t="s">
        <v>1</v>
      </c>
      <c r="N399" s="182" t="s">
        <v>44</v>
      </c>
      <c r="O399" s="183">
        <v>0.03</v>
      </c>
      <c r="P399" s="183">
        <f>O399*H399</f>
        <v>2.71081536</v>
      </c>
      <c r="Q399" s="183">
        <v>0</v>
      </c>
      <c r="R399" s="183">
        <f>Q399*H399</f>
        <v>0</v>
      </c>
      <c r="S399" s="183">
        <v>0</v>
      </c>
      <c r="T399" s="184">
        <f>S399*H399</f>
        <v>0</v>
      </c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R399" s="185" t="s">
        <v>146</v>
      </c>
      <c r="AT399" s="185" t="s">
        <v>141</v>
      </c>
      <c r="AU399" s="185" t="s">
        <v>87</v>
      </c>
      <c r="AY399" s="83" t="s">
        <v>139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83" t="s">
        <v>85</v>
      </c>
      <c r="BK399" s="186">
        <f>ROUND(I399*H399,2)</f>
        <v>0</v>
      </c>
      <c r="BL399" s="83" t="s">
        <v>146</v>
      </c>
      <c r="BM399" s="185" t="s">
        <v>1196</v>
      </c>
    </row>
    <row r="400" spans="2:51" s="201" customFormat="1" ht="12">
      <c r="B400" s="202"/>
      <c r="D400" s="189" t="s">
        <v>148</v>
      </c>
      <c r="E400" s="203" t="s">
        <v>1</v>
      </c>
      <c r="F400" s="204" t="s">
        <v>583</v>
      </c>
      <c r="H400" s="203" t="s">
        <v>1</v>
      </c>
      <c r="I400" s="235"/>
      <c r="L400" s="202"/>
      <c r="M400" s="205"/>
      <c r="N400" s="206"/>
      <c r="O400" s="206"/>
      <c r="P400" s="206"/>
      <c r="Q400" s="206"/>
      <c r="R400" s="206"/>
      <c r="S400" s="206"/>
      <c r="T400" s="207"/>
      <c r="AT400" s="203" t="s">
        <v>148</v>
      </c>
      <c r="AU400" s="203" t="s">
        <v>87</v>
      </c>
      <c r="AV400" s="201" t="s">
        <v>85</v>
      </c>
      <c r="AW400" s="201" t="s">
        <v>34</v>
      </c>
      <c r="AX400" s="201" t="s">
        <v>78</v>
      </c>
      <c r="AY400" s="203" t="s">
        <v>139</v>
      </c>
    </row>
    <row r="401" spans="2:51" s="201" customFormat="1" ht="12">
      <c r="B401" s="202"/>
      <c r="D401" s="189" t="s">
        <v>148</v>
      </c>
      <c r="E401" s="203" t="s">
        <v>1</v>
      </c>
      <c r="F401" s="204" t="s">
        <v>243</v>
      </c>
      <c r="H401" s="203" t="s">
        <v>1</v>
      </c>
      <c r="I401" s="235"/>
      <c r="L401" s="202"/>
      <c r="M401" s="205"/>
      <c r="N401" s="206"/>
      <c r="O401" s="206"/>
      <c r="P401" s="206"/>
      <c r="Q401" s="206"/>
      <c r="R401" s="206"/>
      <c r="S401" s="206"/>
      <c r="T401" s="207"/>
      <c r="AT401" s="203" t="s">
        <v>148</v>
      </c>
      <c r="AU401" s="203" t="s">
        <v>87</v>
      </c>
      <c r="AV401" s="201" t="s">
        <v>85</v>
      </c>
      <c r="AW401" s="201" t="s">
        <v>34</v>
      </c>
      <c r="AX401" s="201" t="s">
        <v>78</v>
      </c>
      <c r="AY401" s="203" t="s">
        <v>139</v>
      </c>
    </row>
    <row r="402" spans="2:51" s="187" customFormat="1" ht="22.5">
      <c r="B402" s="188"/>
      <c r="D402" s="189" t="s">
        <v>148</v>
      </c>
      <c r="E402" s="190" t="s">
        <v>1</v>
      </c>
      <c r="F402" s="191" t="s">
        <v>1548</v>
      </c>
      <c r="H402" s="192">
        <f>403.261*0.128</f>
        <v>51.617408000000005</v>
      </c>
      <c r="I402" s="233"/>
      <c r="L402" s="188"/>
      <c r="M402" s="193"/>
      <c r="N402" s="194"/>
      <c r="O402" s="194"/>
      <c r="P402" s="194"/>
      <c r="Q402" s="194"/>
      <c r="R402" s="194"/>
      <c r="S402" s="194"/>
      <c r="T402" s="195"/>
      <c r="AT402" s="190" t="s">
        <v>148</v>
      </c>
      <c r="AU402" s="190" t="s">
        <v>87</v>
      </c>
      <c r="AV402" s="187" t="s">
        <v>87</v>
      </c>
      <c r="AW402" s="187" t="s">
        <v>34</v>
      </c>
      <c r="AX402" s="187" t="s">
        <v>78</v>
      </c>
      <c r="AY402" s="190" t="s">
        <v>139</v>
      </c>
    </row>
    <row r="403" spans="2:51" s="187" customFormat="1" ht="22.5">
      <c r="B403" s="188"/>
      <c r="D403" s="189" t="s">
        <v>148</v>
      </c>
      <c r="E403" s="190" t="s">
        <v>1</v>
      </c>
      <c r="F403" s="191" t="s">
        <v>1549</v>
      </c>
      <c r="H403" s="192">
        <f>116.864*0.256</f>
        <v>29.917184000000002</v>
      </c>
      <c r="I403" s="233"/>
      <c r="L403" s="188"/>
      <c r="M403" s="193"/>
      <c r="N403" s="194"/>
      <c r="O403" s="194"/>
      <c r="P403" s="194"/>
      <c r="Q403" s="194"/>
      <c r="R403" s="194"/>
      <c r="S403" s="194"/>
      <c r="T403" s="195"/>
      <c r="AT403" s="190" t="s">
        <v>148</v>
      </c>
      <c r="AU403" s="190" t="s">
        <v>87</v>
      </c>
      <c r="AV403" s="187" t="s">
        <v>87</v>
      </c>
      <c r="AW403" s="187" t="s">
        <v>34</v>
      </c>
      <c r="AX403" s="187" t="s">
        <v>78</v>
      </c>
      <c r="AY403" s="190" t="s">
        <v>139</v>
      </c>
    </row>
    <row r="404" spans="2:51" s="187" customFormat="1" ht="12">
      <c r="B404" s="188"/>
      <c r="D404" s="189" t="s">
        <v>148</v>
      </c>
      <c r="E404" s="190" t="s">
        <v>1</v>
      </c>
      <c r="F404" s="191" t="s">
        <v>1197</v>
      </c>
      <c r="H404" s="192">
        <f>1.492*1.76</f>
        <v>2.62592</v>
      </c>
      <c r="I404" s="233"/>
      <c r="L404" s="188"/>
      <c r="M404" s="193"/>
      <c r="N404" s="194"/>
      <c r="O404" s="194"/>
      <c r="P404" s="194"/>
      <c r="Q404" s="194"/>
      <c r="R404" s="194"/>
      <c r="S404" s="194"/>
      <c r="T404" s="195"/>
      <c r="AT404" s="190" t="s">
        <v>148</v>
      </c>
      <c r="AU404" s="190" t="s">
        <v>87</v>
      </c>
      <c r="AV404" s="187" t="s">
        <v>87</v>
      </c>
      <c r="AW404" s="187" t="s">
        <v>34</v>
      </c>
      <c r="AX404" s="187" t="s">
        <v>78</v>
      </c>
      <c r="AY404" s="190" t="s">
        <v>139</v>
      </c>
    </row>
    <row r="405" spans="2:51" s="187" customFormat="1" ht="12">
      <c r="B405" s="188"/>
      <c r="D405" s="189" t="s">
        <v>148</v>
      </c>
      <c r="E405" s="190" t="s">
        <v>1</v>
      </c>
      <c r="F405" s="191" t="s">
        <v>1198</v>
      </c>
      <c r="H405" s="192">
        <f>40*0.155</f>
        <v>6.2</v>
      </c>
      <c r="I405" s="233"/>
      <c r="L405" s="188"/>
      <c r="M405" s="193"/>
      <c r="N405" s="194"/>
      <c r="O405" s="194"/>
      <c r="P405" s="194"/>
      <c r="Q405" s="194"/>
      <c r="R405" s="194"/>
      <c r="S405" s="194"/>
      <c r="T405" s="195"/>
      <c r="AT405" s="190" t="s">
        <v>148</v>
      </c>
      <c r="AU405" s="190" t="s">
        <v>87</v>
      </c>
      <c r="AV405" s="187" t="s">
        <v>87</v>
      </c>
      <c r="AW405" s="187" t="s">
        <v>34</v>
      </c>
      <c r="AX405" s="187" t="s">
        <v>78</v>
      </c>
      <c r="AY405" s="190" t="s">
        <v>139</v>
      </c>
    </row>
    <row r="406" spans="2:51" s="208" customFormat="1" ht="12">
      <c r="B406" s="209"/>
      <c r="D406" s="189" t="s">
        <v>148</v>
      </c>
      <c r="E406" s="210" t="s">
        <v>1</v>
      </c>
      <c r="F406" s="211" t="s">
        <v>159</v>
      </c>
      <c r="H406" s="212">
        <f>SUM(H402:H405)</f>
        <v>90.360512</v>
      </c>
      <c r="I406" s="236"/>
      <c r="L406" s="209"/>
      <c r="M406" s="213"/>
      <c r="N406" s="214"/>
      <c r="O406" s="214"/>
      <c r="P406" s="214"/>
      <c r="Q406" s="214"/>
      <c r="R406" s="214"/>
      <c r="S406" s="214"/>
      <c r="T406" s="215"/>
      <c r="AT406" s="210" t="s">
        <v>148</v>
      </c>
      <c r="AU406" s="210" t="s">
        <v>87</v>
      </c>
      <c r="AV406" s="208" t="s">
        <v>146</v>
      </c>
      <c r="AW406" s="208" t="s">
        <v>34</v>
      </c>
      <c r="AX406" s="208" t="s">
        <v>85</v>
      </c>
      <c r="AY406" s="210" t="s">
        <v>139</v>
      </c>
    </row>
    <row r="407" spans="2:63" s="162" customFormat="1" ht="22.9" customHeight="1">
      <c r="B407" s="163"/>
      <c r="D407" s="164" t="s">
        <v>77</v>
      </c>
      <c r="E407" s="173" t="s">
        <v>584</v>
      </c>
      <c r="F407" s="173" t="s">
        <v>585</v>
      </c>
      <c r="I407" s="237"/>
      <c r="J407" s="174">
        <f>J408</f>
        <v>0</v>
      </c>
      <c r="L407" s="163"/>
      <c r="M407" s="167"/>
      <c r="N407" s="168"/>
      <c r="O407" s="168"/>
      <c r="P407" s="169">
        <f>P408</f>
        <v>14.92321</v>
      </c>
      <c r="Q407" s="168"/>
      <c r="R407" s="169">
        <f>R408</f>
        <v>0</v>
      </c>
      <c r="S407" s="168"/>
      <c r="T407" s="170">
        <f>T408</f>
        <v>0</v>
      </c>
      <c r="AR407" s="164" t="s">
        <v>85</v>
      </c>
      <c r="AT407" s="171" t="s">
        <v>77</v>
      </c>
      <c r="AU407" s="171" t="s">
        <v>85</v>
      </c>
      <c r="AY407" s="164" t="s">
        <v>139</v>
      </c>
      <c r="BK407" s="172">
        <f>BK408</f>
        <v>0</v>
      </c>
    </row>
    <row r="408" spans="1:65" s="95" customFormat="1" ht="37.9" customHeight="1">
      <c r="A408" s="93"/>
      <c r="B408" s="92"/>
      <c r="C408" s="175" t="s">
        <v>524</v>
      </c>
      <c r="D408" s="175" t="s">
        <v>141</v>
      </c>
      <c r="E408" s="176" t="s">
        <v>1199</v>
      </c>
      <c r="F408" s="177" t="s">
        <v>1200</v>
      </c>
      <c r="G408" s="178" t="s">
        <v>254</v>
      </c>
      <c r="H408" s="179">
        <v>19.61</v>
      </c>
      <c r="I408" s="69"/>
      <c r="J408" s="180">
        <f>ROUND(I408*H408,2)</f>
        <v>0</v>
      </c>
      <c r="K408" s="177" t="s">
        <v>967</v>
      </c>
      <c r="L408" s="92"/>
      <c r="M408" s="181" t="s">
        <v>1</v>
      </c>
      <c r="N408" s="182" t="s">
        <v>44</v>
      </c>
      <c r="O408" s="183">
        <v>0.761</v>
      </c>
      <c r="P408" s="183">
        <f>O408*H408</f>
        <v>14.92321</v>
      </c>
      <c r="Q408" s="183">
        <v>0</v>
      </c>
      <c r="R408" s="183">
        <f>Q408*H408</f>
        <v>0</v>
      </c>
      <c r="S408" s="183">
        <v>0</v>
      </c>
      <c r="T408" s="184">
        <f>S408*H408</f>
        <v>0</v>
      </c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R408" s="185" t="s">
        <v>146</v>
      </c>
      <c r="AT408" s="185" t="s">
        <v>141</v>
      </c>
      <c r="AU408" s="185" t="s">
        <v>87</v>
      </c>
      <c r="AY408" s="83" t="s">
        <v>139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83" t="s">
        <v>85</v>
      </c>
      <c r="BK408" s="186">
        <f>ROUND(I408*H408,2)</f>
        <v>0</v>
      </c>
      <c r="BL408" s="83" t="s">
        <v>146</v>
      </c>
      <c r="BM408" s="185" t="s">
        <v>1201</v>
      </c>
    </row>
    <row r="409" spans="2:63" s="162" customFormat="1" ht="25.9" customHeight="1">
      <c r="B409" s="163"/>
      <c r="D409" s="164" t="s">
        <v>77</v>
      </c>
      <c r="E409" s="165" t="s">
        <v>590</v>
      </c>
      <c r="F409" s="165" t="s">
        <v>591</v>
      </c>
      <c r="I409" s="237"/>
      <c r="J409" s="166">
        <f>J410</f>
        <v>0</v>
      </c>
      <c r="L409" s="163"/>
      <c r="M409" s="167"/>
      <c r="N409" s="168"/>
      <c r="O409" s="168"/>
      <c r="P409" s="169">
        <f>SUM(P410:P414)</f>
        <v>1.00725</v>
      </c>
      <c r="Q409" s="168"/>
      <c r="R409" s="169">
        <f>SUM(R410:R414)</f>
        <v>0</v>
      </c>
      <c r="S409" s="168"/>
      <c r="T409" s="170">
        <f>SUM(T410:T414)</f>
        <v>0</v>
      </c>
      <c r="AR409" s="164" t="s">
        <v>146</v>
      </c>
      <c r="AT409" s="171" t="s">
        <v>77</v>
      </c>
      <c r="AU409" s="171" t="s">
        <v>78</v>
      </c>
      <c r="AY409" s="164" t="s">
        <v>139</v>
      </c>
      <c r="BK409" s="172">
        <f>SUM(BK410:BK414)</f>
        <v>0</v>
      </c>
    </row>
    <row r="410" spans="1:65" s="95" customFormat="1" ht="24.2" customHeight="1">
      <c r="A410" s="93"/>
      <c r="B410" s="92"/>
      <c r="C410" s="175" t="s">
        <v>528</v>
      </c>
      <c r="D410" s="175" t="s">
        <v>141</v>
      </c>
      <c r="E410" s="176" t="s">
        <v>870</v>
      </c>
      <c r="F410" s="177" t="s">
        <v>1202</v>
      </c>
      <c r="G410" s="178" t="s">
        <v>194</v>
      </c>
      <c r="H410" s="179">
        <v>1.975</v>
      </c>
      <c r="I410" s="69"/>
      <c r="J410" s="180">
        <f>ROUND(I410*H410,2)</f>
        <v>0</v>
      </c>
      <c r="K410" s="177" t="s">
        <v>1</v>
      </c>
      <c r="L410" s="92"/>
      <c r="M410" s="181" t="s">
        <v>1</v>
      </c>
      <c r="N410" s="182" t="s">
        <v>44</v>
      </c>
      <c r="O410" s="183">
        <v>0.51</v>
      </c>
      <c r="P410" s="183">
        <f>O410*H410</f>
        <v>1.00725</v>
      </c>
      <c r="Q410" s="183">
        <v>0</v>
      </c>
      <c r="R410" s="183">
        <f>Q410*H410</f>
        <v>0</v>
      </c>
      <c r="S410" s="183">
        <v>0</v>
      </c>
      <c r="T410" s="184">
        <f>S410*H410</f>
        <v>0</v>
      </c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R410" s="185" t="s">
        <v>595</v>
      </c>
      <c r="AT410" s="185" t="s">
        <v>141</v>
      </c>
      <c r="AU410" s="185" t="s">
        <v>85</v>
      </c>
      <c r="AY410" s="83" t="s">
        <v>139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83" t="s">
        <v>85</v>
      </c>
      <c r="BK410" s="186">
        <f>ROUND(I410*H410,2)</f>
        <v>0</v>
      </c>
      <c r="BL410" s="83" t="s">
        <v>595</v>
      </c>
      <c r="BM410" s="185" t="s">
        <v>1203</v>
      </c>
    </row>
    <row r="411" spans="2:51" s="201" customFormat="1" ht="12">
      <c r="B411" s="202"/>
      <c r="D411" s="189" t="s">
        <v>148</v>
      </c>
      <c r="E411" s="203" t="s">
        <v>1</v>
      </c>
      <c r="F411" s="204" t="s">
        <v>1204</v>
      </c>
      <c r="H411" s="203" t="s">
        <v>1</v>
      </c>
      <c r="I411" s="235"/>
      <c r="L411" s="202"/>
      <c r="M411" s="205"/>
      <c r="N411" s="206"/>
      <c r="O411" s="206"/>
      <c r="P411" s="206"/>
      <c r="Q411" s="206"/>
      <c r="R411" s="206"/>
      <c r="S411" s="206"/>
      <c r="T411" s="207"/>
      <c r="AT411" s="203" t="s">
        <v>148</v>
      </c>
      <c r="AU411" s="203" t="s">
        <v>85</v>
      </c>
      <c r="AV411" s="201" t="s">
        <v>85</v>
      </c>
      <c r="AW411" s="201" t="s">
        <v>34</v>
      </c>
      <c r="AX411" s="201" t="s">
        <v>78</v>
      </c>
      <c r="AY411" s="203" t="s">
        <v>139</v>
      </c>
    </row>
    <row r="412" spans="2:51" s="187" customFormat="1" ht="12">
      <c r="B412" s="188"/>
      <c r="D412" s="189" t="s">
        <v>148</v>
      </c>
      <c r="E412" s="190" t="s">
        <v>1</v>
      </c>
      <c r="F412" s="191" t="s">
        <v>1205</v>
      </c>
      <c r="H412" s="192">
        <v>1.873</v>
      </c>
      <c r="I412" s="233"/>
      <c r="L412" s="188"/>
      <c r="M412" s="193"/>
      <c r="N412" s="194"/>
      <c r="O412" s="194"/>
      <c r="P412" s="194"/>
      <c r="Q412" s="194"/>
      <c r="R412" s="194"/>
      <c r="S412" s="194"/>
      <c r="T412" s="195"/>
      <c r="AT412" s="190" t="s">
        <v>148</v>
      </c>
      <c r="AU412" s="190" t="s">
        <v>85</v>
      </c>
      <c r="AV412" s="187" t="s">
        <v>87</v>
      </c>
      <c r="AW412" s="187" t="s">
        <v>34</v>
      </c>
      <c r="AX412" s="187" t="s">
        <v>78</v>
      </c>
      <c r="AY412" s="190" t="s">
        <v>139</v>
      </c>
    </row>
    <row r="413" spans="2:51" s="187" customFormat="1" ht="12">
      <c r="B413" s="188"/>
      <c r="D413" s="189" t="s">
        <v>148</v>
      </c>
      <c r="E413" s="190" t="s">
        <v>1</v>
      </c>
      <c r="F413" s="191" t="s">
        <v>1206</v>
      </c>
      <c r="H413" s="192">
        <v>0.102</v>
      </c>
      <c r="I413" s="233"/>
      <c r="L413" s="188"/>
      <c r="M413" s="193"/>
      <c r="N413" s="194"/>
      <c r="O413" s="194"/>
      <c r="P413" s="194"/>
      <c r="Q413" s="194"/>
      <c r="R413" s="194"/>
      <c r="S413" s="194"/>
      <c r="T413" s="195"/>
      <c r="AT413" s="190" t="s">
        <v>148</v>
      </c>
      <c r="AU413" s="190" t="s">
        <v>85</v>
      </c>
      <c r="AV413" s="187" t="s">
        <v>87</v>
      </c>
      <c r="AW413" s="187" t="s">
        <v>34</v>
      </c>
      <c r="AX413" s="187" t="s">
        <v>78</v>
      </c>
      <c r="AY413" s="190" t="s">
        <v>139</v>
      </c>
    </row>
    <row r="414" spans="2:51" s="208" customFormat="1" ht="12">
      <c r="B414" s="209"/>
      <c r="D414" s="189" t="s">
        <v>148</v>
      </c>
      <c r="E414" s="210" t="s">
        <v>1</v>
      </c>
      <c r="F414" s="211" t="s">
        <v>159</v>
      </c>
      <c r="H414" s="212">
        <v>1.975</v>
      </c>
      <c r="I414" s="236"/>
      <c r="L414" s="209"/>
      <c r="M414" s="250"/>
      <c r="N414" s="251"/>
      <c r="O414" s="251"/>
      <c r="P414" s="251"/>
      <c r="Q414" s="251"/>
      <c r="R414" s="251"/>
      <c r="S414" s="251"/>
      <c r="T414" s="252"/>
      <c r="AT414" s="210" t="s">
        <v>148</v>
      </c>
      <c r="AU414" s="210" t="s">
        <v>85</v>
      </c>
      <c r="AV414" s="208" t="s">
        <v>146</v>
      </c>
      <c r="AW414" s="208" t="s">
        <v>34</v>
      </c>
      <c r="AX414" s="208" t="s">
        <v>85</v>
      </c>
      <c r="AY414" s="210" t="s">
        <v>139</v>
      </c>
    </row>
    <row r="415" spans="1:31" s="95" customFormat="1" ht="6.95" customHeight="1">
      <c r="A415" s="93"/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92"/>
      <c r="M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</row>
  </sheetData>
  <sheetProtection password="CC2C" sheet="1" objects="1" scenarios="1"/>
  <mergeCells count="14">
    <mergeCell ref="E31:H31"/>
    <mergeCell ref="L2:V2"/>
    <mergeCell ref="E7:H7"/>
    <mergeCell ref="E9:H9"/>
    <mergeCell ref="E11:H11"/>
    <mergeCell ref="E13:H13"/>
    <mergeCell ref="E125:H125"/>
    <mergeCell ref="E127:H127"/>
    <mergeCell ref="E85:H85"/>
    <mergeCell ref="E87:H87"/>
    <mergeCell ref="E89:H89"/>
    <mergeCell ref="E91:H91"/>
    <mergeCell ref="E121:H121"/>
    <mergeCell ref="E123:H1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04EE-D85C-4F87-BA5D-11C28446CAD6}">
  <dimension ref="A2:BM293"/>
  <sheetViews>
    <sheetView workbookViewId="0" topLeftCell="A78">
      <selection activeCell="J137" sqref="J137"/>
    </sheetView>
  </sheetViews>
  <sheetFormatPr defaultColWidth="9.140625" defaultRowHeight="12"/>
  <cols>
    <col min="1" max="1" width="8.28125" style="82" customWidth="1"/>
    <col min="2" max="2" width="1.1484375" style="82" customWidth="1"/>
    <col min="3" max="3" width="4.140625" style="82" customWidth="1"/>
    <col min="4" max="4" width="4.28125" style="82" customWidth="1"/>
    <col min="5" max="5" width="17.140625" style="82" customWidth="1"/>
    <col min="6" max="6" width="50.8515625" style="82" customWidth="1"/>
    <col min="7" max="7" width="7.421875" style="82" customWidth="1"/>
    <col min="8" max="8" width="11.421875" style="82" customWidth="1"/>
    <col min="9" max="10" width="20.140625" style="82" customWidth="1"/>
    <col min="11" max="11" width="20.140625" style="82" hidden="1" customWidth="1"/>
    <col min="12" max="12" width="16.421875" style="82" hidden="1" customWidth="1"/>
    <col min="13" max="13" width="10.8515625" style="82" hidden="1" customWidth="1"/>
    <col min="14" max="14" width="9.140625" style="82" hidden="1" customWidth="1"/>
    <col min="15" max="20" width="14.140625" style="82" hidden="1" customWidth="1"/>
    <col min="21" max="21" width="16.28125" style="82" customWidth="1"/>
    <col min="22" max="22" width="12.28125" style="82" customWidth="1"/>
    <col min="23" max="23" width="16.28125" style="82" customWidth="1"/>
    <col min="24" max="24" width="12.28125" style="82" customWidth="1"/>
    <col min="25" max="25" width="15.00390625" style="82" customWidth="1"/>
    <col min="26" max="26" width="11.00390625" style="82" customWidth="1"/>
    <col min="27" max="27" width="15.00390625" style="82" customWidth="1"/>
    <col min="28" max="28" width="16.28125" style="82" customWidth="1"/>
    <col min="29" max="29" width="11.00390625" style="82" customWidth="1"/>
    <col min="30" max="30" width="15.00390625" style="82" customWidth="1"/>
    <col min="31" max="31" width="16.28125" style="82" customWidth="1"/>
    <col min="32" max="16384" width="9.28125" style="82" customWidth="1"/>
  </cols>
  <sheetData>
    <row r="1" ht="12" hidden="1"/>
    <row r="2" spans="12:46" ht="36.95" customHeight="1" hidden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83" t="s">
        <v>1207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90" t="s">
        <v>14</v>
      </c>
      <c r="L6" s="86"/>
    </row>
    <row r="7" spans="2:12" ht="16.5" customHeight="1" hidden="1">
      <c r="B7" s="86"/>
      <c r="E7" s="286" t="s">
        <v>15</v>
      </c>
      <c r="F7" s="289"/>
      <c r="G7" s="289"/>
      <c r="H7" s="289"/>
      <c r="L7" s="86"/>
    </row>
    <row r="8" spans="2:12" ht="12.75" hidden="1">
      <c r="B8" s="86"/>
      <c r="D8" s="90" t="s">
        <v>106</v>
      </c>
      <c r="L8" s="86"/>
    </row>
    <row r="9" spans="2:12" ht="16.5" customHeight="1" hidden="1">
      <c r="B9" s="86"/>
      <c r="E9" s="286" t="s">
        <v>1500</v>
      </c>
      <c r="F9" s="285"/>
      <c r="G9" s="285"/>
      <c r="H9" s="285"/>
      <c r="L9" s="86"/>
    </row>
    <row r="10" spans="2:12" ht="12" customHeight="1" hidden="1">
      <c r="B10" s="86"/>
      <c r="D10" s="90" t="s">
        <v>108</v>
      </c>
      <c r="L10" s="86"/>
    </row>
    <row r="11" spans="1:31" s="95" customFormat="1" ht="16.5" customHeight="1" hidden="1">
      <c r="A11" s="93"/>
      <c r="B11" s="92"/>
      <c r="C11" s="93"/>
      <c r="D11" s="93"/>
      <c r="E11" s="291" t="s">
        <v>1502</v>
      </c>
      <c r="F11" s="287"/>
      <c r="G11" s="287"/>
      <c r="H11" s="287"/>
      <c r="I11" s="93"/>
      <c r="J11" s="93"/>
      <c r="K11" s="93"/>
      <c r="L11" s="9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5" customFormat="1" ht="12" customHeight="1" hidden="1">
      <c r="A12" s="93"/>
      <c r="B12" s="92"/>
      <c r="C12" s="93"/>
      <c r="D12" s="90" t="s">
        <v>965</v>
      </c>
      <c r="E12" s="93"/>
      <c r="F12" s="93"/>
      <c r="G12" s="93"/>
      <c r="H12" s="93"/>
      <c r="I12" s="93"/>
      <c r="J12" s="93"/>
      <c r="K12" s="93"/>
      <c r="L12" s="9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5" customFormat="1" ht="16.5" customHeight="1" hidden="1">
      <c r="A13" s="93"/>
      <c r="B13" s="92"/>
      <c r="C13" s="93"/>
      <c r="D13" s="93"/>
      <c r="E13" s="288" t="s">
        <v>1208</v>
      </c>
      <c r="F13" s="287"/>
      <c r="G13" s="287"/>
      <c r="H13" s="287"/>
      <c r="I13" s="93"/>
      <c r="J13" s="93"/>
      <c r="K13" s="93"/>
      <c r="L13" s="94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5" customFormat="1" ht="12" hidden="1">
      <c r="A14" s="93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5" customFormat="1" ht="12" customHeight="1" hidden="1">
      <c r="A15" s="93"/>
      <c r="B15" s="92"/>
      <c r="C15" s="93"/>
      <c r="D15" s="90" t="s">
        <v>16</v>
      </c>
      <c r="E15" s="93"/>
      <c r="F15" s="96" t="s">
        <v>1</v>
      </c>
      <c r="G15" s="93"/>
      <c r="H15" s="93"/>
      <c r="I15" s="90" t="s">
        <v>17</v>
      </c>
      <c r="J15" s="96" t="s">
        <v>1</v>
      </c>
      <c r="K15" s="93"/>
      <c r="L15" s="9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5" customFormat="1" ht="12" customHeight="1" hidden="1">
      <c r="A16" s="93"/>
      <c r="B16" s="92"/>
      <c r="C16" s="93"/>
      <c r="D16" s="90" t="s">
        <v>18</v>
      </c>
      <c r="E16" s="93"/>
      <c r="F16" s="96" t="s">
        <v>19</v>
      </c>
      <c r="G16" s="93"/>
      <c r="H16" s="93"/>
      <c r="I16" s="90" t="s">
        <v>20</v>
      </c>
      <c r="J16" s="97" t="str">
        <f>'[1]Rekapitulace stavby'!AN8</f>
        <v>25. 5. 2020</v>
      </c>
      <c r="K16" s="93"/>
      <c r="L16" s="9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5" customFormat="1" ht="10.9" customHeight="1" hidden="1">
      <c r="A17" s="93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4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5" customFormat="1" ht="12" customHeight="1" hidden="1">
      <c r="A18" s="93"/>
      <c r="B18" s="92"/>
      <c r="C18" s="93"/>
      <c r="D18" s="90" t="s">
        <v>22</v>
      </c>
      <c r="E18" s="93"/>
      <c r="F18" s="93"/>
      <c r="G18" s="93"/>
      <c r="H18" s="93"/>
      <c r="I18" s="90" t="s">
        <v>23</v>
      </c>
      <c r="J18" s="96" t="s">
        <v>24</v>
      </c>
      <c r="K18" s="93"/>
      <c r="L18" s="94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5" customFormat="1" ht="18" customHeight="1" hidden="1">
      <c r="A19" s="93"/>
      <c r="B19" s="92"/>
      <c r="C19" s="93"/>
      <c r="D19" s="93"/>
      <c r="E19" s="96" t="s">
        <v>25</v>
      </c>
      <c r="F19" s="93"/>
      <c r="G19" s="93"/>
      <c r="H19" s="93"/>
      <c r="I19" s="90" t="s">
        <v>26</v>
      </c>
      <c r="J19" s="96" t="s">
        <v>27</v>
      </c>
      <c r="K19" s="93"/>
      <c r="L19" s="9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5" customFormat="1" ht="6.95" customHeight="1" hidden="1">
      <c r="A20" s="93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4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5" customFormat="1" ht="12" customHeight="1" hidden="1">
      <c r="A21" s="93"/>
      <c r="B21" s="92"/>
      <c r="C21" s="93"/>
      <c r="D21" s="90" t="s">
        <v>28</v>
      </c>
      <c r="E21" s="93"/>
      <c r="F21" s="93"/>
      <c r="G21" s="93"/>
      <c r="H21" s="93"/>
      <c r="I21" s="90" t="s">
        <v>23</v>
      </c>
      <c r="J21" s="96" t="s">
        <v>1</v>
      </c>
      <c r="K21" s="93"/>
      <c r="L21" s="9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5" customFormat="1" ht="18" customHeight="1" hidden="1">
      <c r="A22" s="93"/>
      <c r="B22" s="92"/>
      <c r="C22" s="93"/>
      <c r="D22" s="93"/>
      <c r="E22" s="96" t="s">
        <v>29</v>
      </c>
      <c r="F22" s="93"/>
      <c r="G22" s="93"/>
      <c r="H22" s="93"/>
      <c r="I22" s="90" t="s">
        <v>26</v>
      </c>
      <c r="J22" s="96" t="s">
        <v>1</v>
      </c>
      <c r="K22" s="93"/>
      <c r="L22" s="9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5" customFormat="1" ht="6.95" customHeight="1" hidden="1">
      <c r="A23" s="93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4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5" customFormat="1" ht="12" customHeight="1" hidden="1">
      <c r="A24" s="93"/>
      <c r="B24" s="92"/>
      <c r="C24" s="93"/>
      <c r="D24" s="90" t="s">
        <v>30</v>
      </c>
      <c r="E24" s="93"/>
      <c r="F24" s="93"/>
      <c r="G24" s="93"/>
      <c r="H24" s="93"/>
      <c r="I24" s="90" t="s">
        <v>23</v>
      </c>
      <c r="J24" s="96" t="s">
        <v>31</v>
      </c>
      <c r="K24" s="93"/>
      <c r="L24" s="94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5" customFormat="1" ht="18" customHeight="1" hidden="1">
      <c r="A25" s="93"/>
      <c r="B25" s="92"/>
      <c r="C25" s="93"/>
      <c r="D25" s="93"/>
      <c r="E25" s="96" t="s">
        <v>32</v>
      </c>
      <c r="F25" s="93"/>
      <c r="G25" s="93"/>
      <c r="H25" s="93"/>
      <c r="I25" s="90" t="s">
        <v>26</v>
      </c>
      <c r="J25" s="96" t="s">
        <v>33</v>
      </c>
      <c r="K25" s="93"/>
      <c r="L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5" customFormat="1" ht="6.95" customHeight="1" hidden="1">
      <c r="A26" s="93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4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95" customFormat="1" ht="12" customHeight="1" hidden="1">
      <c r="A27" s="93"/>
      <c r="B27" s="92"/>
      <c r="C27" s="93"/>
      <c r="D27" s="90" t="s">
        <v>35</v>
      </c>
      <c r="E27" s="93"/>
      <c r="F27" s="93"/>
      <c r="G27" s="93"/>
      <c r="H27" s="93"/>
      <c r="I27" s="90" t="s">
        <v>23</v>
      </c>
      <c r="J27" s="96" t="s">
        <v>1</v>
      </c>
      <c r="K27" s="93"/>
      <c r="L27" s="94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95" customFormat="1" ht="18" customHeight="1" hidden="1">
      <c r="A28" s="93"/>
      <c r="B28" s="92"/>
      <c r="C28" s="93"/>
      <c r="D28" s="93"/>
      <c r="E28" s="96" t="s">
        <v>36</v>
      </c>
      <c r="F28" s="93"/>
      <c r="G28" s="93"/>
      <c r="H28" s="93"/>
      <c r="I28" s="90" t="s">
        <v>26</v>
      </c>
      <c r="J28" s="96" t="s">
        <v>1</v>
      </c>
      <c r="K28" s="93"/>
      <c r="L28" s="94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5" customFormat="1" ht="6.95" customHeight="1" hidden="1">
      <c r="A29" s="93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4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5" customFormat="1" ht="12" customHeight="1" hidden="1">
      <c r="A30" s="93"/>
      <c r="B30" s="92"/>
      <c r="C30" s="93"/>
      <c r="D30" s="90" t="s">
        <v>37</v>
      </c>
      <c r="E30" s="93"/>
      <c r="F30" s="93"/>
      <c r="G30" s="93"/>
      <c r="H30" s="93"/>
      <c r="I30" s="93"/>
      <c r="J30" s="93"/>
      <c r="K30" s="93"/>
      <c r="L30" s="94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101" customFormat="1" ht="83.25" customHeight="1" hidden="1">
      <c r="A31" s="98"/>
      <c r="B31" s="99"/>
      <c r="C31" s="98"/>
      <c r="D31" s="98"/>
      <c r="E31" s="290" t="s">
        <v>38</v>
      </c>
      <c r="F31" s="290"/>
      <c r="G31" s="290"/>
      <c r="H31" s="290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95" customFormat="1" ht="6.95" customHeight="1" hidden="1">
      <c r="A32" s="93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5" customFormat="1" ht="6.95" customHeight="1" hidden="1">
      <c r="A33" s="93"/>
      <c r="B33" s="92"/>
      <c r="C33" s="93"/>
      <c r="D33" s="102"/>
      <c r="E33" s="102"/>
      <c r="F33" s="102"/>
      <c r="G33" s="102"/>
      <c r="H33" s="102"/>
      <c r="I33" s="102"/>
      <c r="J33" s="102"/>
      <c r="K33" s="102"/>
      <c r="L33" s="9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5" customFormat="1" ht="25.35" customHeight="1" hidden="1">
      <c r="A34" s="93"/>
      <c r="B34" s="92"/>
      <c r="C34" s="93"/>
      <c r="D34" s="103" t="s">
        <v>39</v>
      </c>
      <c r="E34" s="93"/>
      <c r="F34" s="93"/>
      <c r="G34" s="93"/>
      <c r="H34" s="93"/>
      <c r="I34" s="93"/>
      <c r="J34" s="104">
        <f>ROUND(J134,2)</f>
        <v>0</v>
      </c>
      <c r="K34" s="93"/>
      <c r="L34" s="9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5" customFormat="1" ht="6.95" customHeight="1" hidden="1">
      <c r="A35" s="93"/>
      <c r="B35" s="92"/>
      <c r="C35" s="93"/>
      <c r="D35" s="102"/>
      <c r="E35" s="102"/>
      <c r="F35" s="102"/>
      <c r="G35" s="102"/>
      <c r="H35" s="102"/>
      <c r="I35" s="102"/>
      <c r="J35" s="102"/>
      <c r="K35" s="102"/>
      <c r="L35" s="9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5" customFormat="1" ht="14.45" customHeight="1" hidden="1">
      <c r="A36" s="93"/>
      <c r="B36" s="92"/>
      <c r="C36" s="93"/>
      <c r="D36" s="93"/>
      <c r="E36" s="93"/>
      <c r="F36" s="105" t="s">
        <v>41</v>
      </c>
      <c r="G36" s="93"/>
      <c r="H36" s="93"/>
      <c r="I36" s="105" t="s">
        <v>40</v>
      </c>
      <c r="J36" s="105" t="s">
        <v>42</v>
      </c>
      <c r="K36" s="93"/>
      <c r="L36" s="9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5" customFormat="1" ht="14.45" customHeight="1" hidden="1">
      <c r="A37" s="93"/>
      <c r="B37" s="92"/>
      <c r="C37" s="93"/>
      <c r="D37" s="249" t="s">
        <v>43</v>
      </c>
      <c r="E37" s="90" t="s">
        <v>44</v>
      </c>
      <c r="F37" s="107">
        <f>ROUND((SUM(BE134:BE292)),2)</f>
        <v>0</v>
      </c>
      <c r="G37" s="93"/>
      <c r="H37" s="93"/>
      <c r="I37" s="108">
        <v>0.21</v>
      </c>
      <c r="J37" s="107">
        <f>ROUND(((SUM(BE134:BE292))*I37),2)</f>
        <v>0</v>
      </c>
      <c r="K37" s="93"/>
      <c r="L37" s="9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5" customFormat="1" ht="14.45" customHeight="1" hidden="1">
      <c r="A38" s="93"/>
      <c r="B38" s="92"/>
      <c r="C38" s="93"/>
      <c r="D38" s="93"/>
      <c r="E38" s="90" t="s">
        <v>45</v>
      </c>
      <c r="F38" s="107">
        <f>ROUND((SUM(BF134:BF292)),2)</f>
        <v>0</v>
      </c>
      <c r="G38" s="93"/>
      <c r="H38" s="93"/>
      <c r="I38" s="108">
        <v>0.15</v>
      </c>
      <c r="J38" s="107">
        <f>ROUND(((SUM(BF134:BF292))*I38),2)</f>
        <v>0</v>
      </c>
      <c r="K38" s="93"/>
      <c r="L38" s="9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5" customFormat="1" ht="14.45" customHeight="1" hidden="1">
      <c r="A39" s="93"/>
      <c r="B39" s="92"/>
      <c r="C39" s="93"/>
      <c r="D39" s="93"/>
      <c r="E39" s="90" t="s">
        <v>46</v>
      </c>
      <c r="F39" s="107">
        <f>ROUND((SUM(BG134:BG292)),2)</f>
        <v>0</v>
      </c>
      <c r="G39" s="93"/>
      <c r="H39" s="93"/>
      <c r="I39" s="108">
        <v>0.21</v>
      </c>
      <c r="J39" s="107">
        <f>0</f>
        <v>0</v>
      </c>
      <c r="K39" s="93"/>
      <c r="L39" s="9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5" customFormat="1" ht="14.45" customHeight="1" hidden="1">
      <c r="A40" s="93"/>
      <c r="B40" s="92"/>
      <c r="C40" s="93"/>
      <c r="D40" s="93"/>
      <c r="E40" s="90" t="s">
        <v>47</v>
      </c>
      <c r="F40" s="107">
        <f>ROUND((SUM(BH134:BH292)),2)</f>
        <v>0</v>
      </c>
      <c r="G40" s="93"/>
      <c r="H40" s="93"/>
      <c r="I40" s="108">
        <v>0.15</v>
      </c>
      <c r="J40" s="107">
        <f>0</f>
        <v>0</v>
      </c>
      <c r="K40" s="93"/>
      <c r="L40" s="9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s="95" customFormat="1" ht="14.45" customHeight="1" hidden="1">
      <c r="A41" s="93"/>
      <c r="B41" s="92"/>
      <c r="C41" s="93"/>
      <c r="D41" s="93"/>
      <c r="E41" s="90" t="s">
        <v>48</v>
      </c>
      <c r="F41" s="107">
        <f>ROUND((SUM(BI134:BI292)),2)</f>
        <v>0</v>
      </c>
      <c r="G41" s="93"/>
      <c r="H41" s="93"/>
      <c r="I41" s="108">
        <v>0</v>
      </c>
      <c r="J41" s="107">
        <f>0</f>
        <v>0</v>
      </c>
      <c r="K41" s="93"/>
      <c r="L41" s="9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s="95" customFormat="1" ht="6.95" customHeight="1" hidden="1">
      <c r="A42" s="93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s="95" customFormat="1" ht="25.35" customHeight="1" hidden="1">
      <c r="A43" s="93"/>
      <c r="B43" s="92"/>
      <c r="C43" s="109"/>
      <c r="D43" s="110" t="s">
        <v>49</v>
      </c>
      <c r="E43" s="111"/>
      <c r="F43" s="111"/>
      <c r="G43" s="112" t="s">
        <v>50</v>
      </c>
      <c r="H43" s="113" t="s">
        <v>51</v>
      </c>
      <c r="I43" s="111"/>
      <c r="J43" s="114">
        <f>SUM(J34:J41)</f>
        <v>0</v>
      </c>
      <c r="K43" s="115"/>
      <c r="L43" s="9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s="95" customFormat="1" ht="14.45" customHeight="1" hidden="1">
      <c r="A44" s="93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3"/>
      <c r="B61" s="92"/>
      <c r="C61" s="93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3"/>
      <c r="B65" s="92"/>
      <c r="C65" s="93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3"/>
      <c r="B76" s="92"/>
      <c r="C76" s="93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5" customFormat="1" ht="14.45" customHeight="1" hidden="1">
      <c r="A77" s="93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5" customFormat="1" ht="6.95" customHeight="1">
      <c r="A81" s="93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5" customFormat="1" ht="24.95" customHeight="1">
      <c r="A82" s="93"/>
      <c r="B82" s="92"/>
      <c r="C82" s="87" t="s">
        <v>110</v>
      </c>
      <c r="D82" s="93"/>
      <c r="E82" s="93"/>
      <c r="F82" s="93"/>
      <c r="G82" s="93"/>
      <c r="H82" s="93"/>
      <c r="I82" s="93"/>
      <c r="J82" s="93"/>
      <c r="K82" s="93"/>
      <c r="L82" s="94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5" customFormat="1" ht="6.95" customHeight="1">
      <c r="A83" s="93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4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5" customFormat="1" ht="12" customHeight="1">
      <c r="A84" s="93"/>
      <c r="B84" s="92"/>
      <c r="C84" s="90" t="s">
        <v>14</v>
      </c>
      <c r="D84" s="93"/>
      <c r="E84" s="93"/>
      <c r="F84" s="93"/>
      <c r="G84" s="93"/>
      <c r="H84" s="93"/>
      <c r="I84" s="93"/>
      <c r="J84" s="93"/>
      <c r="K84" s="93"/>
      <c r="L84" s="94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5" customFormat="1" ht="16.5" customHeight="1">
      <c r="A85" s="93"/>
      <c r="B85" s="92"/>
      <c r="C85" s="93"/>
      <c r="D85" s="93"/>
      <c r="E85" s="286" t="str">
        <f>E7</f>
        <v>Kosmonosy, obnova vodovodu a kanalizace - 3. etapa</v>
      </c>
      <c r="F85" s="289"/>
      <c r="G85" s="289"/>
      <c r="H85" s="289"/>
      <c r="I85" s="93"/>
      <c r="J85" s="93"/>
      <c r="K85" s="93"/>
      <c r="L85" s="94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2:12" ht="12" customHeight="1">
      <c r="B86" s="86"/>
      <c r="C86" s="90" t="s">
        <v>106</v>
      </c>
      <c r="L86" s="86"/>
    </row>
    <row r="87" spans="2:12" ht="16.5" customHeight="1">
      <c r="B87" s="86"/>
      <c r="E87" s="286" t="s">
        <v>1500</v>
      </c>
      <c r="F87" s="285"/>
      <c r="G87" s="285"/>
      <c r="H87" s="285"/>
      <c r="L87" s="86"/>
    </row>
    <row r="88" spans="2:12" ht="12" customHeight="1">
      <c r="B88" s="86"/>
      <c r="C88" s="90" t="s">
        <v>108</v>
      </c>
      <c r="L88" s="86"/>
    </row>
    <row r="89" spans="1:31" s="95" customFormat="1" ht="16.5" customHeight="1">
      <c r="A89" s="93"/>
      <c r="B89" s="92"/>
      <c r="C89" s="93"/>
      <c r="D89" s="93"/>
      <c r="E89" s="291" t="s">
        <v>1502</v>
      </c>
      <c r="F89" s="287"/>
      <c r="G89" s="287"/>
      <c r="H89" s="287"/>
      <c r="I89" s="93"/>
      <c r="J89" s="93"/>
      <c r="K89" s="93"/>
      <c r="L89" s="94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5" customFormat="1" ht="12" customHeight="1">
      <c r="A90" s="93"/>
      <c r="B90" s="92"/>
      <c r="C90" s="90" t="s">
        <v>965</v>
      </c>
      <c r="D90" s="93"/>
      <c r="E90" s="93"/>
      <c r="F90" s="93"/>
      <c r="G90" s="93"/>
      <c r="H90" s="93"/>
      <c r="I90" s="93"/>
      <c r="J90" s="93"/>
      <c r="K90" s="93"/>
      <c r="L90" s="94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5" customFormat="1" ht="16.5" customHeight="1">
      <c r="A91" s="93"/>
      <c r="B91" s="92"/>
      <c r="C91" s="93"/>
      <c r="D91" s="93"/>
      <c r="E91" s="288" t="str">
        <f>E13</f>
        <v>02 - Stoka H1</v>
      </c>
      <c r="F91" s="287"/>
      <c r="G91" s="287"/>
      <c r="H91" s="287"/>
      <c r="I91" s="93"/>
      <c r="J91" s="93"/>
      <c r="K91" s="93"/>
      <c r="L91" s="94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5" customFormat="1" ht="6.95" customHeight="1">
      <c r="A92" s="93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4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5" customFormat="1" ht="12" customHeight="1">
      <c r="A93" s="93"/>
      <c r="B93" s="92"/>
      <c r="C93" s="90" t="s">
        <v>18</v>
      </c>
      <c r="D93" s="93"/>
      <c r="E93" s="93"/>
      <c r="F93" s="96" t="str">
        <f>F16</f>
        <v>Kosmonosy</v>
      </c>
      <c r="G93" s="93"/>
      <c r="H93" s="93"/>
      <c r="I93" s="90" t="s">
        <v>20</v>
      </c>
      <c r="J93" s="97" t="str">
        <f>IF(J16="","",J16)</f>
        <v>25. 5. 2020</v>
      </c>
      <c r="K93" s="93"/>
      <c r="L93" s="94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95" customFormat="1" ht="6.95" customHeight="1">
      <c r="A94" s="93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4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s="95" customFormat="1" ht="15.2" customHeight="1">
      <c r="A95" s="93"/>
      <c r="B95" s="92"/>
      <c r="C95" s="90" t="s">
        <v>22</v>
      </c>
      <c r="D95" s="93"/>
      <c r="E95" s="93"/>
      <c r="F95" s="96" t="str">
        <f>E19</f>
        <v>Vodovody a kanalizace Mladá Boleslav, a.s.</v>
      </c>
      <c r="G95" s="93"/>
      <c r="H95" s="93"/>
      <c r="I95" s="90" t="s">
        <v>30</v>
      </c>
      <c r="J95" s="127" t="str">
        <f>E25</f>
        <v>ŠINDLAR s.r.o.</v>
      </c>
      <c r="K95" s="93"/>
      <c r="L95" s="94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s="95" customFormat="1" ht="15.2" customHeight="1">
      <c r="A96" s="93"/>
      <c r="B96" s="92"/>
      <c r="C96" s="90" t="s">
        <v>28</v>
      </c>
      <c r="D96" s="93"/>
      <c r="E96" s="93"/>
      <c r="F96" s="96" t="str">
        <f>IF(E22="","",E22)</f>
        <v>Dle výběrového řízení</v>
      </c>
      <c r="G96" s="93"/>
      <c r="H96" s="93"/>
      <c r="I96" s="90" t="s">
        <v>35</v>
      </c>
      <c r="J96" s="127" t="str">
        <f>E28</f>
        <v>Roman Bárta</v>
      </c>
      <c r="K96" s="93"/>
      <c r="L96" s="94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s="95" customFormat="1" ht="10.35" customHeight="1">
      <c r="A97" s="93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4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s="133" customFormat="1" ht="29.25" customHeight="1">
      <c r="A98" s="128"/>
      <c r="B98" s="129"/>
      <c r="C98" s="130" t="s">
        <v>111</v>
      </c>
      <c r="D98" s="128"/>
      <c r="E98" s="128"/>
      <c r="F98" s="128"/>
      <c r="G98" s="128"/>
      <c r="H98" s="128"/>
      <c r="I98" s="128"/>
      <c r="J98" s="131" t="s">
        <v>112</v>
      </c>
      <c r="K98" s="128"/>
      <c r="L98" s="132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</row>
    <row r="99" spans="1:31" s="95" customFormat="1" ht="10.35" customHeight="1">
      <c r="A99" s="93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4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47" s="95" customFormat="1" ht="22.9" customHeight="1">
      <c r="A100" s="93"/>
      <c r="B100" s="92"/>
      <c r="C100" s="134" t="s">
        <v>113</v>
      </c>
      <c r="D100" s="93"/>
      <c r="E100" s="93"/>
      <c r="F100" s="93"/>
      <c r="G100" s="93"/>
      <c r="H100" s="93"/>
      <c r="I100" s="93"/>
      <c r="J100" s="104">
        <f>J101+J110</f>
        <v>0</v>
      </c>
      <c r="K100" s="93"/>
      <c r="L100" s="94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U100" s="83" t="s">
        <v>114</v>
      </c>
    </row>
    <row r="101" spans="2:12" s="135" customFormat="1" ht="24.95" customHeight="1">
      <c r="B101" s="136"/>
      <c r="D101" s="137" t="s">
        <v>115</v>
      </c>
      <c r="E101" s="138"/>
      <c r="F101" s="138"/>
      <c r="G101" s="138"/>
      <c r="H101" s="138"/>
      <c r="I101" s="138"/>
      <c r="J101" s="139">
        <f>SUM(J102:J109)</f>
        <v>0</v>
      </c>
      <c r="L101" s="136"/>
    </row>
    <row r="102" spans="2:12" s="140" customFormat="1" ht="19.9" customHeight="1">
      <c r="B102" s="141"/>
      <c r="D102" s="142" t="s">
        <v>116</v>
      </c>
      <c r="E102" s="143"/>
      <c r="F102" s="143"/>
      <c r="G102" s="143"/>
      <c r="H102" s="143"/>
      <c r="I102" s="143"/>
      <c r="J102" s="144">
        <f>J136</f>
        <v>0</v>
      </c>
      <c r="L102" s="141"/>
    </row>
    <row r="103" spans="2:12" s="140" customFormat="1" ht="19.9" customHeight="1">
      <c r="B103" s="141"/>
      <c r="D103" s="142" t="s">
        <v>966</v>
      </c>
      <c r="E103" s="143"/>
      <c r="F103" s="143"/>
      <c r="G103" s="143"/>
      <c r="H103" s="143"/>
      <c r="I103" s="143"/>
      <c r="J103" s="144">
        <f>J212</f>
        <v>0</v>
      </c>
      <c r="L103" s="141"/>
    </row>
    <row r="104" spans="2:12" s="140" customFormat="1" ht="19.9" customHeight="1">
      <c r="B104" s="141"/>
      <c r="D104" s="142" t="s">
        <v>117</v>
      </c>
      <c r="E104" s="143"/>
      <c r="F104" s="143"/>
      <c r="G104" s="143"/>
      <c r="H104" s="143"/>
      <c r="I104" s="143"/>
      <c r="J104" s="144">
        <f>J215</f>
        <v>0</v>
      </c>
      <c r="L104" s="141"/>
    </row>
    <row r="105" spans="2:12" s="140" customFormat="1" ht="19.9" customHeight="1">
      <c r="B105" s="141"/>
      <c r="D105" s="142" t="s">
        <v>118</v>
      </c>
      <c r="E105" s="143"/>
      <c r="F105" s="143"/>
      <c r="G105" s="143"/>
      <c r="H105" s="143"/>
      <c r="I105" s="143"/>
      <c r="J105" s="144">
        <f>J227</f>
        <v>0</v>
      </c>
      <c r="L105" s="141"/>
    </row>
    <row r="106" spans="2:12" s="140" customFormat="1" ht="19.9" customHeight="1">
      <c r="B106" s="141"/>
      <c r="D106" s="142" t="s">
        <v>119</v>
      </c>
      <c r="E106" s="143"/>
      <c r="F106" s="143"/>
      <c r="G106" s="143"/>
      <c r="H106" s="143"/>
      <c r="I106" s="143"/>
      <c r="J106" s="144">
        <f>J255</f>
        <v>0</v>
      </c>
      <c r="L106" s="141"/>
    </row>
    <row r="107" spans="2:12" s="140" customFormat="1" ht="19.9" customHeight="1">
      <c r="B107" s="141"/>
      <c r="D107" s="142" t="s">
        <v>120</v>
      </c>
      <c r="E107" s="143"/>
      <c r="F107" s="143"/>
      <c r="G107" s="143"/>
      <c r="H107" s="143"/>
      <c r="I107" s="143"/>
      <c r="J107" s="144">
        <f>J270</f>
        <v>0</v>
      </c>
      <c r="L107" s="141"/>
    </row>
    <row r="108" spans="2:12" s="140" customFormat="1" ht="19.9" customHeight="1">
      <c r="B108" s="141"/>
      <c r="D108" s="142" t="s">
        <v>121</v>
      </c>
      <c r="E108" s="143"/>
      <c r="F108" s="143"/>
      <c r="G108" s="143"/>
      <c r="H108" s="143"/>
      <c r="I108" s="143"/>
      <c r="J108" s="144">
        <f>J280</f>
        <v>0</v>
      </c>
      <c r="L108" s="141"/>
    </row>
    <row r="109" spans="2:12" s="140" customFormat="1" ht="19.9" customHeight="1">
      <c r="B109" s="141"/>
      <c r="D109" s="142" t="s">
        <v>122</v>
      </c>
      <c r="E109" s="143"/>
      <c r="F109" s="143"/>
      <c r="G109" s="143"/>
      <c r="H109" s="143"/>
      <c r="I109" s="143"/>
      <c r="J109" s="144">
        <f>J287</f>
        <v>0</v>
      </c>
      <c r="L109" s="141"/>
    </row>
    <row r="110" spans="2:12" s="135" customFormat="1" ht="24.95" customHeight="1">
      <c r="B110" s="136"/>
      <c r="D110" s="137" t="s">
        <v>123</v>
      </c>
      <c r="E110" s="138"/>
      <c r="F110" s="138"/>
      <c r="G110" s="138"/>
      <c r="H110" s="138"/>
      <c r="I110" s="138"/>
      <c r="J110" s="139">
        <f>J289</f>
        <v>0</v>
      </c>
      <c r="L110" s="136"/>
    </row>
    <row r="111" spans="1:31" s="95" customFormat="1" ht="21.75" customHeight="1">
      <c r="A111" s="93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4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s="95" customFormat="1" ht="6.95" customHeight="1">
      <c r="A112" s="93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94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6" spans="1:31" s="95" customFormat="1" ht="6.95" customHeight="1">
      <c r="A116" s="93"/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94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s="95" customFormat="1" ht="24.95" customHeight="1">
      <c r="A117" s="93"/>
      <c r="B117" s="92"/>
      <c r="C117" s="87" t="s">
        <v>124</v>
      </c>
      <c r="D117" s="93"/>
      <c r="E117" s="93"/>
      <c r="F117" s="93"/>
      <c r="G117" s="93"/>
      <c r="H117" s="93"/>
      <c r="I117" s="93"/>
      <c r="J117" s="93"/>
      <c r="K117" s="93"/>
      <c r="L117" s="94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s="95" customFormat="1" ht="6.95" customHeight="1">
      <c r="A118" s="93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4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s="95" customFormat="1" ht="12" customHeight="1">
      <c r="A119" s="93"/>
      <c r="B119" s="92"/>
      <c r="C119" s="90" t="s">
        <v>14</v>
      </c>
      <c r="D119" s="93"/>
      <c r="E119" s="93"/>
      <c r="F119" s="93"/>
      <c r="G119" s="93"/>
      <c r="H119" s="93"/>
      <c r="I119" s="93"/>
      <c r="J119" s="93"/>
      <c r="K119" s="93"/>
      <c r="L119" s="94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5" customFormat="1" ht="16.5" customHeight="1">
      <c r="A120" s="93"/>
      <c r="B120" s="92"/>
      <c r="C120" s="93"/>
      <c r="D120" s="93"/>
      <c r="E120" s="286" t="str">
        <f>E7</f>
        <v>Kosmonosy, obnova vodovodu a kanalizace - 3. etapa</v>
      </c>
      <c r="F120" s="289"/>
      <c r="G120" s="289"/>
      <c r="H120" s="289"/>
      <c r="I120" s="93"/>
      <c r="J120" s="93"/>
      <c r="K120" s="93"/>
      <c r="L120" s="94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2:12" ht="12" customHeight="1">
      <c r="B121" s="86"/>
      <c r="C121" s="90" t="s">
        <v>106</v>
      </c>
      <c r="L121" s="86"/>
    </row>
    <row r="122" spans="2:12" ht="16.5" customHeight="1">
      <c r="B122" s="86"/>
      <c r="E122" s="286" t="s">
        <v>1500</v>
      </c>
      <c r="F122" s="285"/>
      <c r="G122" s="285"/>
      <c r="H122" s="285"/>
      <c r="L122" s="86"/>
    </row>
    <row r="123" spans="2:12" ht="12" customHeight="1">
      <c r="B123" s="86"/>
      <c r="C123" s="90" t="s">
        <v>108</v>
      </c>
      <c r="L123" s="86"/>
    </row>
    <row r="124" spans="1:31" s="95" customFormat="1" ht="16.5" customHeight="1">
      <c r="A124" s="93"/>
      <c r="B124" s="92"/>
      <c r="C124" s="93"/>
      <c r="D124" s="93"/>
      <c r="E124" s="291" t="s">
        <v>1502</v>
      </c>
      <c r="F124" s="287"/>
      <c r="G124" s="287"/>
      <c r="H124" s="287"/>
      <c r="I124" s="93"/>
      <c r="J124" s="93"/>
      <c r="K124" s="93"/>
      <c r="L124" s="9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s="95" customFormat="1" ht="12" customHeight="1">
      <c r="A125" s="93"/>
      <c r="B125" s="92"/>
      <c r="C125" s="90" t="s">
        <v>965</v>
      </c>
      <c r="D125" s="93"/>
      <c r="E125" s="93"/>
      <c r="F125" s="93"/>
      <c r="G125" s="93"/>
      <c r="H125" s="93"/>
      <c r="I125" s="93"/>
      <c r="J125" s="93"/>
      <c r="K125" s="93"/>
      <c r="L125" s="94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95" customFormat="1" ht="16.5" customHeight="1">
      <c r="A126" s="93"/>
      <c r="B126" s="92"/>
      <c r="C126" s="93"/>
      <c r="D126" s="93"/>
      <c r="E126" s="288" t="str">
        <f>E13</f>
        <v>02 - Stoka H1</v>
      </c>
      <c r="F126" s="287"/>
      <c r="G126" s="287"/>
      <c r="H126" s="287"/>
      <c r="I126" s="93"/>
      <c r="J126" s="93"/>
      <c r="K126" s="93"/>
      <c r="L126" s="94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s="95" customFormat="1" ht="6.95" customHeight="1">
      <c r="A127" s="93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4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s="95" customFormat="1" ht="12" customHeight="1">
      <c r="A128" s="93"/>
      <c r="B128" s="92"/>
      <c r="C128" s="90" t="s">
        <v>18</v>
      </c>
      <c r="D128" s="93"/>
      <c r="E128" s="93"/>
      <c r="F128" s="96" t="str">
        <f>F16</f>
        <v>Kosmonosy</v>
      </c>
      <c r="G128" s="93"/>
      <c r="H128" s="93"/>
      <c r="I128" s="90" t="s">
        <v>20</v>
      </c>
      <c r="J128" s="97" t="str">
        <f>IF(J16="","",J16)</f>
        <v>25. 5. 2020</v>
      </c>
      <c r="K128" s="93"/>
      <c r="L128" s="94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s="95" customFormat="1" ht="6.95" customHeight="1">
      <c r="A129" s="93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4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s="95" customFormat="1" ht="15.2" customHeight="1">
      <c r="A130" s="93"/>
      <c r="B130" s="92"/>
      <c r="C130" s="90" t="s">
        <v>22</v>
      </c>
      <c r="D130" s="93"/>
      <c r="E130" s="93"/>
      <c r="F130" s="96" t="str">
        <f>E19</f>
        <v>Vodovody a kanalizace Mladá Boleslav, a.s.</v>
      </c>
      <c r="G130" s="93"/>
      <c r="H130" s="93"/>
      <c r="I130" s="90" t="s">
        <v>30</v>
      </c>
      <c r="J130" s="127" t="str">
        <f>E25</f>
        <v>ŠINDLAR s.r.o.</v>
      </c>
      <c r="K130" s="93"/>
      <c r="L130" s="94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s="95" customFormat="1" ht="15.2" customHeight="1">
      <c r="A131" s="93"/>
      <c r="B131" s="92"/>
      <c r="C131" s="90" t="s">
        <v>28</v>
      </c>
      <c r="D131" s="93"/>
      <c r="E131" s="93"/>
      <c r="F131" s="96" t="str">
        <f>IF(E22="","",E22)</f>
        <v>Dle výběrového řízení</v>
      </c>
      <c r="G131" s="93"/>
      <c r="H131" s="93"/>
      <c r="I131" s="90" t="s">
        <v>35</v>
      </c>
      <c r="J131" s="127" t="str">
        <f>E28</f>
        <v>Roman Bárta</v>
      </c>
      <c r="K131" s="93"/>
      <c r="L131" s="94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s="95" customFormat="1" ht="10.35" customHeight="1">
      <c r="A132" s="93"/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4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s="154" customFormat="1" ht="29.25" customHeight="1">
      <c r="A133" s="145"/>
      <c r="B133" s="146"/>
      <c r="C133" s="147" t="s">
        <v>125</v>
      </c>
      <c r="D133" s="148" t="s">
        <v>64</v>
      </c>
      <c r="E133" s="148" t="s">
        <v>60</v>
      </c>
      <c r="F133" s="148" t="s">
        <v>61</v>
      </c>
      <c r="G133" s="148" t="s">
        <v>126</v>
      </c>
      <c r="H133" s="148" t="s">
        <v>127</v>
      </c>
      <c r="I133" s="148" t="s">
        <v>128</v>
      </c>
      <c r="J133" s="148" t="s">
        <v>112</v>
      </c>
      <c r="K133" s="149" t="s">
        <v>129</v>
      </c>
      <c r="L133" s="150"/>
      <c r="M133" s="151" t="s">
        <v>1</v>
      </c>
      <c r="N133" s="152" t="s">
        <v>43</v>
      </c>
      <c r="O133" s="152" t="s">
        <v>130</v>
      </c>
      <c r="P133" s="152" t="s">
        <v>131</v>
      </c>
      <c r="Q133" s="152" t="s">
        <v>132</v>
      </c>
      <c r="R133" s="152" t="s">
        <v>133</v>
      </c>
      <c r="S133" s="152" t="s">
        <v>134</v>
      </c>
      <c r="T133" s="153" t="s">
        <v>135</v>
      </c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63" s="95" customFormat="1" ht="22.9" customHeight="1">
      <c r="A134" s="93"/>
      <c r="B134" s="92"/>
      <c r="C134" s="155" t="s">
        <v>136</v>
      </c>
      <c r="D134" s="93"/>
      <c r="E134" s="93"/>
      <c r="F134" s="93"/>
      <c r="G134" s="93"/>
      <c r="H134" s="93"/>
      <c r="I134" s="93"/>
      <c r="J134" s="156"/>
      <c r="K134" s="93"/>
      <c r="L134" s="92"/>
      <c r="M134" s="157"/>
      <c r="N134" s="158"/>
      <c r="O134" s="102"/>
      <c r="P134" s="159">
        <f>P135+P289</f>
        <v>46.05458816460241</v>
      </c>
      <c r="Q134" s="102"/>
      <c r="R134" s="159">
        <f>R135+R289</f>
        <v>0.86353481</v>
      </c>
      <c r="S134" s="102"/>
      <c r="T134" s="160">
        <f>T135+T289</f>
        <v>5.7480400000000005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T134" s="83" t="s">
        <v>77</v>
      </c>
      <c r="AU134" s="83" t="s">
        <v>114</v>
      </c>
      <c r="BK134" s="161">
        <f>BK135+BK289</f>
        <v>0</v>
      </c>
    </row>
    <row r="135" spans="2:63" s="162" customFormat="1" ht="25.9" customHeight="1">
      <c r="B135" s="163"/>
      <c r="D135" s="164" t="s">
        <v>77</v>
      </c>
      <c r="E135" s="165" t="s">
        <v>137</v>
      </c>
      <c r="F135" s="165" t="s">
        <v>138</v>
      </c>
      <c r="J135" s="166"/>
      <c r="L135" s="163"/>
      <c r="M135" s="167"/>
      <c r="N135" s="168"/>
      <c r="O135" s="168"/>
      <c r="P135" s="169">
        <f>P136+P212+P215+P227+P255+P270+P280+P287</f>
        <v>45.84701816460241</v>
      </c>
      <c r="Q135" s="168"/>
      <c r="R135" s="169">
        <f>R136+R212+R215+R227+R255+R270+R280+R287</f>
        <v>0.86353481</v>
      </c>
      <c r="S135" s="168"/>
      <c r="T135" s="170">
        <f>T136+T212+T215+T227+T255+T270+T280+T287</f>
        <v>5.7480400000000005</v>
      </c>
      <c r="AR135" s="164" t="s">
        <v>85</v>
      </c>
      <c r="AT135" s="171" t="s">
        <v>77</v>
      </c>
      <c r="AU135" s="171" t="s">
        <v>78</v>
      </c>
      <c r="AY135" s="164" t="s">
        <v>139</v>
      </c>
      <c r="BK135" s="172">
        <f>BK136+BK212+BK215+BK227+BK255+BK270+BK280+BK287</f>
        <v>0</v>
      </c>
    </row>
    <row r="136" spans="2:63" s="162" customFormat="1" ht="22.9" customHeight="1">
      <c r="B136" s="163"/>
      <c r="D136" s="164" t="s">
        <v>77</v>
      </c>
      <c r="E136" s="173" t="s">
        <v>85</v>
      </c>
      <c r="F136" s="173" t="s">
        <v>140</v>
      </c>
      <c r="J136" s="174">
        <f>SUM(J137:J209)</f>
        <v>0</v>
      </c>
      <c r="L136" s="163"/>
      <c r="M136" s="167"/>
      <c r="N136" s="168"/>
      <c r="O136" s="168"/>
      <c r="P136" s="169">
        <f>SUM(P137:P211)</f>
        <v>31.7955851646024</v>
      </c>
      <c r="Q136" s="168"/>
      <c r="R136" s="169">
        <f>SUM(R137:R211)</f>
        <v>0.1312743</v>
      </c>
      <c r="S136" s="168"/>
      <c r="T136" s="170">
        <f>SUM(T137:T211)</f>
        <v>3.98244</v>
      </c>
      <c r="AR136" s="164" t="s">
        <v>85</v>
      </c>
      <c r="AT136" s="171" t="s">
        <v>77</v>
      </c>
      <c r="AU136" s="171" t="s">
        <v>85</v>
      </c>
      <c r="AY136" s="164" t="s">
        <v>139</v>
      </c>
      <c r="BK136" s="172">
        <f>SUM(BK137:BK211)</f>
        <v>0</v>
      </c>
    </row>
    <row r="137" spans="1:65" s="95" customFormat="1" ht="76.35" customHeight="1">
      <c r="A137" s="93"/>
      <c r="B137" s="92"/>
      <c r="C137" s="175" t="s">
        <v>85</v>
      </c>
      <c r="D137" s="175" t="s">
        <v>141</v>
      </c>
      <c r="E137" s="176" t="s">
        <v>142</v>
      </c>
      <c r="F137" s="177" t="s">
        <v>143</v>
      </c>
      <c r="G137" s="178" t="s">
        <v>144</v>
      </c>
      <c r="H137" s="179">
        <v>2.64</v>
      </c>
      <c r="I137" s="69"/>
      <c r="J137" s="180">
        <f>ROUND(I137*H137,2)</f>
        <v>0</v>
      </c>
      <c r="K137" s="177" t="s">
        <v>967</v>
      </c>
      <c r="L137" s="92"/>
      <c r="M137" s="181" t="s">
        <v>1</v>
      </c>
      <c r="N137" s="182" t="s">
        <v>44</v>
      </c>
      <c r="O137" s="183">
        <v>0.208</v>
      </c>
      <c r="P137" s="183">
        <f>O137*H137</f>
        <v>0.54912</v>
      </c>
      <c r="Q137" s="183">
        <v>0</v>
      </c>
      <c r="R137" s="183">
        <f>Q137*H137</f>
        <v>0</v>
      </c>
      <c r="S137" s="183">
        <v>0.255</v>
      </c>
      <c r="T137" s="184">
        <f>S137*H137</f>
        <v>0.6732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5" t="s">
        <v>146</v>
      </c>
      <c r="AT137" s="185" t="s">
        <v>141</v>
      </c>
      <c r="AU137" s="185" t="s">
        <v>87</v>
      </c>
      <c r="AY137" s="83" t="s">
        <v>139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3" t="s">
        <v>85</v>
      </c>
      <c r="BK137" s="186">
        <f>ROUND(I137*H137,2)</f>
        <v>0</v>
      </c>
      <c r="BL137" s="83" t="s">
        <v>146</v>
      </c>
      <c r="BM137" s="185" t="s">
        <v>1209</v>
      </c>
    </row>
    <row r="138" spans="2:51" s="201" customFormat="1" ht="12">
      <c r="B138" s="202"/>
      <c r="D138" s="189" t="s">
        <v>148</v>
      </c>
      <c r="E138" s="203" t="s">
        <v>1</v>
      </c>
      <c r="F138" s="204" t="s">
        <v>1210</v>
      </c>
      <c r="H138" s="203" t="s">
        <v>1</v>
      </c>
      <c r="I138" s="235"/>
      <c r="L138" s="202"/>
      <c r="M138" s="205"/>
      <c r="N138" s="206"/>
      <c r="O138" s="206"/>
      <c r="P138" s="206"/>
      <c r="Q138" s="206"/>
      <c r="R138" s="206"/>
      <c r="S138" s="206"/>
      <c r="T138" s="207"/>
      <c r="AT138" s="203" t="s">
        <v>148</v>
      </c>
      <c r="AU138" s="203" t="s">
        <v>87</v>
      </c>
      <c r="AV138" s="201" t="s">
        <v>85</v>
      </c>
      <c r="AW138" s="201" t="s">
        <v>34</v>
      </c>
      <c r="AX138" s="201" t="s">
        <v>78</v>
      </c>
      <c r="AY138" s="203" t="s">
        <v>139</v>
      </c>
    </row>
    <row r="139" spans="2:51" s="187" customFormat="1" ht="12">
      <c r="B139" s="188"/>
      <c r="D139" s="189" t="s">
        <v>148</v>
      </c>
      <c r="E139" s="190" t="s">
        <v>1</v>
      </c>
      <c r="F139" s="191" t="s">
        <v>1211</v>
      </c>
      <c r="H139" s="192">
        <v>2.64</v>
      </c>
      <c r="I139" s="233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0" t="s">
        <v>148</v>
      </c>
      <c r="AU139" s="190" t="s">
        <v>87</v>
      </c>
      <c r="AV139" s="187" t="s">
        <v>87</v>
      </c>
      <c r="AW139" s="187" t="s">
        <v>34</v>
      </c>
      <c r="AX139" s="187" t="s">
        <v>85</v>
      </c>
      <c r="AY139" s="190" t="s">
        <v>139</v>
      </c>
    </row>
    <row r="140" spans="1:65" s="95" customFormat="1" ht="62.65" customHeight="1">
      <c r="A140" s="93"/>
      <c r="B140" s="92"/>
      <c r="C140" s="175" t="s">
        <v>87</v>
      </c>
      <c r="D140" s="175" t="s">
        <v>141</v>
      </c>
      <c r="E140" s="176" t="s">
        <v>1212</v>
      </c>
      <c r="F140" s="177" t="s">
        <v>1213</v>
      </c>
      <c r="G140" s="178" t="s">
        <v>144</v>
      </c>
      <c r="H140" s="179">
        <v>5.28</v>
      </c>
      <c r="I140" s="69"/>
      <c r="J140" s="180">
        <f>ROUND(I140*H140,2)</f>
        <v>0</v>
      </c>
      <c r="K140" s="177" t="s">
        <v>967</v>
      </c>
      <c r="L140" s="92"/>
      <c r="M140" s="181" t="s">
        <v>1</v>
      </c>
      <c r="N140" s="182" t="s">
        <v>44</v>
      </c>
      <c r="O140" s="183">
        <v>0.05</v>
      </c>
      <c r="P140" s="183">
        <f>O140*H140</f>
        <v>0.264</v>
      </c>
      <c r="Q140" s="183">
        <v>0</v>
      </c>
      <c r="R140" s="183">
        <f>Q140*H140</f>
        <v>0</v>
      </c>
      <c r="S140" s="183">
        <v>0.17</v>
      </c>
      <c r="T140" s="184">
        <f>S140*H140</f>
        <v>0.8976000000000001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R140" s="185" t="s">
        <v>146</v>
      </c>
      <c r="AT140" s="185" t="s">
        <v>141</v>
      </c>
      <c r="AU140" s="185" t="s">
        <v>87</v>
      </c>
      <c r="AY140" s="83" t="s">
        <v>139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83" t="s">
        <v>85</v>
      </c>
      <c r="BK140" s="186">
        <f>ROUND(I140*H140,2)</f>
        <v>0</v>
      </c>
      <c r="BL140" s="83" t="s">
        <v>146</v>
      </c>
      <c r="BM140" s="185" t="s">
        <v>1214</v>
      </c>
    </row>
    <row r="141" spans="1:47" s="95" customFormat="1" ht="19.5">
      <c r="A141" s="93"/>
      <c r="B141" s="92"/>
      <c r="C141" s="93"/>
      <c r="D141" s="189" t="s">
        <v>153</v>
      </c>
      <c r="E141" s="93"/>
      <c r="F141" s="196" t="s">
        <v>1215</v>
      </c>
      <c r="G141" s="93"/>
      <c r="H141" s="93"/>
      <c r="I141" s="234"/>
      <c r="J141" s="93"/>
      <c r="K141" s="93"/>
      <c r="L141" s="92"/>
      <c r="M141" s="197"/>
      <c r="N141" s="198"/>
      <c r="O141" s="199"/>
      <c r="P141" s="199"/>
      <c r="Q141" s="199"/>
      <c r="R141" s="199"/>
      <c r="S141" s="199"/>
      <c r="T141" s="200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T141" s="83" t="s">
        <v>153</v>
      </c>
      <c r="AU141" s="83" t="s">
        <v>87</v>
      </c>
    </row>
    <row r="142" spans="2:51" s="187" customFormat="1" ht="12">
      <c r="B142" s="188"/>
      <c r="D142" s="189" t="s">
        <v>148</v>
      </c>
      <c r="E142" s="190" t="s">
        <v>1</v>
      </c>
      <c r="F142" s="191" t="s">
        <v>1216</v>
      </c>
      <c r="H142" s="192">
        <v>1.815</v>
      </c>
      <c r="I142" s="233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0" t="s">
        <v>148</v>
      </c>
      <c r="AU142" s="190" t="s">
        <v>87</v>
      </c>
      <c r="AV142" s="187" t="s">
        <v>87</v>
      </c>
      <c r="AW142" s="187" t="s">
        <v>34</v>
      </c>
      <c r="AX142" s="187" t="s">
        <v>78</v>
      </c>
      <c r="AY142" s="190" t="s">
        <v>139</v>
      </c>
    </row>
    <row r="143" spans="2:51" s="201" customFormat="1" ht="12">
      <c r="B143" s="202"/>
      <c r="D143" s="189" t="s">
        <v>148</v>
      </c>
      <c r="E143" s="203" t="s">
        <v>1</v>
      </c>
      <c r="F143" s="204" t="s">
        <v>1217</v>
      </c>
      <c r="H143" s="203" t="s">
        <v>1</v>
      </c>
      <c r="I143" s="235"/>
      <c r="L143" s="202"/>
      <c r="M143" s="205"/>
      <c r="N143" s="206"/>
      <c r="O143" s="206"/>
      <c r="P143" s="206"/>
      <c r="Q143" s="206"/>
      <c r="R143" s="206"/>
      <c r="S143" s="206"/>
      <c r="T143" s="207"/>
      <c r="AT143" s="203" t="s">
        <v>148</v>
      </c>
      <c r="AU143" s="203" t="s">
        <v>87</v>
      </c>
      <c r="AV143" s="201" t="s">
        <v>85</v>
      </c>
      <c r="AW143" s="201" t="s">
        <v>34</v>
      </c>
      <c r="AX143" s="201" t="s">
        <v>78</v>
      </c>
      <c r="AY143" s="203" t="s">
        <v>139</v>
      </c>
    </row>
    <row r="144" spans="2:51" s="201" customFormat="1" ht="12">
      <c r="B144" s="202"/>
      <c r="D144" s="189" t="s">
        <v>148</v>
      </c>
      <c r="E144" s="203" t="s">
        <v>1</v>
      </c>
      <c r="F144" s="204" t="s">
        <v>280</v>
      </c>
      <c r="H144" s="203" t="s">
        <v>1</v>
      </c>
      <c r="I144" s="235"/>
      <c r="L144" s="202"/>
      <c r="M144" s="205"/>
      <c r="N144" s="206"/>
      <c r="O144" s="206"/>
      <c r="P144" s="206"/>
      <c r="Q144" s="206"/>
      <c r="R144" s="206"/>
      <c r="S144" s="206"/>
      <c r="T144" s="207"/>
      <c r="AT144" s="203" t="s">
        <v>148</v>
      </c>
      <c r="AU144" s="203" t="s">
        <v>87</v>
      </c>
      <c r="AV144" s="201" t="s">
        <v>85</v>
      </c>
      <c r="AW144" s="201" t="s">
        <v>34</v>
      </c>
      <c r="AX144" s="201" t="s">
        <v>78</v>
      </c>
      <c r="AY144" s="203" t="s">
        <v>139</v>
      </c>
    </row>
    <row r="145" spans="2:51" s="201" customFormat="1" ht="12">
      <c r="B145" s="202"/>
      <c r="D145" s="189" t="s">
        <v>148</v>
      </c>
      <c r="E145" s="203" t="s">
        <v>1</v>
      </c>
      <c r="F145" s="204" t="s">
        <v>156</v>
      </c>
      <c r="H145" s="203" t="s">
        <v>1</v>
      </c>
      <c r="I145" s="235"/>
      <c r="L145" s="202"/>
      <c r="M145" s="205"/>
      <c r="N145" s="206"/>
      <c r="O145" s="206"/>
      <c r="P145" s="206"/>
      <c r="Q145" s="206"/>
      <c r="R145" s="206"/>
      <c r="S145" s="206"/>
      <c r="T145" s="207"/>
      <c r="AT145" s="203" t="s">
        <v>148</v>
      </c>
      <c r="AU145" s="203" t="s">
        <v>87</v>
      </c>
      <c r="AV145" s="201" t="s">
        <v>85</v>
      </c>
      <c r="AW145" s="201" t="s">
        <v>34</v>
      </c>
      <c r="AX145" s="201" t="s">
        <v>78</v>
      </c>
      <c r="AY145" s="203" t="s">
        <v>139</v>
      </c>
    </row>
    <row r="146" spans="2:51" s="187" customFormat="1" ht="12">
      <c r="B146" s="188"/>
      <c r="D146" s="189" t="s">
        <v>148</v>
      </c>
      <c r="E146" s="190" t="s">
        <v>1</v>
      </c>
      <c r="F146" s="191" t="s">
        <v>1218</v>
      </c>
      <c r="H146" s="192">
        <v>3.465</v>
      </c>
      <c r="I146" s="233"/>
      <c r="L146" s="188"/>
      <c r="M146" s="193"/>
      <c r="N146" s="194"/>
      <c r="O146" s="194"/>
      <c r="P146" s="194"/>
      <c r="Q146" s="194"/>
      <c r="R146" s="194"/>
      <c r="S146" s="194"/>
      <c r="T146" s="195"/>
      <c r="AT146" s="190" t="s">
        <v>148</v>
      </c>
      <c r="AU146" s="190" t="s">
        <v>87</v>
      </c>
      <c r="AV146" s="187" t="s">
        <v>87</v>
      </c>
      <c r="AW146" s="187" t="s">
        <v>34</v>
      </c>
      <c r="AX146" s="187" t="s">
        <v>78</v>
      </c>
      <c r="AY146" s="190" t="s">
        <v>139</v>
      </c>
    </row>
    <row r="147" spans="2:51" s="208" customFormat="1" ht="12">
      <c r="B147" s="209"/>
      <c r="D147" s="189" t="s">
        <v>148</v>
      </c>
      <c r="E147" s="210" t="s">
        <v>1</v>
      </c>
      <c r="F147" s="211" t="s">
        <v>159</v>
      </c>
      <c r="H147" s="212">
        <v>5.28</v>
      </c>
      <c r="I147" s="236"/>
      <c r="L147" s="209"/>
      <c r="M147" s="213"/>
      <c r="N147" s="214"/>
      <c r="O147" s="214"/>
      <c r="P147" s="214"/>
      <c r="Q147" s="214"/>
      <c r="R147" s="214"/>
      <c r="S147" s="214"/>
      <c r="T147" s="215"/>
      <c r="AT147" s="210" t="s">
        <v>148</v>
      </c>
      <c r="AU147" s="210" t="s">
        <v>87</v>
      </c>
      <c r="AV147" s="208" t="s">
        <v>146</v>
      </c>
      <c r="AW147" s="208" t="s">
        <v>34</v>
      </c>
      <c r="AX147" s="208" t="s">
        <v>85</v>
      </c>
      <c r="AY147" s="210" t="s">
        <v>139</v>
      </c>
    </row>
    <row r="148" spans="1:65" s="95" customFormat="1" ht="62.65" customHeight="1">
      <c r="A148" s="93"/>
      <c r="B148" s="92"/>
      <c r="C148" s="175" t="s">
        <v>160</v>
      </c>
      <c r="D148" s="175" t="s">
        <v>141</v>
      </c>
      <c r="E148" s="176" t="s">
        <v>150</v>
      </c>
      <c r="F148" s="177" t="s">
        <v>151</v>
      </c>
      <c r="G148" s="178" t="s">
        <v>144</v>
      </c>
      <c r="H148" s="179">
        <v>3.465</v>
      </c>
      <c r="I148" s="69"/>
      <c r="J148" s="180">
        <f>ROUND(I148*H148,2)</f>
        <v>0</v>
      </c>
      <c r="K148" s="177" t="s">
        <v>967</v>
      </c>
      <c r="L148" s="92"/>
      <c r="M148" s="181" t="s">
        <v>1</v>
      </c>
      <c r="N148" s="182" t="s">
        <v>44</v>
      </c>
      <c r="O148" s="183">
        <v>0.119</v>
      </c>
      <c r="P148" s="183">
        <f>O148*H148</f>
        <v>0.41233499999999995</v>
      </c>
      <c r="Q148" s="183">
        <v>0</v>
      </c>
      <c r="R148" s="183">
        <f>Q148*H148</f>
        <v>0</v>
      </c>
      <c r="S148" s="183">
        <v>0.44</v>
      </c>
      <c r="T148" s="184">
        <f>S148*H148</f>
        <v>1.5246</v>
      </c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R148" s="185" t="s">
        <v>146</v>
      </c>
      <c r="AT148" s="185" t="s">
        <v>141</v>
      </c>
      <c r="AU148" s="185" t="s">
        <v>87</v>
      </c>
      <c r="AY148" s="83" t="s">
        <v>139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3" t="s">
        <v>85</v>
      </c>
      <c r="BK148" s="186">
        <f>ROUND(I148*H148,2)</f>
        <v>0</v>
      </c>
      <c r="BL148" s="83" t="s">
        <v>146</v>
      </c>
      <c r="BM148" s="185" t="s">
        <v>1219</v>
      </c>
    </row>
    <row r="149" spans="1:47" s="95" customFormat="1" ht="19.5">
      <c r="A149" s="93"/>
      <c r="B149" s="92"/>
      <c r="C149" s="93"/>
      <c r="D149" s="189" t="s">
        <v>153</v>
      </c>
      <c r="E149" s="93"/>
      <c r="F149" s="196" t="s">
        <v>154</v>
      </c>
      <c r="G149" s="93"/>
      <c r="H149" s="93"/>
      <c r="I149" s="234"/>
      <c r="J149" s="93"/>
      <c r="K149" s="93"/>
      <c r="L149" s="92"/>
      <c r="M149" s="197"/>
      <c r="N149" s="198"/>
      <c r="O149" s="199"/>
      <c r="P149" s="199"/>
      <c r="Q149" s="199"/>
      <c r="R149" s="199"/>
      <c r="S149" s="199"/>
      <c r="T149" s="200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T149" s="83" t="s">
        <v>153</v>
      </c>
      <c r="AU149" s="83" t="s">
        <v>87</v>
      </c>
    </row>
    <row r="150" spans="2:51" s="201" customFormat="1" ht="12">
      <c r="B150" s="202"/>
      <c r="D150" s="189" t="s">
        <v>148</v>
      </c>
      <c r="E150" s="203" t="s">
        <v>1</v>
      </c>
      <c r="F150" s="204" t="s">
        <v>280</v>
      </c>
      <c r="H150" s="203" t="s">
        <v>1</v>
      </c>
      <c r="I150" s="235"/>
      <c r="L150" s="202"/>
      <c r="M150" s="205"/>
      <c r="N150" s="206"/>
      <c r="O150" s="206"/>
      <c r="P150" s="206"/>
      <c r="Q150" s="206"/>
      <c r="R150" s="206"/>
      <c r="S150" s="206"/>
      <c r="T150" s="207"/>
      <c r="AT150" s="203" t="s">
        <v>148</v>
      </c>
      <c r="AU150" s="203" t="s">
        <v>87</v>
      </c>
      <c r="AV150" s="201" t="s">
        <v>85</v>
      </c>
      <c r="AW150" s="201" t="s">
        <v>34</v>
      </c>
      <c r="AX150" s="201" t="s">
        <v>78</v>
      </c>
      <c r="AY150" s="203" t="s">
        <v>139</v>
      </c>
    </row>
    <row r="151" spans="2:51" s="201" customFormat="1" ht="12">
      <c r="B151" s="202"/>
      <c r="D151" s="189" t="s">
        <v>148</v>
      </c>
      <c r="E151" s="203" t="s">
        <v>1</v>
      </c>
      <c r="F151" s="204" t="s">
        <v>156</v>
      </c>
      <c r="H151" s="203" t="s">
        <v>1</v>
      </c>
      <c r="I151" s="235"/>
      <c r="L151" s="202"/>
      <c r="M151" s="205"/>
      <c r="N151" s="206"/>
      <c r="O151" s="206"/>
      <c r="P151" s="206"/>
      <c r="Q151" s="206"/>
      <c r="R151" s="206"/>
      <c r="S151" s="206"/>
      <c r="T151" s="207"/>
      <c r="AT151" s="203" t="s">
        <v>148</v>
      </c>
      <c r="AU151" s="203" t="s">
        <v>87</v>
      </c>
      <c r="AV151" s="201" t="s">
        <v>85</v>
      </c>
      <c r="AW151" s="201" t="s">
        <v>34</v>
      </c>
      <c r="AX151" s="201" t="s">
        <v>78</v>
      </c>
      <c r="AY151" s="203" t="s">
        <v>139</v>
      </c>
    </row>
    <row r="152" spans="2:51" s="187" customFormat="1" ht="12">
      <c r="B152" s="188"/>
      <c r="D152" s="189" t="s">
        <v>148</v>
      </c>
      <c r="E152" s="190" t="s">
        <v>1</v>
      </c>
      <c r="F152" s="191" t="s">
        <v>1220</v>
      </c>
      <c r="H152" s="192">
        <v>3.465</v>
      </c>
      <c r="I152" s="233"/>
      <c r="L152" s="188"/>
      <c r="M152" s="193"/>
      <c r="N152" s="194"/>
      <c r="O152" s="194"/>
      <c r="P152" s="194"/>
      <c r="Q152" s="194"/>
      <c r="R152" s="194"/>
      <c r="S152" s="194"/>
      <c r="T152" s="195"/>
      <c r="AT152" s="190" t="s">
        <v>148</v>
      </c>
      <c r="AU152" s="190" t="s">
        <v>87</v>
      </c>
      <c r="AV152" s="187" t="s">
        <v>87</v>
      </c>
      <c r="AW152" s="187" t="s">
        <v>34</v>
      </c>
      <c r="AX152" s="187" t="s">
        <v>85</v>
      </c>
      <c r="AY152" s="190" t="s">
        <v>139</v>
      </c>
    </row>
    <row r="153" spans="1:65" s="95" customFormat="1" ht="49.15" customHeight="1">
      <c r="A153" s="93"/>
      <c r="B153" s="92"/>
      <c r="C153" s="175" t="s">
        <v>146</v>
      </c>
      <c r="D153" s="175" t="s">
        <v>141</v>
      </c>
      <c r="E153" s="176" t="s">
        <v>979</v>
      </c>
      <c r="F153" s="177" t="s">
        <v>980</v>
      </c>
      <c r="G153" s="178" t="s">
        <v>144</v>
      </c>
      <c r="H153" s="179">
        <v>3.465</v>
      </c>
      <c r="I153" s="69"/>
      <c r="J153" s="180">
        <f>ROUND(I153*H153,2)</f>
        <v>0</v>
      </c>
      <c r="K153" s="177" t="s">
        <v>967</v>
      </c>
      <c r="L153" s="92"/>
      <c r="M153" s="181" t="s">
        <v>1</v>
      </c>
      <c r="N153" s="182" t="s">
        <v>44</v>
      </c>
      <c r="O153" s="183">
        <v>0.028</v>
      </c>
      <c r="P153" s="183">
        <f>O153*H153</f>
        <v>0.09702</v>
      </c>
      <c r="Q153" s="183">
        <v>0.00012</v>
      </c>
      <c r="R153" s="183">
        <f>Q153*H153</f>
        <v>0.00041579999999999997</v>
      </c>
      <c r="S153" s="183">
        <v>0.256</v>
      </c>
      <c r="T153" s="184">
        <f>S153*H153</f>
        <v>0.8870399999999999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5" t="s">
        <v>146</v>
      </c>
      <c r="AT153" s="185" t="s">
        <v>141</v>
      </c>
      <c r="AU153" s="185" t="s">
        <v>87</v>
      </c>
      <c r="AY153" s="83" t="s">
        <v>139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3" t="s">
        <v>85</v>
      </c>
      <c r="BK153" s="186">
        <f>ROUND(I153*H153,2)</f>
        <v>0</v>
      </c>
      <c r="BL153" s="83" t="s">
        <v>146</v>
      </c>
      <c r="BM153" s="185" t="s">
        <v>1221</v>
      </c>
    </row>
    <row r="154" spans="1:47" s="95" customFormat="1" ht="19.5">
      <c r="A154" s="93"/>
      <c r="B154" s="92"/>
      <c r="C154" s="93"/>
      <c r="D154" s="189" t="s">
        <v>153</v>
      </c>
      <c r="E154" s="93"/>
      <c r="F154" s="196" t="s">
        <v>982</v>
      </c>
      <c r="G154" s="93"/>
      <c r="H154" s="93"/>
      <c r="I154" s="234"/>
      <c r="J154" s="93"/>
      <c r="K154" s="93"/>
      <c r="L154" s="92"/>
      <c r="M154" s="197"/>
      <c r="N154" s="198"/>
      <c r="O154" s="199"/>
      <c r="P154" s="199"/>
      <c r="Q154" s="199"/>
      <c r="R154" s="199"/>
      <c r="S154" s="199"/>
      <c r="T154" s="200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T154" s="83" t="s">
        <v>153</v>
      </c>
      <c r="AU154" s="83" t="s">
        <v>87</v>
      </c>
    </row>
    <row r="155" spans="2:51" s="201" customFormat="1" ht="12">
      <c r="B155" s="202"/>
      <c r="D155" s="189" t="s">
        <v>148</v>
      </c>
      <c r="E155" s="203" t="s">
        <v>1</v>
      </c>
      <c r="F155" s="204" t="s">
        <v>307</v>
      </c>
      <c r="H155" s="203" t="s">
        <v>1</v>
      </c>
      <c r="I155" s="235"/>
      <c r="L155" s="202"/>
      <c r="M155" s="205"/>
      <c r="N155" s="206"/>
      <c r="O155" s="206"/>
      <c r="P155" s="206"/>
      <c r="Q155" s="206"/>
      <c r="R155" s="206"/>
      <c r="S155" s="206"/>
      <c r="T155" s="207"/>
      <c r="AT155" s="203" t="s">
        <v>148</v>
      </c>
      <c r="AU155" s="203" t="s">
        <v>87</v>
      </c>
      <c r="AV155" s="201" t="s">
        <v>85</v>
      </c>
      <c r="AW155" s="201" t="s">
        <v>34</v>
      </c>
      <c r="AX155" s="201" t="s">
        <v>78</v>
      </c>
      <c r="AY155" s="203" t="s">
        <v>139</v>
      </c>
    </row>
    <row r="156" spans="2:51" s="187" customFormat="1" ht="12">
      <c r="B156" s="188"/>
      <c r="D156" s="189" t="s">
        <v>148</v>
      </c>
      <c r="E156" s="190" t="s">
        <v>1</v>
      </c>
      <c r="F156" s="191" t="s">
        <v>1222</v>
      </c>
      <c r="H156" s="192">
        <v>3.465</v>
      </c>
      <c r="I156" s="233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0" t="s">
        <v>148</v>
      </c>
      <c r="AU156" s="190" t="s">
        <v>87</v>
      </c>
      <c r="AV156" s="187" t="s">
        <v>87</v>
      </c>
      <c r="AW156" s="187" t="s">
        <v>34</v>
      </c>
      <c r="AX156" s="187" t="s">
        <v>85</v>
      </c>
      <c r="AY156" s="190" t="s">
        <v>139</v>
      </c>
    </row>
    <row r="157" spans="1:65" s="95" customFormat="1" ht="24.2" customHeight="1">
      <c r="A157" s="93"/>
      <c r="B157" s="92"/>
      <c r="C157" s="175" t="s">
        <v>168</v>
      </c>
      <c r="D157" s="175" t="s">
        <v>141</v>
      </c>
      <c r="E157" s="176" t="s">
        <v>175</v>
      </c>
      <c r="F157" s="177" t="s">
        <v>176</v>
      </c>
      <c r="G157" s="178" t="s">
        <v>177</v>
      </c>
      <c r="H157" s="179">
        <v>5</v>
      </c>
      <c r="I157" s="69"/>
      <c r="J157" s="180">
        <f>ROUND(I157*H157,2)</f>
        <v>0</v>
      </c>
      <c r="K157" s="177" t="s">
        <v>967</v>
      </c>
      <c r="L157" s="92"/>
      <c r="M157" s="181" t="s">
        <v>1</v>
      </c>
      <c r="N157" s="182" t="s">
        <v>44</v>
      </c>
      <c r="O157" s="183">
        <v>0.184</v>
      </c>
      <c r="P157" s="183">
        <f>O157*H157</f>
        <v>0.9199999999999999</v>
      </c>
      <c r="Q157" s="183">
        <v>3E-05</v>
      </c>
      <c r="R157" s="183">
        <f>Q157*H157</f>
        <v>0.00015000000000000001</v>
      </c>
      <c r="S157" s="183">
        <v>0</v>
      </c>
      <c r="T157" s="184">
        <f>S157*H157</f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5" t="s">
        <v>146</v>
      </c>
      <c r="AT157" s="185" t="s">
        <v>141</v>
      </c>
      <c r="AU157" s="185" t="s">
        <v>87</v>
      </c>
      <c r="AY157" s="83" t="s">
        <v>139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3" t="s">
        <v>85</v>
      </c>
      <c r="BK157" s="186">
        <f>ROUND(I157*H157,2)</f>
        <v>0</v>
      </c>
      <c r="BL157" s="83" t="s">
        <v>146</v>
      </c>
      <c r="BM157" s="185" t="s">
        <v>1223</v>
      </c>
    </row>
    <row r="158" spans="1:47" s="95" customFormat="1" ht="19.5">
      <c r="A158" s="93"/>
      <c r="B158" s="92"/>
      <c r="C158" s="93"/>
      <c r="D158" s="189" t="s">
        <v>153</v>
      </c>
      <c r="E158" s="93"/>
      <c r="F158" s="196" t="s">
        <v>986</v>
      </c>
      <c r="G158" s="93"/>
      <c r="H158" s="93"/>
      <c r="I158" s="234"/>
      <c r="J158" s="93"/>
      <c r="K158" s="93"/>
      <c r="L158" s="92"/>
      <c r="M158" s="197"/>
      <c r="N158" s="198"/>
      <c r="O158" s="199"/>
      <c r="P158" s="199"/>
      <c r="Q158" s="199"/>
      <c r="R158" s="199"/>
      <c r="S158" s="199"/>
      <c r="T158" s="200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T158" s="83" t="s">
        <v>153</v>
      </c>
      <c r="AU158" s="83" t="s">
        <v>87</v>
      </c>
    </row>
    <row r="159" spans="2:51" s="187" customFormat="1" ht="12">
      <c r="B159" s="188"/>
      <c r="D159" s="189" t="s">
        <v>148</v>
      </c>
      <c r="E159" s="190" t="s">
        <v>1</v>
      </c>
      <c r="F159" s="191" t="s">
        <v>878</v>
      </c>
      <c r="H159" s="192">
        <v>5</v>
      </c>
      <c r="I159" s="233"/>
      <c r="L159" s="188"/>
      <c r="M159" s="193"/>
      <c r="N159" s="194"/>
      <c r="O159" s="194"/>
      <c r="P159" s="194"/>
      <c r="Q159" s="194"/>
      <c r="R159" s="194"/>
      <c r="S159" s="194"/>
      <c r="T159" s="195"/>
      <c r="AT159" s="190" t="s">
        <v>148</v>
      </c>
      <c r="AU159" s="190" t="s">
        <v>87</v>
      </c>
      <c r="AV159" s="187" t="s">
        <v>87</v>
      </c>
      <c r="AW159" s="187" t="s">
        <v>34</v>
      </c>
      <c r="AX159" s="187" t="s">
        <v>85</v>
      </c>
      <c r="AY159" s="190" t="s">
        <v>139</v>
      </c>
    </row>
    <row r="160" spans="1:65" s="95" customFormat="1" ht="37.9" customHeight="1">
      <c r="A160" s="93"/>
      <c r="B160" s="92"/>
      <c r="C160" s="175" t="s">
        <v>174</v>
      </c>
      <c r="D160" s="175" t="s">
        <v>141</v>
      </c>
      <c r="E160" s="176" t="s">
        <v>988</v>
      </c>
      <c r="F160" s="177" t="s">
        <v>989</v>
      </c>
      <c r="G160" s="178" t="s">
        <v>177</v>
      </c>
      <c r="H160" s="179">
        <v>29.136</v>
      </c>
      <c r="I160" s="69"/>
      <c r="J160" s="180">
        <f>ROUND(I160*H160,2)</f>
        <v>0</v>
      </c>
      <c r="K160" s="177" t="s">
        <v>1</v>
      </c>
      <c r="L160" s="92"/>
      <c r="M160" s="181" t="s">
        <v>1</v>
      </c>
      <c r="N160" s="182" t="s">
        <v>44</v>
      </c>
      <c r="O160" s="183">
        <v>0.4</v>
      </c>
      <c r="P160" s="183">
        <f>O160*H160</f>
        <v>11.6544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R160" s="185" t="s">
        <v>146</v>
      </c>
      <c r="AT160" s="185" t="s">
        <v>141</v>
      </c>
      <c r="AU160" s="185" t="s">
        <v>87</v>
      </c>
      <c r="AY160" s="83" t="s">
        <v>139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3" t="s">
        <v>85</v>
      </c>
      <c r="BK160" s="186">
        <f>ROUND(I160*H160,2)</f>
        <v>0</v>
      </c>
      <c r="BL160" s="83" t="s">
        <v>146</v>
      </c>
      <c r="BM160" s="185" t="s">
        <v>1224</v>
      </c>
    </row>
    <row r="161" spans="1:47" s="95" customFormat="1" ht="29.25">
      <c r="A161" s="93"/>
      <c r="B161" s="92"/>
      <c r="C161" s="93"/>
      <c r="D161" s="189" t="s">
        <v>153</v>
      </c>
      <c r="E161" s="93"/>
      <c r="F161" s="196" t="s">
        <v>991</v>
      </c>
      <c r="G161" s="93"/>
      <c r="H161" s="93"/>
      <c r="I161" s="234"/>
      <c r="J161" s="93"/>
      <c r="K161" s="93"/>
      <c r="L161" s="92"/>
      <c r="M161" s="197"/>
      <c r="N161" s="198"/>
      <c r="O161" s="199"/>
      <c r="P161" s="199"/>
      <c r="Q161" s="199"/>
      <c r="R161" s="199"/>
      <c r="S161" s="199"/>
      <c r="T161" s="200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T161" s="83" t="s">
        <v>153</v>
      </c>
      <c r="AU161" s="83" t="s">
        <v>87</v>
      </c>
    </row>
    <row r="162" spans="2:51" s="201" customFormat="1" ht="12">
      <c r="B162" s="202"/>
      <c r="D162" s="189" t="s">
        <v>148</v>
      </c>
      <c r="E162" s="203" t="s">
        <v>1</v>
      </c>
      <c r="F162" s="204" t="s">
        <v>992</v>
      </c>
      <c r="H162" s="203" t="s">
        <v>1</v>
      </c>
      <c r="I162" s="235"/>
      <c r="L162" s="202"/>
      <c r="M162" s="205"/>
      <c r="N162" s="206"/>
      <c r="O162" s="206"/>
      <c r="P162" s="206"/>
      <c r="Q162" s="206"/>
      <c r="R162" s="206"/>
      <c r="S162" s="206"/>
      <c r="T162" s="207"/>
      <c r="AT162" s="203" t="s">
        <v>148</v>
      </c>
      <c r="AU162" s="203" t="s">
        <v>87</v>
      </c>
      <c r="AV162" s="201" t="s">
        <v>85</v>
      </c>
      <c r="AW162" s="201" t="s">
        <v>34</v>
      </c>
      <c r="AX162" s="201" t="s">
        <v>78</v>
      </c>
      <c r="AY162" s="203" t="s">
        <v>139</v>
      </c>
    </row>
    <row r="163" spans="2:51" s="201" customFormat="1" ht="12">
      <c r="B163" s="202"/>
      <c r="D163" s="189" t="s">
        <v>148</v>
      </c>
      <c r="E163" s="203" t="s">
        <v>1</v>
      </c>
      <c r="F163" s="204" t="s">
        <v>993</v>
      </c>
      <c r="H163" s="203" t="s">
        <v>1</v>
      </c>
      <c r="I163" s="235"/>
      <c r="L163" s="202"/>
      <c r="M163" s="205"/>
      <c r="N163" s="206"/>
      <c r="O163" s="206"/>
      <c r="P163" s="206"/>
      <c r="Q163" s="206"/>
      <c r="R163" s="206"/>
      <c r="S163" s="206"/>
      <c r="T163" s="207"/>
      <c r="AT163" s="203" t="s">
        <v>148</v>
      </c>
      <c r="AU163" s="203" t="s">
        <v>87</v>
      </c>
      <c r="AV163" s="201" t="s">
        <v>85</v>
      </c>
      <c r="AW163" s="201" t="s">
        <v>34</v>
      </c>
      <c r="AX163" s="201" t="s">
        <v>78</v>
      </c>
      <c r="AY163" s="203" t="s">
        <v>139</v>
      </c>
    </row>
    <row r="164" spans="2:51" s="187" customFormat="1" ht="12">
      <c r="B164" s="188"/>
      <c r="D164" s="189" t="s">
        <v>148</v>
      </c>
      <c r="E164" s="190" t="s">
        <v>1</v>
      </c>
      <c r="F164" s="191" t="s">
        <v>1225</v>
      </c>
      <c r="H164" s="192">
        <v>29.136</v>
      </c>
      <c r="I164" s="233"/>
      <c r="L164" s="188"/>
      <c r="M164" s="193"/>
      <c r="N164" s="194"/>
      <c r="O164" s="194"/>
      <c r="P164" s="194"/>
      <c r="Q164" s="194"/>
      <c r="R164" s="194"/>
      <c r="S164" s="194"/>
      <c r="T164" s="195"/>
      <c r="AT164" s="190" t="s">
        <v>148</v>
      </c>
      <c r="AU164" s="190" t="s">
        <v>87</v>
      </c>
      <c r="AV164" s="187" t="s">
        <v>87</v>
      </c>
      <c r="AW164" s="187" t="s">
        <v>34</v>
      </c>
      <c r="AX164" s="187" t="s">
        <v>85</v>
      </c>
      <c r="AY164" s="190" t="s">
        <v>139</v>
      </c>
    </row>
    <row r="165" spans="1:65" s="95" customFormat="1" ht="62.65" customHeight="1">
      <c r="A165" s="93"/>
      <c r="B165" s="92"/>
      <c r="C165" s="175" t="s">
        <v>181</v>
      </c>
      <c r="D165" s="175" t="s">
        <v>141</v>
      </c>
      <c r="E165" s="176" t="s">
        <v>188</v>
      </c>
      <c r="F165" s="177" t="s">
        <v>995</v>
      </c>
      <c r="G165" s="178" t="s">
        <v>171</v>
      </c>
      <c r="H165" s="179">
        <v>3.3</v>
      </c>
      <c r="I165" s="69"/>
      <c r="J165" s="180">
        <f>ROUND(I165*H165,2)</f>
        <v>0</v>
      </c>
      <c r="K165" s="177" t="s">
        <v>967</v>
      </c>
      <c r="L165" s="92"/>
      <c r="M165" s="181" t="s">
        <v>1</v>
      </c>
      <c r="N165" s="182" t="s">
        <v>44</v>
      </c>
      <c r="O165" s="183">
        <v>0.547</v>
      </c>
      <c r="P165" s="183">
        <f>O165*H165</f>
        <v>1.8051000000000001</v>
      </c>
      <c r="Q165" s="183">
        <v>0.0369</v>
      </c>
      <c r="R165" s="183">
        <f>Q165*H165</f>
        <v>0.12177</v>
      </c>
      <c r="S165" s="183">
        <v>0</v>
      </c>
      <c r="T165" s="184">
        <f>S165*H165</f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R165" s="185" t="s">
        <v>146</v>
      </c>
      <c r="AT165" s="185" t="s">
        <v>141</v>
      </c>
      <c r="AU165" s="185" t="s">
        <v>87</v>
      </c>
      <c r="AY165" s="83" t="s">
        <v>139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83" t="s">
        <v>85</v>
      </c>
      <c r="BK165" s="186">
        <f>ROUND(I165*H165,2)</f>
        <v>0</v>
      </c>
      <c r="BL165" s="83" t="s">
        <v>146</v>
      </c>
      <c r="BM165" s="185" t="s">
        <v>1226</v>
      </c>
    </row>
    <row r="166" spans="2:51" s="201" customFormat="1" ht="12">
      <c r="B166" s="202"/>
      <c r="D166" s="189" t="s">
        <v>148</v>
      </c>
      <c r="E166" s="203" t="s">
        <v>1</v>
      </c>
      <c r="F166" s="204" t="s">
        <v>997</v>
      </c>
      <c r="H166" s="203" t="s">
        <v>1</v>
      </c>
      <c r="I166" s="235"/>
      <c r="L166" s="202"/>
      <c r="M166" s="205"/>
      <c r="N166" s="206"/>
      <c r="O166" s="206"/>
      <c r="P166" s="206"/>
      <c r="Q166" s="206"/>
      <c r="R166" s="206"/>
      <c r="S166" s="206"/>
      <c r="T166" s="207"/>
      <c r="AT166" s="203" t="s">
        <v>148</v>
      </c>
      <c r="AU166" s="203" t="s">
        <v>87</v>
      </c>
      <c r="AV166" s="201" t="s">
        <v>85</v>
      </c>
      <c r="AW166" s="201" t="s">
        <v>34</v>
      </c>
      <c r="AX166" s="201" t="s">
        <v>78</v>
      </c>
      <c r="AY166" s="203" t="s">
        <v>139</v>
      </c>
    </row>
    <row r="167" spans="2:51" s="187" customFormat="1" ht="12">
      <c r="B167" s="188"/>
      <c r="D167" s="189" t="s">
        <v>148</v>
      </c>
      <c r="E167" s="190" t="s">
        <v>1</v>
      </c>
      <c r="F167" s="191" t="s">
        <v>630</v>
      </c>
      <c r="H167" s="192">
        <v>3.3</v>
      </c>
      <c r="I167" s="233"/>
      <c r="L167" s="188"/>
      <c r="M167" s="193"/>
      <c r="N167" s="194"/>
      <c r="O167" s="194"/>
      <c r="P167" s="194"/>
      <c r="Q167" s="194"/>
      <c r="R167" s="194"/>
      <c r="S167" s="194"/>
      <c r="T167" s="195"/>
      <c r="AT167" s="190" t="s">
        <v>148</v>
      </c>
      <c r="AU167" s="190" t="s">
        <v>87</v>
      </c>
      <c r="AV167" s="187" t="s">
        <v>87</v>
      </c>
      <c r="AW167" s="187" t="s">
        <v>34</v>
      </c>
      <c r="AX167" s="187" t="s">
        <v>85</v>
      </c>
      <c r="AY167" s="190" t="s">
        <v>139</v>
      </c>
    </row>
    <row r="168" spans="1:65" s="95" customFormat="1" ht="37.9" customHeight="1">
      <c r="A168" s="93"/>
      <c r="B168" s="92"/>
      <c r="C168" s="175" t="s">
        <v>187</v>
      </c>
      <c r="D168" s="175" t="s">
        <v>141</v>
      </c>
      <c r="E168" s="176" t="s">
        <v>198</v>
      </c>
      <c r="F168" s="177" t="s">
        <v>1007</v>
      </c>
      <c r="G168" s="178" t="s">
        <v>194</v>
      </c>
      <c r="H168" s="179">
        <v>4.125</v>
      </c>
      <c r="I168" s="69"/>
      <c r="J168" s="180">
        <f>ROUND(I168*H168,2)</f>
        <v>0</v>
      </c>
      <c r="K168" s="177" t="s">
        <v>967</v>
      </c>
      <c r="L168" s="92"/>
      <c r="M168" s="181" t="s">
        <v>1</v>
      </c>
      <c r="N168" s="182" t="s">
        <v>44</v>
      </c>
      <c r="O168" s="183">
        <v>1.763</v>
      </c>
      <c r="P168" s="183">
        <f>O168*H168</f>
        <v>7.272374999999999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R168" s="185" t="s">
        <v>146</v>
      </c>
      <c r="AT168" s="185" t="s">
        <v>141</v>
      </c>
      <c r="AU168" s="185" t="s">
        <v>87</v>
      </c>
      <c r="AY168" s="83" t="s">
        <v>139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83" t="s">
        <v>85</v>
      </c>
      <c r="BK168" s="186">
        <f>ROUND(I168*H168,2)</f>
        <v>0</v>
      </c>
      <c r="BL168" s="83" t="s">
        <v>146</v>
      </c>
      <c r="BM168" s="185" t="s">
        <v>1227</v>
      </c>
    </row>
    <row r="169" spans="2:51" s="187" customFormat="1" ht="12">
      <c r="B169" s="188"/>
      <c r="D169" s="189" t="s">
        <v>148</v>
      </c>
      <c r="E169" s="190" t="s">
        <v>1</v>
      </c>
      <c r="F169" s="191" t="s">
        <v>1228</v>
      </c>
      <c r="H169" s="192">
        <v>4.125</v>
      </c>
      <c r="I169" s="233"/>
      <c r="L169" s="188"/>
      <c r="M169" s="193"/>
      <c r="N169" s="194"/>
      <c r="O169" s="194"/>
      <c r="P169" s="194"/>
      <c r="Q169" s="194"/>
      <c r="R169" s="194"/>
      <c r="S169" s="194"/>
      <c r="T169" s="195"/>
      <c r="AT169" s="190" t="s">
        <v>148</v>
      </c>
      <c r="AU169" s="190" t="s">
        <v>87</v>
      </c>
      <c r="AV169" s="187" t="s">
        <v>87</v>
      </c>
      <c r="AW169" s="187" t="s">
        <v>34</v>
      </c>
      <c r="AX169" s="187" t="s">
        <v>85</v>
      </c>
      <c r="AY169" s="190" t="s">
        <v>139</v>
      </c>
    </row>
    <row r="170" spans="1:65" s="95" customFormat="1" ht="49.15" customHeight="1">
      <c r="A170" s="93"/>
      <c r="B170" s="92"/>
      <c r="C170" s="175" t="s">
        <v>191</v>
      </c>
      <c r="D170" s="175" t="s">
        <v>141</v>
      </c>
      <c r="E170" s="176" t="s">
        <v>1011</v>
      </c>
      <c r="F170" s="177" t="s">
        <v>1012</v>
      </c>
      <c r="G170" s="178" t="s">
        <v>194</v>
      </c>
      <c r="H170" s="179">
        <v>6.26</v>
      </c>
      <c r="I170" s="69"/>
      <c r="J170" s="180">
        <f>ROUND(I170*H170,2)</f>
        <v>0</v>
      </c>
      <c r="K170" s="177" t="s">
        <v>967</v>
      </c>
      <c r="L170" s="92"/>
      <c r="M170" s="181" t="s">
        <v>1</v>
      </c>
      <c r="N170" s="182" t="s">
        <v>44</v>
      </c>
      <c r="O170" s="183">
        <v>0.538</v>
      </c>
      <c r="P170" s="183">
        <f>O170*H170</f>
        <v>3.36788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R170" s="185" t="s">
        <v>146</v>
      </c>
      <c r="AT170" s="185" t="s">
        <v>141</v>
      </c>
      <c r="AU170" s="185" t="s">
        <v>87</v>
      </c>
      <c r="AY170" s="83" t="s">
        <v>139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83" t="s">
        <v>85</v>
      </c>
      <c r="BK170" s="186">
        <f>ROUND(I170*H170,2)</f>
        <v>0</v>
      </c>
      <c r="BL170" s="83" t="s">
        <v>146</v>
      </c>
      <c r="BM170" s="185" t="s">
        <v>1229</v>
      </c>
    </row>
    <row r="171" spans="2:51" s="201" customFormat="1" ht="12">
      <c r="B171" s="202"/>
      <c r="D171" s="189" t="s">
        <v>148</v>
      </c>
      <c r="E171" s="203" t="s">
        <v>1</v>
      </c>
      <c r="F171" s="204" t="s">
        <v>1014</v>
      </c>
      <c r="H171" s="203" t="s">
        <v>1</v>
      </c>
      <c r="I171" s="235"/>
      <c r="L171" s="202"/>
      <c r="M171" s="205"/>
      <c r="N171" s="206"/>
      <c r="O171" s="206"/>
      <c r="P171" s="206"/>
      <c r="Q171" s="206"/>
      <c r="R171" s="206"/>
      <c r="S171" s="206"/>
      <c r="T171" s="207"/>
      <c r="AT171" s="203" t="s">
        <v>148</v>
      </c>
      <c r="AU171" s="203" t="s">
        <v>87</v>
      </c>
      <c r="AV171" s="201" t="s">
        <v>85</v>
      </c>
      <c r="AW171" s="201" t="s">
        <v>34</v>
      </c>
      <c r="AX171" s="201" t="s">
        <v>78</v>
      </c>
      <c r="AY171" s="203" t="s">
        <v>139</v>
      </c>
    </row>
    <row r="172" spans="2:51" s="187" customFormat="1" ht="12">
      <c r="B172" s="188"/>
      <c r="D172" s="189" t="s">
        <v>148</v>
      </c>
      <c r="E172" s="190" t="s">
        <v>1</v>
      </c>
      <c r="F172" s="191" t="s">
        <v>1230</v>
      </c>
      <c r="H172" s="192">
        <v>6.26</v>
      </c>
      <c r="I172" s="233"/>
      <c r="L172" s="188"/>
      <c r="M172" s="193"/>
      <c r="N172" s="194"/>
      <c r="O172" s="194"/>
      <c r="P172" s="194"/>
      <c r="Q172" s="194"/>
      <c r="R172" s="194"/>
      <c r="S172" s="194"/>
      <c r="T172" s="195"/>
      <c r="AT172" s="190" t="s">
        <v>148</v>
      </c>
      <c r="AU172" s="190" t="s">
        <v>87</v>
      </c>
      <c r="AV172" s="187" t="s">
        <v>87</v>
      </c>
      <c r="AW172" s="187" t="s">
        <v>34</v>
      </c>
      <c r="AX172" s="187" t="s">
        <v>85</v>
      </c>
      <c r="AY172" s="190" t="s">
        <v>139</v>
      </c>
    </row>
    <row r="173" spans="1:65" s="95" customFormat="1" ht="37.9" customHeight="1">
      <c r="A173" s="93"/>
      <c r="B173" s="92"/>
      <c r="C173" s="175" t="s">
        <v>197</v>
      </c>
      <c r="D173" s="175" t="s">
        <v>141</v>
      </c>
      <c r="E173" s="176" t="s">
        <v>872</v>
      </c>
      <c r="F173" s="177" t="s">
        <v>873</v>
      </c>
      <c r="G173" s="178" t="s">
        <v>144</v>
      </c>
      <c r="H173" s="179">
        <v>15.15</v>
      </c>
      <c r="I173" s="69"/>
      <c r="J173" s="180">
        <f>ROUND(I173*H173,2)</f>
        <v>0</v>
      </c>
      <c r="K173" s="177" t="s">
        <v>967</v>
      </c>
      <c r="L173" s="92"/>
      <c r="M173" s="181" t="s">
        <v>1</v>
      </c>
      <c r="N173" s="182" t="s">
        <v>44</v>
      </c>
      <c r="O173" s="183">
        <v>0.109</v>
      </c>
      <c r="P173" s="183">
        <f>O173*H173</f>
        <v>1.65135</v>
      </c>
      <c r="Q173" s="183">
        <v>0.00059</v>
      </c>
      <c r="R173" s="183">
        <f>Q173*H173</f>
        <v>0.0089385</v>
      </c>
      <c r="S173" s="183">
        <v>0</v>
      </c>
      <c r="T173" s="184">
        <f>S173*H173</f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5" t="s">
        <v>146</v>
      </c>
      <c r="AT173" s="185" t="s">
        <v>141</v>
      </c>
      <c r="AU173" s="185" t="s">
        <v>87</v>
      </c>
      <c r="AY173" s="83" t="s">
        <v>139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3" t="s">
        <v>85</v>
      </c>
      <c r="BK173" s="186">
        <f>ROUND(I173*H173,2)</f>
        <v>0</v>
      </c>
      <c r="BL173" s="83" t="s">
        <v>146</v>
      </c>
      <c r="BM173" s="185" t="s">
        <v>1231</v>
      </c>
    </row>
    <row r="174" spans="2:51" s="201" customFormat="1" ht="12">
      <c r="B174" s="202"/>
      <c r="D174" s="189" t="s">
        <v>148</v>
      </c>
      <c r="E174" s="203" t="s">
        <v>1</v>
      </c>
      <c r="F174" s="204" t="s">
        <v>207</v>
      </c>
      <c r="H174" s="203" t="s">
        <v>1</v>
      </c>
      <c r="I174" s="235"/>
      <c r="L174" s="202"/>
      <c r="M174" s="205"/>
      <c r="N174" s="206"/>
      <c r="O174" s="206"/>
      <c r="P174" s="206"/>
      <c r="Q174" s="206"/>
      <c r="R174" s="206"/>
      <c r="S174" s="206"/>
      <c r="T174" s="207"/>
      <c r="AT174" s="203" t="s">
        <v>148</v>
      </c>
      <c r="AU174" s="203" t="s">
        <v>87</v>
      </c>
      <c r="AV174" s="201" t="s">
        <v>85</v>
      </c>
      <c r="AW174" s="201" t="s">
        <v>34</v>
      </c>
      <c r="AX174" s="201" t="s">
        <v>78</v>
      </c>
      <c r="AY174" s="203" t="s">
        <v>139</v>
      </c>
    </row>
    <row r="175" spans="2:51" s="187" customFormat="1" ht="12">
      <c r="B175" s="188"/>
      <c r="D175" s="189" t="s">
        <v>148</v>
      </c>
      <c r="E175" s="190" t="s">
        <v>1</v>
      </c>
      <c r="F175" s="191" t="s">
        <v>1232</v>
      </c>
      <c r="H175" s="192">
        <v>15.15</v>
      </c>
      <c r="I175" s="233"/>
      <c r="L175" s="188"/>
      <c r="M175" s="193"/>
      <c r="N175" s="194"/>
      <c r="O175" s="194"/>
      <c r="P175" s="194"/>
      <c r="Q175" s="194"/>
      <c r="R175" s="194"/>
      <c r="S175" s="194"/>
      <c r="T175" s="195"/>
      <c r="AT175" s="190" t="s">
        <v>148</v>
      </c>
      <c r="AU175" s="190" t="s">
        <v>87</v>
      </c>
      <c r="AV175" s="187" t="s">
        <v>87</v>
      </c>
      <c r="AW175" s="187" t="s">
        <v>34</v>
      </c>
      <c r="AX175" s="187" t="s">
        <v>85</v>
      </c>
      <c r="AY175" s="190" t="s">
        <v>139</v>
      </c>
    </row>
    <row r="176" spans="1:65" s="95" customFormat="1" ht="37.9" customHeight="1">
      <c r="A176" s="93"/>
      <c r="B176" s="92"/>
      <c r="C176" s="175" t="s">
        <v>202</v>
      </c>
      <c r="D176" s="175" t="s">
        <v>141</v>
      </c>
      <c r="E176" s="176" t="s">
        <v>874</v>
      </c>
      <c r="F176" s="177" t="s">
        <v>875</v>
      </c>
      <c r="G176" s="178" t="s">
        <v>144</v>
      </c>
      <c r="H176" s="179">
        <v>15.15</v>
      </c>
      <c r="I176" s="69"/>
      <c r="J176" s="180">
        <f>ROUND(I176*H176,2)</f>
        <v>0</v>
      </c>
      <c r="K176" s="177" t="s">
        <v>967</v>
      </c>
      <c r="L176" s="92"/>
      <c r="M176" s="181" t="s">
        <v>1</v>
      </c>
      <c r="N176" s="182" t="s">
        <v>44</v>
      </c>
      <c r="O176" s="183">
        <v>0.106</v>
      </c>
      <c r="P176" s="183">
        <f>O176*H176</f>
        <v>1.6058999999999999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R176" s="185" t="s">
        <v>146</v>
      </c>
      <c r="AT176" s="185" t="s">
        <v>141</v>
      </c>
      <c r="AU176" s="185" t="s">
        <v>87</v>
      </c>
      <c r="AY176" s="83" t="s">
        <v>139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83" t="s">
        <v>85</v>
      </c>
      <c r="BK176" s="186">
        <f>ROUND(I176*H176,2)</f>
        <v>0</v>
      </c>
      <c r="BL176" s="83" t="s">
        <v>146</v>
      </c>
      <c r="BM176" s="185" t="s">
        <v>1233</v>
      </c>
    </row>
    <row r="177" spans="2:51" s="187" customFormat="1" ht="12">
      <c r="B177" s="188"/>
      <c r="D177" s="189" t="s">
        <v>148</v>
      </c>
      <c r="E177" s="190" t="s">
        <v>1</v>
      </c>
      <c r="F177" s="191" t="s">
        <v>1234</v>
      </c>
      <c r="H177" s="192">
        <v>15.15</v>
      </c>
      <c r="I177" s="233"/>
      <c r="L177" s="188"/>
      <c r="M177" s="193"/>
      <c r="N177" s="194"/>
      <c r="O177" s="194"/>
      <c r="P177" s="194"/>
      <c r="Q177" s="194"/>
      <c r="R177" s="194"/>
      <c r="S177" s="194"/>
      <c r="T177" s="195"/>
      <c r="AT177" s="190" t="s">
        <v>148</v>
      </c>
      <c r="AU177" s="190" t="s">
        <v>87</v>
      </c>
      <c r="AV177" s="187" t="s">
        <v>87</v>
      </c>
      <c r="AW177" s="187" t="s">
        <v>34</v>
      </c>
      <c r="AX177" s="187" t="s">
        <v>85</v>
      </c>
      <c r="AY177" s="190" t="s">
        <v>139</v>
      </c>
    </row>
    <row r="178" spans="1:65" s="95" customFormat="1" ht="14.45" customHeight="1">
      <c r="A178" s="93"/>
      <c r="B178" s="92"/>
      <c r="C178" s="175" t="s">
        <v>209</v>
      </c>
      <c r="D178" s="175" t="s">
        <v>141</v>
      </c>
      <c r="E178" s="176" t="s">
        <v>232</v>
      </c>
      <c r="F178" s="177" t="s">
        <v>233</v>
      </c>
      <c r="G178" s="178" t="s">
        <v>194</v>
      </c>
      <c r="H178" s="179">
        <v>1.04</v>
      </c>
      <c r="I178" s="69"/>
      <c r="J178" s="180">
        <f>ROUND(I178*H178,2)</f>
        <v>0</v>
      </c>
      <c r="K178" s="177" t="s">
        <v>1</v>
      </c>
      <c r="L178" s="92"/>
      <c r="M178" s="181" t="s">
        <v>1</v>
      </c>
      <c r="N178" s="182" t="s">
        <v>44</v>
      </c>
      <c r="O178" s="183">
        <v>0.101</v>
      </c>
      <c r="P178" s="183">
        <f>O178*H178</f>
        <v>0.10504000000000001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5" t="s">
        <v>146</v>
      </c>
      <c r="AT178" s="185" t="s">
        <v>141</v>
      </c>
      <c r="AU178" s="185" t="s">
        <v>87</v>
      </c>
      <c r="AY178" s="83" t="s">
        <v>139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83" t="s">
        <v>85</v>
      </c>
      <c r="BK178" s="186">
        <f>ROUND(I178*H178,2)</f>
        <v>0</v>
      </c>
      <c r="BL178" s="83" t="s">
        <v>146</v>
      </c>
      <c r="BM178" s="185" t="s">
        <v>1235</v>
      </c>
    </row>
    <row r="179" spans="2:51" s="201" customFormat="1" ht="12">
      <c r="B179" s="202"/>
      <c r="D179" s="189" t="s">
        <v>148</v>
      </c>
      <c r="E179" s="203" t="s">
        <v>1</v>
      </c>
      <c r="F179" s="204" t="s">
        <v>235</v>
      </c>
      <c r="H179" s="203" t="s">
        <v>1</v>
      </c>
      <c r="I179" s="235"/>
      <c r="L179" s="202"/>
      <c r="M179" s="205"/>
      <c r="N179" s="206"/>
      <c r="O179" s="206"/>
      <c r="P179" s="206"/>
      <c r="Q179" s="206"/>
      <c r="R179" s="206"/>
      <c r="S179" s="206"/>
      <c r="T179" s="207"/>
      <c r="AT179" s="203" t="s">
        <v>148</v>
      </c>
      <c r="AU179" s="203" t="s">
        <v>87</v>
      </c>
      <c r="AV179" s="201" t="s">
        <v>85</v>
      </c>
      <c r="AW179" s="201" t="s">
        <v>34</v>
      </c>
      <c r="AX179" s="201" t="s">
        <v>78</v>
      </c>
      <c r="AY179" s="203" t="s">
        <v>139</v>
      </c>
    </row>
    <row r="180" spans="2:51" s="201" customFormat="1" ht="12">
      <c r="B180" s="202"/>
      <c r="D180" s="189" t="s">
        <v>148</v>
      </c>
      <c r="E180" s="203" t="s">
        <v>1</v>
      </c>
      <c r="F180" s="204" t="s">
        <v>236</v>
      </c>
      <c r="H180" s="203" t="s">
        <v>1</v>
      </c>
      <c r="I180" s="235"/>
      <c r="L180" s="202"/>
      <c r="M180" s="205"/>
      <c r="N180" s="206"/>
      <c r="O180" s="206"/>
      <c r="P180" s="206"/>
      <c r="Q180" s="206"/>
      <c r="R180" s="206"/>
      <c r="S180" s="206"/>
      <c r="T180" s="207"/>
      <c r="AT180" s="203" t="s">
        <v>148</v>
      </c>
      <c r="AU180" s="203" t="s">
        <v>87</v>
      </c>
      <c r="AV180" s="201" t="s">
        <v>85</v>
      </c>
      <c r="AW180" s="201" t="s">
        <v>34</v>
      </c>
      <c r="AX180" s="201" t="s">
        <v>78</v>
      </c>
      <c r="AY180" s="203" t="s">
        <v>139</v>
      </c>
    </row>
    <row r="181" spans="2:51" s="201" customFormat="1" ht="12">
      <c r="B181" s="202"/>
      <c r="D181" s="189" t="s">
        <v>148</v>
      </c>
      <c r="E181" s="203" t="s">
        <v>1</v>
      </c>
      <c r="F181" s="204" t="s">
        <v>237</v>
      </c>
      <c r="H181" s="203" t="s">
        <v>1</v>
      </c>
      <c r="I181" s="235"/>
      <c r="L181" s="202"/>
      <c r="M181" s="205"/>
      <c r="N181" s="206"/>
      <c r="O181" s="206"/>
      <c r="P181" s="206"/>
      <c r="Q181" s="206"/>
      <c r="R181" s="206"/>
      <c r="S181" s="206"/>
      <c r="T181" s="207"/>
      <c r="AT181" s="203" t="s">
        <v>148</v>
      </c>
      <c r="AU181" s="203" t="s">
        <v>87</v>
      </c>
      <c r="AV181" s="201" t="s">
        <v>85</v>
      </c>
      <c r="AW181" s="201" t="s">
        <v>34</v>
      </c>
      <c r="AX181" s="201" t="s">
        <v>78</v>
      </c>
      <c r="AY181" s="203" t="s">
        <v>139</v>
      </c>
    </row>
    <row r="182" spans="2:51" s="187" customFormat="1" ht="22.5">
      <c r="B182" s="188"/>
      <c r="D182" s="189" t="s">
        <v>148</v>
      </c>
      <c r="E182" s="190" t="s">
        <v>1</v>
      </c>
      <c r="F182" s="191" t="s">
        <v>1552</v>
      </c>
      <c r="H182" s="192">
        <v>1.04</v>
      </c>
      <c r="I182" s="233"/>
      <c r="L182" s="188"/>
      <c r="M182" s="193"/>
      <c r="N182" s="194"/>
      <c r="O182" s="194"/>
      <c r="P182" s="194"/>
      <c r="Q182" s="194"/>
      <c r="R182" s="194"/>
      <c r="S182" s="194"/>
      <c r="T182" s="195"/>
      <c r="AT182" s="190" t="s">
        <v>148</v>
      </c>
      <c r="AU182" s="190" t="s">
        <v>87</v>
      </c>
      <c r="AV182" s="187" t="s">
        <v>87</v>
      </c>
      <c r="AW182" s="187" t="s">
        <v>34</v>
      </c>
      <c r="AX182" s="187" t="s">
        <v>78</v>
      </c>
      <c r="AY182" s="190" t="s">
        <v>139</v>
      </c>
    </row>
    <row r="183" spans="2:51" s="208" customFormat="1" ht="12">
      <c r="B183" s="209"/>
      <c r="D183" s="189" t="s">
        <v>148</v>
      </c>
      <c r="E183" s="210" t="s">
        <v>1</v>
      </c>
      <c r="F183" s="211" t="s">
        <v>159</v>
      </c>
      <c r="H183" s="212">
        <v>1.04</v>
      </c>
      <c r="I183" s="236"/>
      <c r="L183" s="209"/>
      <c r="M183" s="213"/>
      <c r="N183" s="214"/>
      <c r="O183" s="214"/>
      <c r="P183" s="214"/>
      <c r="Q183" s="214"/>
      <c r="R183" s="214"/>
      <c r="S183" s="214"/>
      <c r="T183" s="215"/>
      <c r="AT183" s="210" t="s">
        <v>148</v>
      </c>
      <c r="AU183" s="210" t="s">
        <v>87</v>
      </c>
      <c r="AV183" s="208" t="s">
        <v>146</v>
      </c>
      <c r="AW183" s="208" t="s">
        <v>34</v>
      </c>
      <c r="AX183" s="208" t="s">
        <v>85</v>
      </c>
      <c r="AY183" s="210" t="s">
        <v>139</v>
      </c>
    </row>
    <row r="184" spans="1:65" s="95" customFormat="1" ht="24.2" customHeight="1">
      <c r="A184" s="93"/>
      <c r="B184" s="92"/>
      <c r="C184" s="175" t="s">
        <v>215</v>
      </c>
      <c r="D184" s="175" t="s">
        <v>141</v>
      </c>
      <c r="E184" s="176" t="s">
        <v>239</v>
      </c>
      <c r="F184" s="177" t="s">
        <v>240</v>
      </c>
      <c r="G184" s="178" t="s">
        <v>194</v>
      </c>
      <c r="H184" s="179">
        <v>6.26</v>
      </c>
      <c r="I184" s="69"/>
      <c r="J184" s="180">
        <f>ROUND(I184*H184,2)</f>
        <v>0</v>
      </c>
      <c r="K184" s="177" t="s">
        <v>1</v>
      </c>
      <c r="L184" s="92"/>
      <c r="M184" s="181" t="s">
        <v>1</v>
      </c>
      <c r="N184" s="182" t="s">
        <v>44</v>
      </c>
      <c r="O184" s="183">
        <v>0.083</v>
      </c>
      <c r="P184" s="183">
        <f>O184*H184</f>
        <v>0.51958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R184" s="185" t="s">
        <v>146</v>
      </c>
      <c r="AT184" s="185" t="s">
        <v>141</v>
      </c>
      <c r="AU184" s="185" t="s">
        <v>87</v>
      </c>
      <c r="AY184" s="83" t="s">
        <v>139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83" t="s">
        <v>85</v>
      </c>
      <c r="BK184" s="186">
        <f>ROUND(I184*H184,2)</f>
        <v>0</v>
      </c>
      <c r="BL184" s="83" t="s">
        <v>146</v>
      </c>
      <c r="BM184" s="185" t="s">
        <v>1236</v>
      </c>
    </row>
    <row r="185" spans="2:51" s="201" customFormat="1" ht="12">
      <c r="B185" s="202"/>
      <c r="D185" s="189" t="s">
        <v>148</v>
      </c>
      <c r="E185" s="203" t="s">
        <v>1</v>
      </c>
      <c r="F185" s="204" t="s">
        <v>242</v>
      </c>
      <c r="H185" s="203" t="s">
        <v>1</v>
      </c>
      <c r="I185" s="235"/>
      <c r="L185" s="202"/>
      <c r="M185" s="205"/>
      <c r="N185" s="206"/>
      <c r="O185" s="206"/>
      <c r="P185" s="206"/>
      <c r="Q185" s="206"/>
      <c r="R185" s="206"/>
      <c r="S185" s="206"/>
      <c r="T185" s="207"/>
      <c r="AT185" s="203" t="s">
        <v>148</v>
      </c>
      <c r="AU185" s="203" t="s">
        <v>87</v>
      </c>
      <c r="AV185" s="201" t="s">
        <v>85</v>
      </c>
      <c r="AW185" s="201" t="s">
        <v>34</v>
      </c>
      <c r="AX185" s="201" t="s">
        <v>78</v>
      </c>
      <c r="AY185" s="203" t="s">
        <v>139</v>
      </c>
    </row>
    <row r="186" spans="2:51" s="201" customFormat="1" ht="12">
      <c r="B186" s="202"/>
      <c r="D186" s="189" t="s">
        <v>148</v>
      </c>
      <c r="E186" s="203" t="s">
        <v>1</v>
      </c>
      <c r="F186" s="204" t="s">
        <v>243</v>
      </c>
      <c r="H186" s="203" t="s">
        <v>1</v>
      </c>
      <c r="I186" s="235"/>
      <c r="L186" s="202"/>
      <c r="M186" s="205"/>
      <c r="N186" s="206"/>
      <c r="O186" s="206"/>
      <c r="P186" s="206"/>
      <c r="Q186" s="206"/>
      <c r="R186" s="206"/>
      <c r="S186" s="206"/>
      <c r="T186" s="207"/>
      <c r="AT186" s="203" t="s">
        <v>148</v>
      </c>
      <c r="AU186" s="203" t="s">
        <v>87</v>
      </c>
      <c r="AV186" s="201" t="s">
        <v>85</v>
      </c>
      <c r="AW186" s="201" t="s">
        <v>34</v>
      </c>
      <c r="AX186" s="201" t="s">
        <v>78</v>
      </c>
      <c r="AY186" s="203" t="s">
        <v>139</v>
      </c>
    </row>
    <row r="187" spans="2:51" s="187" customFormat="1" ht="12">
      <c r="B187" s="188"/>
      <c r="D187" s="189" t="s">
        <v>148</v>
      </c>
      <c r="E187" s="190" t="s">
        <v>1</v>
      </c>
      <c r="F187" s="191" t="s">
        <v>1237</v>
      </c>
      <c r="H187" s="192">
        <v>6.26</v>
      </c>
      <c r="I187" s="233"/>
      <c r="L187" s="188"/>
      <c r="M187" s="193"/>
      <c r="N187" s="194"/>
      <c r="O187" s="194"/>
      <c r="P187" s="194"/>
      <c r="Q187" s="194"/>
      <c r="R187" s="194"/>
      <c r="S187" s="194"/>
      <c r="T187" s="195"/>
      <c r="AT187" s="190" t="s">
        <v>148</v>
      </c>
      <c r="AU187" s="190" t="s">
        <v>87</v>
      </c>
      <c r="AV187" s="187" t="s">
        <v>87</v>
      </c>
      <c r="AW187" s="187" t="s">
        <v>34</v>
      </c>
      <c r="AX187" s="187" t="s">
        <v>85</v>
      </c>
      <c r="AY187" s="190" t="s">
        <v>139</v>
      </c>
    </row>
    <row r="188" spans="1:65" s="95" customFormat="1" ht="37.9" customHeight="1">
      <c r="A188" s="93"/>
      <c r="B188" s="92"/>
      <c r="C188" s="175" t="s">
        <v>220</v>
      </c>
      <c r="D188" s="175" t="s">
        <v>141</v>
      </c>
      <c r="E188" s="176" t="s">
        <v>246</v>
      </c>
      <c r="F188" s="177" t="s">
        <v>1029</v>
      </c>
      <c r="G188" s="178" t="s">
        <v>194</v>
      </c>
      <c r="H188" s="179">
        <f>H197</f>
        <v>1.4201092968</v>
      </c>
      <c r="I188" s="69"/>
      <c r="J188" s="180">
        <f>ROUND(I188*H188,2)</f>
        <v>0</v>
      </c>
      <c r="K188" s="177" t="s">
        <v>967</v>
      </c>
      <c r="L188" s="92"/>
      <c r="M188" s="181" t="s">
        <v>1</v>
      </c>
      <c r="N188" s="182" t="s">
        <v>44</v>
      </c>
      <c r="O188" s="183">
        <v>0.093</v>
      </c>
      <c r="P188" s="183">
        <f>O188*H188</f>
        <v>0.1320701646024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R188" s="185" t="s">
        <v>146</v>
      </c>
      <c r="AT188" s="185" t="s">
        <v>141</v>
      </c>
      <c r="AU188" s="185" t="s">
        <v>87</v>
      </c>
      <c r="AY188" s="83" t="s">
        <v>139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83" t="s">
        <v>85</v>
      </c>
      <c r="BK188" s="186">
        <f>ROUND(I188*H188,2)</f>
        <v>0</v>
      </c>
      <c r="BL188" s="83" t="s">
        <v>146</v>
      </c>
      <c r="BM188" s="185" t="s">
        <v>1238</v>
      </c>
    </row>
    <row r="189" spans="2:51" s="201" customFormat="1" ht="12">
      <c r="B189" s="202"/>
      <c r="D189" s="189" t="s">
        <v>148</v>
      </c>
      <c r="E189" s="203" t="s">
        <v>1</v>
      </c>
      <c r="F189" s="204" t="s">
        <v>307</v>
      </c>
      <c r="H189" s="203" t="s">
        <v>1</v>
      </c>
      <c r="I189" s="235"/>
      <c r="L189" s="202"/>
      <c r="M189" s="205"/>
      <c r="N189" s="206"/>
      <c r="O189" s="206"/>
      <c r="P189" s="206"/>
      <c r="Q189" s="206"/>
      <c r="R189" s="206"/>
      <c r="S189" s="206"/>
      <c r="T189" s="207"/>
      <c r="AT189" s="203" t="s">
        <v>148</v>
      </c>
      <c r="AU189" s="203" t="s">
        <v>87</v>
      </c>
      <c r="AV189" s="201" t="s">
        <v>85</v>
      </c>
      <c r="AW189" s="201" t="s">
        <v>34</v>
      </c>
      <c r="AX189" s="201" t="s">
        <v>78</v>
      </c>
      <c r="AY189" s="203" t="s">
        <v>139</v>
      </c>
    </row>
    <row r="190" spans="2:51" s="201" customFormat="1" ht="12">
      <c r="B190" s="202"/>
      <c r="D190" s="189" t="s">
        <v>148</v>
      </c>
      <c r="E190" s="203" t="s">
        <v>1</v>
      </c>
      <c r="F190" s="204" t="s">
        <v>207</v>
      </c>
      <c r="H190" s="203" t="s">
        <v>1</v>
      </c>
      <c r="I190" s="235"/>
      <c r="L190" s="202"/>
      <c r="M190" s="205"/>
      <c r="N190" s="206"/>
      <c r="O190" s="206"/>
      <c r="P190" s="206"/>
      <c r="Q190" s="206"/>
      <c r="R190" s="206"/>
      <c r="S190" s="206"/>
      <c r="T190" s="207"/>
      <c r="AT190" s="203" t="s">
        <v>148</v>
      </c>
      <c r="AU190" s="203" t="s">
        <v>87</v>
      </c>
      <c r="AV190" s="201" t="s">
        <v>85</v>
      </c>
      <c r="AW190" s="201" t="s">
        <v>34</v>
      </c>
      <c r="AX190" s="201" t="s">
        <v>78</v>
      </c>
      <c r="AY190" s="203" t="s">
        <v>139</v>
      </c>
    </row>
    <row r="191" spans="2:51" s="201" customFormat="1" ht="12">
      <c r="B191" s="202"/>
      <c r="C191" s="187"/>
      <c r="D191" s="189" t="s">
        <v>148</v>
      </c>
      <c r="E191" s="190" t="s">
        <v>1</v>
      </c>
      <c r="F191" s="191" t="s">
        <v>1514</v>
      </c>
      <c r="G191" s="187"/>
      <c r="H191" s="192">
        <f>H170</f>
        <v>6.26</v>
      </c>
      <c r="I191" s="235"/>
      <c r="L191" s="202"/>
      <c r="M191" s="205"/>
      <c r="N191" s="206"/>
      <c r="O191" s="206"/>
      <c r="P191" s="206"/>
      <c r="Q191" s="206"/>
      <c r="R191" s="206"/>
      <c r="S191" s="206"/>
      <c r="T191" s="207"/>
      <c r="AT191" s="203"/>
      <c r="AU191" s="203"/>
      <c r="AY191" s="203"/>
    </row>
    <row r="192" spans="2:51" s="201" customFormat="1" ht="12">
      <c r="B192" s="202"/>
      <c r="C192" s="187"/>
      <c r="D192" s="189" t="s">
        <v>148</v>
      </c>
      <c r="E192" s="190" t="s">
        <v>1</v>
      </c>
      <c r="F192" s="191" t="s">
        <v>1537</v>
      </c>
      <c r="G192" s="187"/>
      <c r="H192" s="192">
        <f>-H216</f>
        <v>-0.066</v>
      </c>
      <c r="I192" s="235"/>
      <c r="L192" s="188"/>
      <c r="M192" s="205"/>
      <c r="N192" s="206"/>
      <c r="O192" s="206"/>
      <c r="P192" s="206"/>
      <c r="Q192" s="206"/>
      <c r="R192" s="206"/>
      <c r="S192" s="206"/>
      <c r="T192" s="207"/>
      <c r="AT192" s="203"/>
      <c r="AU192" s="203"/>
      <c r="AY192" s="203"/>
    </row>
    <row r="193" spans="2:51" s="201" customFormat="1" ht="12">
      <c r="B193" s="202"/>
      <c r="C193" s="187"/>
      <c r="D193" s="189" t="s">
        <v>148</v>
      </c>
      <c r="E193" s="190"/>
      <c r="F193" s="191" t="s">
        <v>1538</v>
      </c>
      <c r="G193" s="187"/>
      <c r="H193" s="192">
        <f>-H220</f>
        <v>-0.67</v>
      </c>
      <c r="I193" s="235"/>
      <c r="L193" s="188"/>
      <c r="M193" s="205"/>
      <c r="N193" s="206"/>
      <c r="O193" s="206"/>
      <c r="P193" s="206"/>
      <c r="Q193" s="206"/>
      <c r="R193" s="206"/>
      <c r="S193" s="206"/>
      <c r="T193" s="207"/>
      <c r="AT193" s="203"/>
      <c r="AU193" s="203"/>
      <c r="AY193" s="203"/>
    </row>
    <row r="194" spans="2:51" s="201" customFormat="1" ht="12">
      <c r="B194" s="202"/>
      <c r="C194" s="187"/>
      <c r="D194" s="189" t="s">
        <v>148</v>
      </c>
      <c r="E194" s="190"/>
      <c r="F194" s="191" t="s">
        <v>1539</v>
      </c>
      <c r="G194" s="187"/>
      <c r="H194" s="192">
        <f>-H224</f>
        <v>-0.191</v>
      </c>
      <c r="I194" s="235"/>
      <c r="L194" s="188"/>
      <c r="M194" s="205"/>
      <c r="N194" s="206"/>
      <c r="O194" s="206"/>
      <c r="P194" s="206"/>
      <c r="Q194" s="206"/>
      <c r="R194" s="206"/>
      <c r="S194" s="206"/>
      <c r="T194" s="207"/>
      <c r="AT194" s="203"/>
      <c r="AU194" s="203"/>
      <c r="AY194" s="203"/>
    </row>
    <row r="195" spans="2:51" s="187" customFormat="1" ht="12">
      <c r="B195" s="188"/>
      <c r="D195" s="189" t="s">
        <v>148</v>
      </c>
      <c r="E195" s="190" t="s">
        <v>1</v>
      </c>
      <c r="F195" s="191" t="s">
        <v>1541</v>
      </c>
      <c r="H195" s="192">
        <f>-H203</f>
        <v>-3.309</v>
      </c>
      <c r="I195" s="233"/>
      <c r="L195" s="188"/>
      <c r="M195" s="193"/>
      <c r="N195" s="194"/>
      <c r="O195" s="194"/>
      <c r="P195" s="194"/>
      <c r="Q195" s="194"/>
      <c r="R195" s="194"/>
      <c r="S195" s="194"/>
      <c r="T195" s="195"/>
      <c r="AT195" s="190" t="s">
        <v>148</v>
      </c>
      <c r="AU195" s="190" t="s">
        <v>87</v>
      </c>
      <c r="AV195" s="187" t="s">
        <v>87</v>
      </c>
      <c r="AW195" s="187" t="s">
        <v>34</v>
      </c>
      <c r="AX195" s="187" t="s">
        <v>78</v>
      </c>
      <c r="AY195" s="190" t="s">
        <v>139</v>
      </c>
    </row>
    <row r="196" spans="2:51" s="187" customFormat="1" ht="12">
      <c r="B196" s="188"/>
      <c r="D196" s="189" t="s">
        <v>148</v>
      </c>
      <c r="E196" s="190" t="s">
        <v>1</v>
      </c>
      <c r="F196" s="191" t="s">
        <v>1542</v>
      </c>
      <c r="H196" s="192">
        <f>-6.07*3.14*0.178*0.178</f>
        <v>-0.6038907032</v>
      </c>
      <c r="I196" s="233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0" t="s">
        <v>148</v>
      </c>
      <c r="AU196" s="190" t="s">
        <v>87</v>
      </c>
      <c r="AV196" s="187" t="s">
        <v>87</v>
      </c>
      <c r="AW196" s="187" t="s">
        <v>34</v>
      </c>
      <c r="AX196" s="187" t="s">
        <v>78</v>
      </c>
      <c r="AY196" s="190" t="s">
        <v>139</v>
      </c>
    </row>
    <row r="197" spans="2:51" s="208" customFormat="1" ht="12">
      <c r="B197" s="209"/>
      <c r="D197" s="189" t="s">
        <v>148</v>
      </c>
      <c r="E197" s="210" t="s">
        <v>1</v>
      </c>
      <c r="F197" s="211" t="s">
        <v>159</v>
      </c>
      <c r="H197" s="212">
        <f>SUM(H191:H196)</f>
        <v>1.4201092968</v>
      </c>
      <c r="I197" s="236"/>
      <c r="L197" s="209"/>
      <c r="M197" s="213"/>
      <c r="N197" s="214"/>
      <c r="O197" s="214"/>
      <c r="P197" s="214"/>
      <c r="Q197" s="214"/>
      <c r="R197" s="214"/>
      <c r="S197" s="214"/>
      <c r="T197" s="215"/>
      <c r="AT197" s="210" t="s">
        <v>148</v>
      </c>
      <c r="AU197" s="210" t="s">
        <v>87</v>
      </c>
      <c r="AV197" s="208" t="s">
        <v>146</v>
      </c>
      <c r="AW197" s="208" t="s">
        <v>34</v>
      </c>
      <c r="AX197" s="208" t="s">
        <v>85</v>
      </c>
      <c r="AY197" s="210" t="s">
        <v>139</v>
      </c>
    </row>
    <row r="198" spans="1:65" s="95" customFormat="1" ht="37.9" customHeight="1">
      <c r="A198" s="93"/>
      <c r="B198" s="92"/>
      <c r="C198" s="217" t="s">
        <v>8</v>
      </c>
      <c r="D198" s="217" t="s">
        <v>251</v>
      </c>
      <c r="E198" s="218" t="s">
        <v>252</v>
      </c>
      <c r="F198" s="219" t="s">
        <v>253</v>
      </c>
      <c r="G198" s="220" t="s">
        <v>254</v>
      </c>
      <c r="H198" s="221">
        <f>H202</f>
        <v>0.762</v>
      </c>
      <c r="I198" s="70"/>
      <c r="J198" s="222">
        <f>ROUND(I198*H198,2)</f>
        <v>0</v>
      </c>
      <c r="K198" s="219" t="s">
        <v>1</v>
      </c>
      <c r="L198" s="223"/>
      <c r="M198" s="224" t="s">
        <v>1</v>
      </c>
      <c r="N198" s="225" t="s">
        <v>44</v>
      </c>
      <c r="O198" s="183">
        <v>0</v>
      </c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R198" s="185" t="s">
        <v>187</v>
      </c>
      <c r="AT198" s="185" t="s">
        <v>251</v>
      </c>
      <c r="AU198" s="185" t="s">
        <v>87</v>
      </c>
      <c r="AY198" s="83" t="s">
        <v>139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83" t="s">
        <v>85</v>
      </c>
      <c r="BK198" s="186">
        <f>ROUND(I198*H198,2)</f>
        <v>0</v>
      </c>
      <c r="BL198" s="83" t="s">
        <v>146</v>
      </c>
      <c r="BM198" s="185" t="s">
        <v>1239</v>
      </c>
    </row>
    <row r="199" spans="2:51" s="187" customFormat="1" ht="12">
      <c r="B199" s="188"/>
      <c r="D199" s="189" t="s">
        <v>148</v>
      </c>
      <c r="E199" s="190" t="s">
        <v>1</v>
      </c>
      <c r="F199" s="226" t="s">
        <v>1516</v>
      </c>
      <c r="H199" s="192">
        <f>H188</f>
        <v>1.4201092968</v>
      </c>
      <c r="I199" s="233"/>
      <c r="L199" s="188"/>
      <c r="M199" s="193"/>
      <c r="N199" s="194"/>
      <c r="O199" s="194"/>
      <c r="P199" s="194"/>
      <c r="Q199" s="194"/>
      <c r="R199" s="194"/>
      <c r="S199" s="194"/>
      <c r="T199" s="195"/>
      <c r="AT199" s="190" t="s">
        <v>148</v>
      </c>
      <c r="AU199" s="190" t="s">
        <v>87</v>
      </c>
      <c r="AV199" s="187" t="s">
        <v>87</v>
      </c>
      <c r="AW199" s="187" t="s">
        <v>34</v>
      </c>
      <c r="AX199" s="187" t="s">
        <v>78</v>
      </c>
      <c r="AY199" s="190" t="s">
        <v>139</v>
      </c>
    </row>
    <row r="200" spans="2:51" s="187" customFormat="1" ht="22.5">
      <c r="B200" s="188"/>
      <c r="D200" s="189" t="s">
        <v>148</v>
      </c>
      <c r="E200" s="190" t="s">
        <v>1</v>
      </c>
      <c r="F200" s="226" t="s">
        <v>1550</v>
      </c>
      <c r="H200" s="192">
        <f>-3.465*0.3</f>
        <v>-1.0394999999999999</v>
      </c>
      <c r="I200" s="233"/>
      <c r="L200" s="188"/>
      <c r="M200" s="193"/>
      <c r="N200" s="194"/>
      <c r="O200" s="194"/>
      <c r="P200" s="194"/>
      <c r="Q200" s="194"/>
      <c r="R200" s="194"/>
      <c r="S200" s="194"/>
      <c r="T200" s="195"/>
      <c r="AT200" s="190" t="s">
        <v>148</v>
      </c>
      <c r="AU200" s="190" t="s">
        <v>87</v>
      </c>
      <c r="AV200" s="187" t="s">
        <v>87</v>
      </c>
      <c r="AW200" s="187" t="s">
        <v>34</v>
      </c>
      <c r="AX200" s="187" t="s">
        <v>78</v>
      </c>
      <c r="AY200" s="190" t="s">
        <v>139</v>
      </c>
    </row>
    <row r="201" spans="2:51" s="208" customFormat="1" ht="12">
      <c r="B201" s="209"/>
      <c r="D201" s="189" t="s">
        <v>148</v>
      </c>
      <c r="E201" s="210" t="s">
        <v>1</v>
      </c>
      <c r="F201" s="227" t="s">
        <v>159</v>
      </c>
      <c r="H201" s="212">
        <f>SUM(H199:H200)</f>
        <v>0.3806092968000001</v>
      </c>
      <c r="I201" s="236"/>
      <c r="L201" s="209"/>
      <c r="M201" s="213"/>
      <c r="N201" s="214"/>
      <c r="O201" s="214"/>
      <c r="P201" s="214"/>
      <c r="Q201" s="214"/>
      <c r="R201" s="214"/>
      <c r="S201" s="214"/>
      <c r="T201" s="215"/>
      <c r="AT201" s="210" t="s">
        <v>148</v>
      </c>
      <c r="AU201" s="210" t="s">
        <v>87</v>
      </c>
      <c r="AV201" s="208" t="s">
        <v>146</v>
      </c>
      <c r="AW201" s="208" t="s">
        <v>34</v>
      </c>
      <c r="AX201" s="208" t="s">
        <v>85</v>
      </c>
      <c r="AY201" s="210" t="s">
        <v>139</v>
      </c>
    </row>
    <row r="202" spans="2:51" s="187" customFormat="1" ht="12">
      <c r="B202" s="188"/>
      <c r="D202" s="189" t="s">
        <v>148</v>
      </c>
      <c r="E202" s="190" t="s">
        <v>1</v>
      </c>
      <c r="F202" s="226" t="s">
        <v>1551</v>
      </c>
      <c r="H202" s="192">
        <f>0.381*2</f>
        <v>0.762</v>
      </c>
      <c r="I202" s="233"/>
      <c r="L202" s="188"/>
      <c r="M202" s="193"/>
      <c r="N202" s="194"/>
      <c r="O202" s="194"/>
      <c r="P202" s="194"/>
      <c r="Q202" s="194"/>
      <c r="R202" s="194"/>
      <c r="S202" s="194"/>
      <c r="T202" s="195"/>
      <c r="AT202" s="190" t="s">
        <v>148</v>
      </c>
      <c r="AU202" s="190" t="s">
        <v>87</v>
      </c>
      <c r="AV202" s="187" t="s">
        <v>87</v>
      </c>
      <c r="AW202" s="187" t="s">
        <v>34</v>
      </c>
      <c r="AX202" s="187" t="s">
        <v>85</v>
      </c>
      <c r="AY202" s="190" t="s">
        <v>139</v>
      </c>
    </row>
    <row r="203" spans="1:65" s="95" customFormat="1" ht="62.65" customHeight="1">
      <c r="A203" s="93"/>
      <c r="B203" s="92"/>
      <c r="C203" s="175" t="s">
        <v>231</v>
      </c>
      <c r="D203" s="175" t="s">
        <v>141</v>
      </c>
      <c r="E203" s="176" t="s">
        <v>258</v>
      </c>
      <c r="F203" s="177" t="s">
        <v>1032</v>
      </c>
      <c r="G203" s="178" t="s">
        <v>194</v>
      </c>
      <c r="H203" s="179">
        <v>3.309</v>
      </c>
      <c r="I203" s="69"/>
      <c r="J203" s="180">
        <f>ROUND(I203*H203,2)</f>
        <v>0</v>
      </c>
      <c r="K203" s="177" t="s">
        <v>967</v>
      </c>
      <c r="L203" s="92"/>
      <c r="M203" s="181" t="s">
        <v>1</v>
      </c>
      <c r="N203" s="182" t="s">
        <v>44</v>
      </c>
      <c r="O203" s="183">
        <v>0.435</v>
      </c>
      <c r="P203" s="183">
        <f>O203*H203</f>
        <v>1.4394150000000001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R203" s="185" t="s">
        <v>146</v>
      </c>
      <c r="AT203" s="185" t="s">
        <v>141</v>
      </c>
      <c r="AU203" s="185" t="s">
        <v>87</v>
      </c>
      <c r="AY203" s="83" t="s">
        <v>139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83" t="s">
        <v>85</v>
      </c>
      <c r="BK203" s="186">
        <f>ROUND(I203*H203,2)</f>
        <v>0</v>
      </c>
      <c r="BL203" s="83" t="s">
        <v>146</v>
      </c>
      <c r="BM203" s="185" t="s">
        <v>1240</v>
      </c>
    </row>
    <row r="204" spans="2:51" s="201" customFormat="1" ht="12">
      <c r="B204" s="202"/>
      <c r="D204" s="189" t="s">
        <v>148</v>
      </c>
      <c r="E204" s="203" t="s">
        <v>1</v>
      </c>
      <c r="F204" s="204" t="s">
        <v>307</v>
      </c>
      <c r="H204" s="203" t="s">
        <v>1</v>
      </c>
      <c r="I204" s="235"/>
      <c r="L204" s="202"/>
      <c r="M204" s="205"/>
      <c r="N204" s="206"/>
      <c r="O204" s="206"/>
      <c r="P204" s="206"/>
      <c r="Q204" s="206"/>
      <c r="R204" s="206"/>
      <c r="S204" s="206"/>
      <c r="T204" s="207"/>
      <c r="AT204" s="203" t="s">
        <v>148</v>
      </c>
      <c r="AU204" s="203" t="s">
        <v>87</v>
      </c>
      <c r="AV204" s="201" t="s">
        <v>85</v>
      </c>
      <c r="AW204" s="201" t="s">
        <v>34</v>
      </c>
      <c r="AX204" s="201" t="s">
        <v>78</v>
      </c>
      <c r="AY204" s="203" t="s">
        <v>139</v>
      </c>
    </row>
    <row r="205" spans="2:51" s="201" customFormat="1" ht="12">
      <c r="B205" s="202"/>
      <c r="D205" s="189" t="s">
        <v>148</v>
      </c>
      <c r="E205" s="203" t="s">
        <v>1</v>
      </c>
      <c r="F205" s="204" t="s">
        <v>207</v>
      </c>
      <c r="H205" s="203" t="s">
        <v>1</v>
      </c>
      <c r="I205" s="235"/>
      <c r="L205" s="202"/>
      <c r="M205" s="205"/>
      <c r="N205" s="206"/>
      <c r="O205" s="206"/>
      <c r="P205" s="206"/>
      <c r="Q205" s="206"/>
      <c r="R205" s="206"/>
      <c r="S205" s="206"/>
      <c r="T205" s="207"/>
      <c r="AT205" s="203" t="s">
        <v>148</v>
      </c>
      <c r="AU205" s="203" t="s">
        <v>87</v>
      </c>
      <c r="AV205" s="201" t="s">
        <v>85</v>
      </c>
      <c r="AW205" s="201" t="s">
        <v>34</v>
      </c>
      <c r="AX205" s="201" t="s">
        <v>78</v>
      </c>
      <c r="AY205" s="203" t="s">
        <v>139</v>
      </c>
    </row>
    <row r="206" spans="2:51" s="187" customFormat="1" ht="12">
      <c r="B206" s="188"/>
      <c r="D206" s="189" t="s">
        <v>148</v>
      </c>
      <c r="E206" s="190" t="s">
        <v>1</v>
      </c>
      <c r="F206" s="191" t="s">
        <v>1241</v>
      </c>
      <c r="H206" s="192">
        <v>3.5</v>
      </c>
      <c r="I206" s="233"/>
      <c r="L206" s="188"/>
      <c r="M206" s="193"/>
      <c r="N206" s="194"/>
      <c r="O206" s="194"/>
      <c r="P206" s="194"/>
      <c r="Q206" s="194"/>
      <c r="R206" s="194"/>
      <c r="S206" s="194"/>
      <c r="T206" s="195"/>
      <c r="AT206" s="190" t="s">
        <v>148</v>
      </c>
      <c r="AU206" s="190" t="s">
        <v>87</v>
      </c>
      <c r="AV206" s="187" t="s">
        <v>87</v>
      </c>
      <c r="AW206" s="187" t="s">
        <v>34</v>
      </c>
      <c r="AX206" s="187" t="s">
        <v>78</v>
      </c>
      <c r="AY206" s="190" t="s">
        <v>139</v>
      </c>
    </row>
    <row r="207" spans="2:51" s="187" customFormat="1" ht="12">
      <c r="B207" s="188"/>
      <c r="D207" s="189" t="s">
        <v>148</v>
      </c>
      <c r="E207" s="190" t="s">
        <v>1</v>
      </c>
      <c r="F207" s="191" t="s">
        <v>1242</v>
      </c>
      <c r="H207" s="192">
        <v>-0.191</v>
      </c>
      <c r="I207" s="233"/>
      <c r="L207" s="188"/>
      <c r="M207" s="193"/>
      <c r="N207" s="194"/>
      <c r="O207" s="194"/>
      <c r="P207" s="194"/>
      <c r="Q207" s="194"/>
      <c r="R207" s="194"/>
      <c r="S207" s="194"/>
      <c r="T207" s="195"/>
      <c r="AT207" s="190" t="s">
        <v>148</v>
      </c>
      <c r="AU207" s="190" t="s">
        <v>87</v>
      </c>
      <c r="AV207" s="187" t="s">
        <v>87</v>
      </c>
      <c r="AW207" s="187" t="s">
        <v>34</v>
      </c>
      <c r="AX207" s="187" t="s">
        <v>78</v>
      </c>
      <c r="AY207" s="190" t="s">
        <v>139</v>
      </c>
    </row>
    <row r="208" spans="2:51" s="208" customFormat="1" ht="12">
      <c r="B208" s="209"/>
      <c r="D208" s="189" t="s">
        <v>148</v>
      </c>
      <c r="E208" s="210" t="s">
        <v>1</v>
      </c>
      <c r="F208" s="211" t="s">
        <v>159</v>
      </c>
      <c r="H208" s="212">
        <v>3.309</v>
      </c>
      <c r="I208" s="236"/>
      <c r="L208" s="209"/>
      <c r="M208" s="213"/>
      <c r="N208" s="214"/>
      <c r="O208" s="214"/>
      <c r="P208" s="214"/>
      <c r="Q208" s="214"/>
      <c r="R208" s="214"/>
      <c r="S208" s="214"/>
      <c r="T208" s="215"/>
      <c r="AT208" s="210" t="s">
        <v>148</v>
      </c>
      <c r="AU208" s="210" t="s">
        <v>87</v>
      </c>
      <c r="AV208" s="208" t="s">
        <v>146</v>
      </c>
      <c r="AW208" s="208" t="s">
        <v>34</v>
      </c>
      <c r="AX208" s="208" t="s">
        <v>85</v>
      </c>
      <c r="AY208" s="210" t="s">
        <v>139</v>
      </c>
    </row>
    <row r="209" spans="1:65" s="95" customFormat="1" ht="14.45" customHeight="1">
      <c r="A209" s="93"/>
      <c r="B209" s="92"/>
      <c r="C209" s="217" t="s">
        <v>238</v>
      </c>
      <c r="D209" s="217" t="s">
        <v>251</v>
      </c>
      <c r="E209" s="218" t="s">
        <v>262</v>
      </c>
      <c r="F209" s="219" t="s">
        <v>263</v>
      </c>
      <c r="G209" s="220" t="s">
        <v>254</v>
      </c>
      <c r="H209" s="221">
        <v>6.618</v>
      </c>
      <c r="I209" s="70"/>
      <c r="J209" s="222">
        <f>ROUND(I209*H209,2)</f>
        <v>0</v>
      </c>
      <c r="K209" s="219" t="s">
        <v>967</v>
      </c>
      <c r="L209" s="223"/>
      <c r="M209" s="224" t="s">
        <v>1</v>
      </c>
      <c r="N209" s="225" t="s">
        <v>44</v>
      </c>
      <c r="O209" s="183">
        <v>0</v>
      </c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R209" s="185" t="s">
        <v>187</v>
      </c>
      <c r="AT209" s="185" t="s">
        <v>251</v>
      </c>
      <c r="AU209" s="185" t="s">
        <v>87</v>
      </c>
      <c r="AY209" s="83" t="s">
        <v>139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83" t="s">
        <v>85</v>
      </c>
      <c r="BK209" s="186">
        <f>ROUND(I209*H209,2)</f>
        <v>0</v>
      </c>
      <c r="BL209" s="83" t="s">
        <v>146</v>
      </c>
      <c r="BM209" s="185" t="s">
        <v>1243</v>
      </c>
    </row>
    <row r="210" spans="1:47" s="95" customFormat="1" ht="19.5">
      <c r="A210" s="93"/>
      <c r="B210" s="92"/>
      <c r="C210" s="93"/>
      <c r="D210" s="189" t="s">
        <v>153</v>
      </c>
      <c r="E210" s="93"/>
      <c r="F210" s="196" t="s">
        <v>256</v>
      </c>
      <c r="G210" s="93"/>
      <c r="H210" s="93"/>
      <c r="I210" s="234"/>
      <c r="J210" s="93"/>
      <c r="K210" s="93"/>
      <c r="L210" s="92"/>
      <c r="M210" s="197"/>
      <c r="N210" s="198"/>
      <c r="O210" s="199"/>
      <c r="P210" s="199"/>
      <c r="Q210" s="199"/>
      <c r="R210" s="199"/>
      <c r="S210" s="199"/>
      <c r="T210" s="200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T210" s="83" t="s">
        <v>153</v>
      </c>
      <c r="AU210" s="83" t="s">
        <v>87</v>
      </c>
    </row>
    <row r="211" spans="2:51" s="187" customFormat="1" ht="12">
      <c r="B211" s="188"/>
      <c r="D211" s="189" t="s">
        <v>148</v>
      </c>
      <c r="F211" s="191" t="s">
        <v>1244</v>
      </c>
      <c r="H211" s="192">
        <v>6.618</v>
      </c>
      <c r="I211" s="233"/>
      <c r="L211" s="188"/>
      <c r="M211" s="193"/>
      <c r="N211" s="194"/>
      <c r="O211" s="194"/>
      <c r="P211" s="194"/>
      <c r="Q211" s="194"/>
      <c r="R211" s="194"/>
      <c r="S211" s="194"/>
      <c r="T211" s="195"/>
      <c r="AT211" s="190" t="s">
        <v>148</v>
      </c>
      <c r="AU211" s="190" t="s">
        <v>87</v>
      </c>
      <c r="AV211" s="187" t="s">
        <v>87</v>
      </c>
      <c r="AW211" s="187" t="s">
        <v>3</v>
      </c>
      <c r="AX211" s="187" t="s">
        <v>85</v>
      </c>
      <c r="AY211" s="190" t="s">
        <v>139</v>
      </c>
    </row>
    <row r="212" spans="2:63" s="162" customFormat="1" ht="22.9" customHeight="1">
      <c r="B212" s="163"/>
      <c r="D212" s="164" t="s">
        <v>77</v>
      </c>
      <c r="E212" s="173" t="s">
        <v>160</v>
      </c>
      <c r="F212" s="173" t="s">
        <v>1039</v>
      </c>
      <c r="I212" s="237"/>
      <c r="J212" s="174">
        <f>SUM(J213:J214)</f>
        <v>0</v>
      </c>
      <c r="L212" s="163"/>
      <c r="M212" s="167"/>
      <c r="N212" s="168"/>
      <c r="O212" s="168"/>
      <c r="P212" s="169">
        <f>SUM(P213:P214)</f>
        <v>0.93478</v>
      </c>
      <c r="Q212" s="168"/>
      <c r="R212" s="169">
        <f>SUM(R213:R214)</f>
        <v>0</v>
      </c>
      <c r="S212" s="168"/>
      <c r="T212" s="170">
        <f>SUM(T213:T214)</f>
        <v>0</v>
      </c>
      <c r="AR212" s="164" t="s">
        <v>85</v>
      </c>
      <c r="AT212" s="171" t="s">
        <v>77</v>
      </c>
      <c r="AU212" s="171" t="s">
        <v>85</v>
      </c>
      <c r="AY212" s="164" t="s">
        <v>139</v>
      </c>
      <c r="BK212" s="172">
        <f>SUM(BK213:BK214)</f>
        <v>0</v>
      </c>
    </row>
    <row r="213" spans="1:65" s="95" customFormat="1" ht="14.45" customHeight="1">
      <c r="A213" s="93"/>
      <c r="B213" s="92"/>
      <c r="C213" s="175" t="s">
        <v>245</v>
      </c>
      <c r="D213" s="175" t="s">
        <v>141</v>
      </c>
      <c r="E213" s="176" t="s">
        <v>1045</v>
      </c>
      <c r="F213" s="177" t="s">
        <v>1046</v>
      </c>
      <c r="G213" s="178" t="s">
        <v>171</v>
      </c>
      <c r="H213" s="179">
        <v>6.07</v>
      </c>
      <c r="I213" s="69"/>
      <c r="J213" s="180">
        <f>ROUND(I213*H213,2)</f>
        <v>0</v>
      </c>
      <c r="K213" s="177" t="s">
        <v>1</v>
      </c>
      <c r="L213" s="92"/>
      <c r="M213" s="181" t="s">
        <v>1</v>
      </c>
      <c r="N213" s="182" t="s">
        <v>44</v>
      </c>
      <c r="O213" s="183">
        <v>0.069</v>
      </c>
      <c r="P213" s="183">
        <f>O213*H213</f>
        <v>0.41883000000000004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R213" s="185" t="s">
        <v>146</v>
      </c>
      <c r="AT213" s="185" t="s">
        <v>141</v>
      </c>
      <c r="AU213" s="185" t="s">
        <v>87</v>
      </c>
      <c r="AY213" s="83" t="s">
        <v>139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83" t="s">
        <v>85</v>
      </c>
      <c r="BK213" s="186">
        <f>ROUND(I213*H213,2)</f>
        <v>0</v>
      </c>
      <c r="BL213" s="83" t="s">
        <v>146</v>
      </c>
      <c r="BM213" s="185" t="s">
        <v>1245</v>
      </c>
    </row>
    <row r="214" spans="1:65" s="95" customFormat="1" ht="24.2" customHeight="1">
      <c r="A214" s="93"/>
      <c r="B214" s="92"/>
      <c r="C214" s="175" t="s">
        <v>250</v>
      </c>
      <c r="D214" s="175" t="s">
        <v>141</v>
      </c>
      <c r="E214" s="176" t="s">
        <v>1048</v>
      </c>
      <c r="F214" s="177" t="s">
        <v>1553</v>
      </c>
      <c r="G214" s="178" t="s">
        <v>171</v>
      </c>
      <c r="H214" s="179">
        <v>6.07</v>
      </c>
      <c r="I214" s="69"/>
      <c r="J214" s="180">
        <f>ROUND(I214*H214,2)</f>
        <v>0</v>
      </c>
      <c r="K214" s="177" t="s">
        <v>967</v>
      </c>
      <c r="L214" s="92"/>
      <c r="M214" s="181" t="s">
        <v>1</v>
      </c>
      <c r="N214" s="182" t="s">
        <v>44</v>
      </c>
      <c r="O214" s="183">
        <v>0.085</v>
      </c>
      <c r="P214" s="183">
        <f>O214*H214</f>
        <v>0.51595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R214" s="185" t="s">
        <v>146</v>
      </c>
      <c r="AT214" s="185" t="s">
        <v>141</v>
      </c>
      <c r="AU214" s="185" t="s">
        <v>87</v>
      </c>
      <c r="AY214" s="83" t="s">
        <v>139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83" t="s">
        <v>85</v>
      </c>
      <c r="BK214" s="186">
        <f>ROUND(I214*H214,2)</f>
        <v>0</v>
      </c>
      <c r="BL214" s="83" t="s">
        <v>146</v>
      </c>
      <c r="BM214" s="185" t="s">
        <v>1246</v>
      </c>
    </row>
    <row r="215" spans="2:63" s="162" customFormat="1" ht="22.9" customHeight="1">
      <c r="B215" s="163"/>
      <c r="D215" s="164" t="s">
        <v>77</v>
      </c>
      <c r="E215" s="173" t="s">
        <v>146</v>
      </c>
      <c r="F215" s="173" t="s">
        <v>288</v>
      </c>
      <c r="I215" s="237"/>
      <c r="J215" s="174">
        <f>SUM(J216:J224)</f>
        <v>0</v>
      </c>
      <c r="L215" s="163"/>
      <c r="M215" s="167"/>
      <c r="N215" s="168"/>
      <c r="O215" s="168"/>
      <c r="P215" s="169">
        <f>SUM(P216:P226)</f>
        <v>1.357191</v>
      </c>
      <c r="Q215" s="168"/>
      <c r="R215" s="169">
        <f>SUM(R216:R226)</f>
        <v>0</v>
      </c>
      <c r="S215" s="168"/>
      <c r="T215" s="170">
        <f>SUM(T216:T226)</f>
        <v>0</v>
      </c>
      <c r="AR215" s="164" t="s">
        <v>85</v>
      </c>
      <c r="AT215" s="171" t="s">
        <v>77</v>
      </c>
      <c r="AU215" s="171" t="s">
        <v>85</v>
      </c>
      <c r="AY215" s="164" t="s">
        <v>139</v>
      </c>
      <c r="BK215" s="172">
        <f>SUM(BK216:BK226)</f>
        <v>0</v>
      </c>
    </row>
    <row r="216" spans="1:65" s="95" customFormat="1" ht="24.2" customHeight="1">
      <c r="A216" s="93"/>
      <c r="B216" s="92"/>
      <c r="C216" s="175" t="s">
        <v>257</v>
      </c>
      <c r="D216" s="175" t="s">
        <v>141</v>
      </c>
      <c r="E216" s="176" t="s">
        <v>290</v>
      </c>
      <c r="F216" s="177" t="s">
        <v>291</v>
      </c>
      <c r="G216" s="178" t="s">
        <v>194</v>
      </c>
      <c r="H216" s="179">
        <v>0.066</v>
      </c>
      <c r="I216" s="69"/>
      <c r="J216" s="180">
        <f>ROUND(I216*H216,2)</f>
        <v>0</v>
      </c>
      <c r="K216" s="177" t="s">
        <v>967</v>
      </c>
      <c r="L216" s="92"/>
      <c r="M216" s="181" t="s">
        <v>1</v>
      </c>
      <c r="N216" s="182" t="s">
        <v>44</v>
      </c>
      <c r="O216" s="183">
        <v>1.695</v>
      </c>
      <c r="P216" s="183">
        <f>O216*H216</f>
        <v>0.11187000000000001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R216" s="185" t="s">
        <v>146</v>
      </c>
      <c r="AT216" s="185" t="s">
        <v>141</v>
      </c>
      <c r="AU216" s="185" t="s">
        <v>87</v>
      </c>
      <c r="AY216" s="83" t="s">
        <v>139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83" t="s">
        <v>85</v>
      </c>
      <c r="BK216" s="186">
        <f>ROUND(I216*H216,2)</f>
        <v>0</v>
      </c>
      <c r="BL216" s="83" t="s">
        <v>146</v>
      </c>
      <c r="BM216" s="185" t="s">
        <v>1247</v>
      </c>
    </row>
    <row r="217" spans="2:51" s="201" customFormat="1" ht="12">
      <c r="B217" s="202"/>
      <c r="D217" s="189" t="s">
        <v>148</v>
      </c>
      <c r="E217" s="203" t="s">
        <v>1</v>
      </c>
      <c r="F217" s="204" t="s">
        <v>307</v>
      </c>
      <c r="H217" s="203" t="s">
        <v>1</v>
      </c>
      <c r="I217" s="235"/>
      <c r="L217" s="202"/>
      <c r="M217" s="205"/>
      <c r="N217" s="206"/>
      <c r="O217" s="206"/>
      <c r="P217" s="206"/>
      <c r="Q217" s="206"/>
      <c r="R217" s="206"/>
      <c r="S217" s="206"/>
      <c r="T217" s="207"/>
      <c r="AT217" s="203" t="s">
        <v>148</v>
      </c>
      <c r="AU217" s="203" t="s">
        <v>87</v>
      </c>
      <c r="AV217" s="201" t="s">
        <v>85</v>
      </c>
      <c r="AW217" s="201" t="s">
        <v>34</v>
      </c>
      <c r="AX217" s="201" t="s">
        <v>78</v>
      </c>
      <c r="AY217" s="203" t="s">
        <v>139</v>
      </c>
    </row>
    <row r="218" spans="2:51" s="201" customFormat="1" ht="12">
      <c r="B218" s="202"/>
      <c r="D218" s="189" t="s">
        <v>148</v>
      </c>
      <c r="E218" s="203" t="s">
        <v>1</v>
      </c>
      <c r="F218" s="204" t="s">
        <v>1051</v>
      </c>
      <c r="H218" s="203" t="s">
        <v>1</v>
      </c>
      <c r="I218" s="235"/>
      <c r="L218" s="202"/>
      <c r="M218" s="205"/>
      <c r="N218" s="206"/>
      <c r="O218" s="206"/>
      <c r="P218" s="206"/>
      <c r="Q218" s="206"/>
      <c r="R218" s="206"/>
      <c r="S218" s="206"/>
      <c r="T218" s="207"/>
      <c r="AT218" s="203" t="s">
        <v>148</v>
      </c>
      <c r="AU218" s="203" t="s">
        <v>87</v>
      </c>
      <c r="AV218" s="201" t="s">
        <v>85</v>
      </c>
      <c r="AW218" s="201" t="s">
        <v>34</v>
      </c>
      <c r="AX218" s="201" t="s">
        <v>78</v>
      </c>
      <c r="AY218" s="203" t="s">
        <v>139</v>
      </c>
    </row>
    <row r="219" spans="2:51" s="187" customFormat="1" ht="12">
      <c r="B219" s="188"/>
      <c r="D219" s="189" t="s">
        <v>148</v>
      </c>
      <c r="E219" s="190" t="s">
        <v>1</v>
      </c>
      <c r="F219" s="191" t="s">
        <v>1248</v>
      </c>
      <c r="H219" s="192">
        <v>0.066</v>
      </c>
      <c r="I219" s="233"/>
      <c r="L219" s="188"/>
      <c r="M219" s="193"/>
      <c r="N219" s="194"/>
      <c r="O219" s="194"/>
      <c r="P219" s="194"/>
      <c r="Q219" s="194"/>
      <c r="R219" s="194"/>
      <c r="S219" s="194"/>
      <c r="T219" s="195"/>
      <c r="AT219" s="190" t="s">
        <v>148</v>
      </c>
      <c r="AU219" s="190" t="s">
        <v>87</v>
      </c>
      <c r="AV219" s="187" t="s">
        <v>87</v>
      </c>
      <c r="AW219" s="187" t="s">
        <v>34</v>
      </c>
      <c r="AX219" s="187" t="s">
        <v>85</v>
      </c>
      <c r="AY219" s="190" t="s">
        <v>139</v>
      </c>
    </row>
    <row r="220" spans="1:65" s="95" customFormat="1" ht="37.9" customHeight="1">
      <c r="A220" s="93"/>
      <c r="B220" s="92"/>
      <c r="C220" s="175" t="s">
        <v>7</v>
      </c>
      <c r="D220" s="175" t="s">
        <v>141</v>
      </c>
      <c r="E220" s="176" t="s">
        <v>849</v>
      </c>
      <c r="F220" s="177" t="s">
        <v>850</v>
      </c>
      <c r="G220" s="178" t="s">
        <v>194</v>
      </c>
      <c r="H220" s="179">
        <v>0.67</v>
      </c>
      <c r="I220" s="69"/>
      <c r="J220" s="180">
        <f>ROUND(I220*H220,2)</f>
        <v>0</v>
      </c>
      <c r="K220" s="177" t="s">
        <v>967</v>
      </c>
      <c r="L220" s="92"/>
      <c r="M220" s="181" t="s">
        <v>1</v>
      </c>
      <c r="N220" s="182" t="s">
        <v>44</v>
      </c>
      <c r="O220" s="183">
        <v>1.465</v>
      </c>
      <c r="P220" s="183">
        <f>O220*H220</f>
        <v>0.9815500000000001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R220" s="185" t="s">
        <v>146</v>
      </c>
      <c r="AT220" s="185" t="s">
        <v>141</v>
      </c>
      <c r="AU220" s="185" t="s">
        <v>87</v>
      </c>
      <c r="AY220" s="83" t="s">
        <v>139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83" t="s">
        <v>85</v>
      </c>
      <c r="BK220" s="186">
        <f>ROUND(I220*H220,2)</f>
        <v>0</v>
      </c>
      <c r="BL220" s="83" t="s">
        <v>146</v>
      </c>
      <c r="BM220" s="185" t="s">
        <v>1249</v>
      </c>
    </row>
    <row r="221" spans="2:51" s="201" customFormat="1" ht="12">
      <c r="B221" s="202"/>
      <c r="D221" s="189" t="s">
        <v>148</v>
      </c>
      <c r="E221" s="203" t="s">
        <v>1</v>
      </c>
      <c r="F221" s="204" t="s">
        <v>280</v>
      </c>
      <c r="H221" s="203" t="s">
        <v>1</v>
      </c>
      <c r="I221" s="235"/>
      <c r="L221" s="202"/>
      <c r="M221" s="205"/>
      <c r="N221" s="206"/>
      <c r="O221" s="206"/>
      <c r="P221" s="206"/>
      <c r="Q221" s="206"/>
      <c r="R221" s="206"/>
      <c r="S221" s="206"/>
      <c r="T221" s="207"/>
      <c r="AT221" s="203" t="s">
        <v>148</v>
      </c>
      <c r="AU221" s="203" t="s">
        <v>87</v>
      </c>
      <c r="AV221" s="201" t="s">
        <v>85</v>
      </c>
      <c r="AW221" s="201" t="s">
        <v>34</v>
      </c>
      <c r="AX221" s="201" t="s">
        <v>78</v>
      </c>
      <c r="AY221" s="203" t="s">
        <v>139</v>
      </c>
    </row>
    <row r="222" spans="2:51" s="201" customFormat="1" ht="12">
      <c r="B222" s="202"/>
      <c r="D222" s="189" t="s">
        <v>148</v>
      </c>
      <c r="E222" s="203" t="s">
        <v>1</v>
      </c>
      <c r="F222" s="204" t="s">
        <v>207</v>
      </c>
      <c r="H222" s="203" t="s">
        <v>1</v>
      </c>
      <c r="I222" s="235"/>
      <c r="L222" s="202"/>
      <c r="M222" s="205"/>
      <c r="N222" s="206"/>
      <c r="O222" s="206"/>
      <c r="P222" s="206"/>
      <c r="Q222" s="206"/>
      <c r="R222" s="206"/>
      <c r="S222" s="206"/>
      <c r="T222" s="207"/>
      <c r="AT222" s="203" t="s">
        <v>148</v>
      </c>
      <c r="AU222" s="203" t="s">
        <v>87</v>
      </c>
      <c r="AV222" s="201" t="s">
        <v>85</v>
      </c>
      <c r="AW222" s="201" t="s">
        <v>34</v>
      </c>
      <c r="AX222" s="201" t="s">
        <v>78</v>
      </c>
      <c r="AY222" s="203" t="s">
        <v>139</v>
      </c>
    </row>
    <row r="223" spans="2:51" s="187" customFormat="1" ht="12">
      <c r="B223" s="188"/>
      <c r="D223" s="189" t="s">
        <v>148</v>
      </c>
      <c r="E223" s="190" t="s">
        <v>1</v>
      </c>
      <c r="F223" s="191" t="s">
        <v>1250</v>
      </c>
      <c r="H223" s="192">
        <v>0.67</v>
      </c>
      <c r="I223" s="233"/>
      <c r="L223" s="188"/>
      <c r="M223" s="193"/>
      <c r="N223" s="194"/>
      <c r="O223" s="194"/>
      <c r="P223" s="194"/>
      <c r="Q223" s="194"/>
      <c r="R223" s="194"/>
      <c r="S223" s="194"/>
      <c r="T223" s="195"/>
      <c r="AT223" s="190" t="s">
        <v>148</v>
      </c>
      <c r="AU223" s="190" t="s">
        <v>87</v>
      </c>
      <c r="AV223" s="187" t="s">
        <v>87</v>
      </c>
      <c r="AW223" s="187" t="s">
        <v>34</v>
      </c>
      <c r="AX223" s="187" t="s">
        <v>85</v>
      </c>
      <c r="AY223" s="190" t="s">
        <v>139</v>
      </c>
    </row>
    <row r="224" spans="1:65" s="95" customFormat="1" ht="37.9" customHeight="1">
      <c r="A224" s="93"/>
      <c r="B224" s="92"/>
      <c r="C224" s="175" t="s">
        <v>266</v>
      </c>
      <c r="D224" s="175" t="s">
        <v>141</v>
      </c>
      <c r="E224" s="176" t="s">
        <v>1069</v>
      </c>
      <c r="F224" s="177" t="s">
        <v>1070</v>
      </c>
      <c r="G224" s="178" t="s">
        <v>194</v>
      </c>
      <c r="H224" s="179">
        <v>0.191</v>
      </c>
      <c r="I224" s="69"/>
      <c r="J224" s="180">
        <f>ROUND(I224*H224,2)</f>
        <v>0</v>
      </c>
      <c r="K224" s="177" t="s">
        <v>967</v>
      </c>
      <c r="L224" s="92"/>
      <c r="M224" s="181" t="s">
        <v>1</v>
      </c>
      <c r="N224" s="182" t="s">
        <v>44</v>
      </c>
      <c r="O224" s="183">
        <v>1.381</v>
      </c>
      <c r="P224" s="183">
        <f>O224*H224</f>
        <v>0.263771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R224" s="185" t="s">
        <v>146</v>
      </c>
      <c r="AT224" s="185" t="s">
        <v>141</v>
      </c>
      <c r="AU224" s="185" t="s">
        <v>87</v>
      </c>
      <c r="AY224" s="83" t="s">
        <v>139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83" t="s">
        <v>85</v>
      </c>
      <c r="BK224" s="186">
        <f>ROUND(I224*H224,2)</f>
        <v>0</v>
      </c>
      <c r="BL224" s="83" t="s">
        <v>146</v>
      </c>
      <c r="BM224" s="185" t="s">
        <v>1251</v>
      </c>
    </row>
    <row r="225" spans="2:51" s="201" customFormat="1" ht="12">
      <c r="B225" s="202"/>
      <c r="D225" s="189" t="s">
        <v>148</v>
      </c>
      <c r="E225" s="203" t="s">
        <v>1</v>
      </c>
      <c r="F225" s="204" t="s">
        <v>280</v>
      </c>
      <c r="H225" s="203" t="s">
        <v>1</v>
      </c>
      <c r="I225" s="235"/>
      <c r="L225" s="202"/>
      <c r="M225" s="205"/>
      <c r="N225" s="206"/>
      <c r="O225" s="206"/>
      <c r="P225" s="206"/>
      <c r="Q225" s="206"/>
      <c r="R225" s="206"/>
      <c r="S225" s="206"/>
      <c r="T225" s="207"/>
      <c r="AT225" s="203" t="s">
        <v>148</v>
      </c>
      <c r="AU225" s="203" t="s">
        <v>87</v>
      </c>
      <c r="AV225" s="201" t="s">
        <v>85</v>
      </c>
      <c r="AW225" s="201" t="s">
        <v>34</v>
      </c>
      <c r="AX225" s="201" t="s">
        <v>78</v>
      </c>
      <c r="AY225" s="203" t="s">
        <v>139</v>
      </c>
    </row>
    <row r="226" spans="2:51" s="187" customFormat="1" ht="12">
      <c r="B226" s="188"/>
      <c r="D226" s="189" t="s">
        <v>148</v>
      </c>
      <c r="E226" s="190" t="s">
        <v>1</v>
      </c>
      <c r="F226" s="191" t="s">
        <v>1252</v>
      </c>
      <c r="H226" s="192">
        <v>0.191</v>
      </c>
      <c r="I226" s="233"/>
      <c r="L226" s="188"/>
      <c r="M226" s="193"/>
      <c r="N226" s="194"/>
      <c r="O226" s="194"/>
      <c r="P226" s="194"/>
      <c r="Q226" s="194"/>
      <c r="R226" s="194"/>
      <c r="S226" s="194"/>
      <c r="T226" s="195"/>
      <c r="AT226" s="190" t="s">
        <v>148</v>
      </c>
      <c r="AU226" s="190" t="s">
        <v>87</v>
      </c>
      <c r="AV226" s="187" t="s">
        <v>87</v>
      </c>
      <c r="AW226" s="187" t="s">
        <v>34</v>
      </c>
      <c r="AX226" s="187" t="s">
        <v>85</v>
      </c>
      <c r="AY226" s="190" t="s">
        <v>139</v>
      </c>
    </row>
    <row r="227" spans="2:63" s="162" customFormat="1" ht="22.9" customHeight="1">
      <c r="B227" s="163"/>
      <c r="D227" s="164" t="s">
        <v>77</v>
      </c>
      <c r="E227" s="173" t="s">
        <v>168</v>
      </c>
      <c r="F227" s="173" t="s">
        <v>311</v>
      </c>
      <c r="I227" s="237"/>
      <c r="J227" s="174">
        <f>SUM(J228:J251)</f>
        <v>0</v>
      </c>
      <c r="L227" s="163"/>
      <c r="M227" s="167"/>
      <c r="N227" s="168"/>
      <c r="O227" s="168"/>
      <c r="P227" s="169">
        <f>SUM(P228:P254)</f>
        <v>2.54694</v>
      </c>
      <c r="Q227" s="168"/>
      <c r="R227" s="169">
        <f>SUM(R228:R254)</f>
        <v>0.26664000000000004</v>
      </c>
      <c r="S227" s="168"/>
      <c r="T227" s="170">
        <f>SUM(T228:T254)</f>
        <v>0</v>
      </c>
      <c r="AR227" s="164" t="s">
        <v>85</v>
      </c>
      <c r="AT227" s="171" t="s">
        <v>77</v>
      </c>
      <c r="AU227" s="171" t="s">
        <v>85</v>
      </c>
      <c r="AY227" s="164" t="s">
        <v>139</v>
      </c>
      <c r="BK227" s="172">
        <f>SUM(BK228:BK254)</f>
        <v>0</v>
      </c>
    </row>
    <row r="228" spans="1:65" s="95" customFormat="1" ht="24.2" customHeight="1">
      <c r="A228" s="93"/>
      <c r="B228" s="92"/>
      <c r="C228" s="175" t="s">
        <v>271</v>
      </c>
      <c r="D228" s="175" t="s">
        <v>141</v>
      </c>
      <c r="E228" s="176" t="s">
        <v>313</v>
      </c>
      <c r="F228" s="177" t="s">
        <v>314</v>
      </c>
      <c r="G228" s="178" t="s">
        <v>144</v>
      </c>
      <c r="H228" s="179">
        <v>1.815</v>
      </c>
      <c r="I228" s="69"/>
      <c r="J228" s="180">
        <f>ROUND(I228*H228,2)</f>
        <v>0</v>
      </c>
      <c r="K228" s="177" t="s">
        <v>967</v>
      </c>
      <c r="L228" s="92"/>
      <c r="M228" s="181" t="s">
        <v>1</v>
      </c>
      <c r="N228" s="182" t="s">
        <v>44</v>
      </c>
      <c r="O228" s="183">
        <v>0.023</v>
      </c>
      <c r="P228" s="183">
        <f>O228*H228</f>
        <v>0.041745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R228" s="185" t="s">
        <v>146</v>
      </c>
      <c r="AT228" s="185" t="s">
        <v>141</v>
      </c>
      <c r="AU228" s="185" t="s">
        <v>87</v>
      </c>
      <c r="AY228" s="83" t="s">
        <v>139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83" t="s">
        <v>85</v>
      </c>
      <c r="BK228" s="186">
        <f>ROUND(I228*H228,2)</f>
        <v>0</v>
      </c>
      <c r="BL228" s="83" t="s">
        <v>146</v>
      </c>
      <c r="BM228" s="185" t="s">
        <v>1253</v>
      </c>
    </row>
    <row r="229" spans="2:51" s="201" customFormat="1" ht="12">
      <c r="B229" s="202"/>
      <c r="D229" s="189" t="s">
        <v>148</v>
      </c>
      <c r="E229" s="203" t="s">
        <v>1</v>
      </c>
      <c r="F229" s="204" t="s">
        <v>1254</v>
      </c>
      <c r="H229" s="203" t="s">
        <v>1</v>
      </c>
      <c r="I229" s="235"/>
      <c r="L229" s="202"/>
      <c r="M229" s="205"/>
      <c r="N229" s="206"/>
      <c r="O229" s="206"/>
      <c r="P229" s="206"/>
      <c r="Q229" s="206"/>
      <c r="R229" s="206"/>
      <c r="S229" s="206"/>
      <c r="T229" s="207"/>
      <c r="AT229" s="203" t="s">
        <v>148</v>
      </c>
      <c r="AU229" s="203" t="s">
        <v>87</v>
      </c>
      <c r="AV229" s="201" t="s">
        <v>85</v>
      </c>
      <c r="AW229" s="201" t="s">
        <v>34</v>
      </c>
      <c r="AX229" s="201" t="s">
        <v>78</v>
      </c>
      <c r="AY229" s="203" t="s">
        <v>139</v>
      </c>
    </row>
    <row r="230" spans="2:51" s="187" customFormat="1" ht="12">
      <c r="B230" s="188"/>
      <c r="D230" s="189" t="s">
        <v>148</v>
      </c>
      <c r="E230" s="190" t="s">
        <v>1</v>
      </c>
      <c r="F230" s="191" t="s">
        <v>1255</v>
      </c>
      <c r="H230" s="192">
        <v>1.815</v>
      </c>
      <c r="I230" s="233"/>
      <c r="L230" s="188"/>
      <c r="M230" s="193"/>
      <c r="N230" s="194"/>
      <c r="O230" s="194"/>
      <c r="P230" s="194"/>
      <c r="Q230" s="194"/>
      <c r="R230" s="194"/>
      <c r="S230" s="194"/>
      <c r="T230" s="195"/>
      <c r="AT230" s="190" t="s">
        <v>148</v>
      </c>
      <c r="AU230" s="190" t="s">
        <v>87</v>
      </c>
      <c r="AV230" s="187" t="s">
        <v>87</v>
      </c>
      <c r="AW230" s="187" t="s">
        <v>34</v>
      </c>
      <c r="AX230" s="187" t="s">
        <v>85</v>
      </c>
      <c r="AY230" s="190" t="s">
        <v>139</v>
      </c>
    </row>
    <row r="231" spans="1:65" s="95" customFormat="1" ht="24.2" customHeight="1">
      <c r="A231" s="93"/>
      <c r="B231" s="92"/>
      <c r="C231" s="175" t="s">
        <v>282</v>
      </c>
      <c r="D231" s="175" t="s">
        <v>141</v>
      </c>
      <c r="E231" s="176" t="s">
        <v>1073</v>
      </c>
      <c r="F231" s="177" t="s">
        <v>1074</v>
      </c>
      <c r="G231" s="178" t="s">
        <v>144</v>
      </c>
      <c r="H231" s="179">
        <v>3.465</v>
      </c>
      <c r="I231" s="69"/>
      <c r="J231" s="180">
        <f>ROUND(I231*H231,2)</f>
        <v>0</v>
      </c>
      <c r="K231" s="177" t="s">
        <v>967</v>
      </c>
      <c r="L231" s="92"/>
      <c r="M231" s="181" t="s">
        <v>1</v>
      </c>
      <c r="N231" s="182" t="s">
        <v>44</v>
      </c>
      <c r="O231" s="183">
        <v>0.026</v>
      </c>
      <c r="P231" s="183">
        <f>O231*H231</f>
        <v>0.09008999999999999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R231" s="185" t="s">
        <v>146</v>
      </c>
      <c r="AT231" s="185" t="s">
        <v>141</v>
      </c>
      <c r="AU231" s="185" t="s">
        <v>87</v>
      </c>
      <c r="AY231" s="83" t="s">
        <v>139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83" t="s">
        <v>85</v>
      </c>
      <c r="BK231" s="186">
        <f>ROUND(I231*H231,2)</f>
        <v>0</v>
      </c>
      <c r="BL231" s="83" t="s">
        <v>146</v>
      </c>
      <c r="BM231" s="185" t="s">
        <v>1256</v>
      </c>
    </row>
    <row r="232" spans="2:51" s="201" customFormat="1" ht="12">
      <c r="B232" s="202"/>
      <c r="D232" s="189" t="s">
        <v>148</v>
      </c>
      <c r="E232" s="203" t="s">
        <v>1</v>
      </c>
      <c r="F232" s="204" t="s">
        <v>280</v>
      </c>
      <c r="H232" s="203" t="s">
        <v>1</v>
      </c>
      <c r="I232" s="235"/>
      <c r="L232" s="202"/>
      <c r="M232" s="205"/>
      <c r="N232" s="206"/>
      <c r="O232" s="206"/>
      <c r="P232" s="206"/>
      <c r="Q232" s="206"/>
      <c r="R232" s="206"/>
      <c r="S232" s="206"/>
      <c r="T232" s="207"/>
      <c r="AT232" s="203" t="s">
        <v>148</v>
      </c>
      <c r="AU232" s="203" t="s">
        <v>87</v>
      </c>
      <c r="AV232" s="201" t="s">
        <v>85</v>
      </c>
      <c r="AW232" s="201" t="s">
        <v>34</v>
      </c>
      <c r="AX232" s="201" t="s">
        <v>78</v>
      </c>
      <c r="AY232" s="203" t="s">
        <v>139</v>
      </c>
    </row>
    <row r="233" spans="2:51" s="201" customFormat="1" ht="12">
      <c r="B233" s="202"/>
      <c r="D233" s="189" t="s">
        <v>148</v>
      </c>
      <c r="E233" s="203" t="s">
        <v>1</v>
      </c>
      <c r="F233" s="204" t="s">
        <v>156</v>
      </c>
      <c r="H233" s="203" t="s">
        <v>1</v>
      </c>
      <c r="I233" s="235"/>
      <c r="L233" s="202"/>
      <c r="M233" s="205"/>
      <c r="N233" s="206"/>
      <c r="O233" s="206"/>
      <c r="P233" s="206"/>
      <c r="Q233" s="206"/>
      <c r="R233" s="206"/>
      <c r="S233" s="206"/>
      <c r="T233" s="207"/>
      <c r="AT233" s="203" t="s">
        <v>148</v>
      </c>
      <c r="AU233" s="203" t="s">
        <v>87</v>
      </c>
      <c r="AV233" s="201" t="s">
        <v>85</v>
      </c>
      <c r="AW233" s="201" t="s">
        <v>34</v>
      </c>
      <c r="AX233" s="201" t="s">
        <v>78</v>
      </c>
      <c r="AY233" s="203" t="s">
        <v>139</v>
      </c>
    </row>
    <row r="234" spans="2:51" s="187" customFormat="1" ht="12">
      <c r="B234" s="188"/>
      <c r="D234" s="189" t="s">
        <v>148</v>
      </c>
      <c r="E234" s="190" t="s">
        <v>1</v>
      </c>
      <c r="F234" s="191" t="s">
        <v>1222</v>
      </c>
      <c r="H234" s="192">
        <v>3.465</v>
      </c>
      <c r="I234" s="233"/>
      <c r="L234" s="188"/>
      <c r="M234" s="193"/>
      <c r="N234" s="194"/>
      <c r="O234" s="194"/>
      <c r="P234" s="194"/>
      <c r="Q234" s="194"/>
      <c r="R234" s="194"/>
      <c r="S234" s="194"/>
      <c r="T234" s="195"/>
      <c r="AT234" s="190" t="s">
        <v>148</v>
      </c>
      <c r="AU234" s="190" t="s">
        <v>87</v>
      </c>
      <c r="AV234" s="187" t="s">
        <v>87</v>
      </c>
      <c r="AW234" s="187" t="s">
        <v>34</v>
      </c>
      <c r="AX234" s="187" t="s">
        <v>85</v>
      </c>
      <c r="AY234" s="190" t="s">
        <v>139</v>
      </c>
    </row>
    <row r="235" spans="1:65" s="95" customFormat="1" ht="24.2" customHeight="1">
      <c r="A235" s="93"/>
      <c r="B235" s="92"/>
      <c r="C235" s="175" t="s">
        <v>289</v>
      </c>
      <c r="D235" s="175" t="s">
        <v>141</v>
      </c>
      <c r="E235" s="176" t="s">
        <v>1077</v>
      </c>
      <c r="F235" s="177" t="s">
        <v>1078</v>
      </c>
      <c r="G235" s="178" t="s">
        <v>144</v>
      </c>
      <c r="H235" s="179">
        <v>3.465</v>
      </c>
      <c r="I235" s="69"/>
      <c r="J235" s="180">
        <f>ROUND(I235*H235,2)</f>
        <v>0</v>
      </c>
      <c r="K235" s="177" t="s">
        <v>967</v>
      </c>
      <c r="L235" s="92"/>
      <c r="M235" s="181" t="s">
        <v>1</v>
      </c>
      <c r="N235" s="182" t="s">
        <v>44</v>
      </c>
      <c r="O235" s="183">
        <v>0.029</v>
      </c>
      <c r="P235" s="183">
        <f>O235*H235</f>
        <v>0.100485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R235" s="185" t="s">
        <v>146</v>
      </c>
      <c r="AT235" s="185" t="s">
        <v>141</v>
      </c>
      <c r="AU235" s="185" t="s">
        <v>87</v>
      </c>
      <c r="AY235" s="83" t="s">
        <v>139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83" t="s">
        <v>85</v>
      </c>
      <c r="BK235" s="186">
        <f>ROUND(I235*H235,2)</f>
        <v>0</v>
      </c>
      <c r="BL235" s="83" t="s">
        <v>146</v>
      </c>
      <c r="BM235" s="185" t="s">
        <v>1257</v>
      </c>
    </row>
    <row r="236" spans="2:51" s="201" customFormat="1" ht="12">
      <c r="B236" s="202"/>
      <c r="D236" s="189" t="s">
        <v>148</v>
      </c>
      <c r="E236" s="203" t="s">
        <v>1</v>
      </c>
      <c r="F236" s="204" t="s">
        <v>280</v>
      </c>
      <c r="H236" s="203" t="s">
        <v>1</v>
      </c>
      <c r="I236" s="235"/>
      <c r="L236" s="202"/>
      <c r="M236" s="205"/>
      <c r="N236" s="206"/>
      <c r="O236" s="206"/>
      <c r="P236" s="206"/>
      <c r="Q236" s="206"/>
      <c r="R236" s="206"/>
      <c r="S236" s="206"/>
      <c r="T236" s="207"/>
      <c r="AT236" s="203" t="s">
        <v>148</v>
      </c>
      <c r="AU236" s="203" t="s">
        <v>87</v>
      </c>
      <c r="AV236" s="201" t="s">
        <v>85</v>
      </c>
      <c r="AW236" s="201" t="s">
        <v>34</v>
      </c>
      <c r="AX236" s="201" t="s">
        <v>78</v>
      </c>
      <c r="AY236" s="203" t="s">
        <v>139</v>
      </c>
    </row>
    <row r="237" spans="2:51" s="201" customFormat="1" ht="12">
      <c r="B237" s="202"/>
      <c r="D237" s="189" t="s">
        <v>148</v>
      </c>
      <c r="E237" s="203" t="s">
        <v>1</v>
      </c>
      <c r="F237" s="204" t="s">
        <v>156</v>
      </c>
      <c r="H237" s="203" t="s">
        <v>1</v>
      </c>
      <c r="I237" s="235"/>
      <c r="L237" s="202"/>
      <c r="M237" s="205"/>
      <c r="N237" s="206"/>
      <c r="O237" s="206"/>
      <c r="P237" s="206"/>
      <c r="Q237" s="206"/>
      <c r="R237" s="206"/>
      <c r="S237" s="206"/>
      <c r="T237" s="207"/>
      <c r="AT237" s="203" t="s">
        <v>148</v>
      </c>
      <c r="AU237" s="203" t="s">
        <v>87</v>
      </c>
      <c r="AV237" s="201" t="s">
        <v>85</v>
      </c>
      <c r="AW237" s="201" t="s">
        <v>34</v>
      </c>
      <c r="AX237" s="201" t="s">
        <v>78</v>
      </c>
      <c r="AY237" s="203" t="s">
        <v>139</v>
      </c>
    </row>
    <row r="238" spans="2:51" s="187" customFormat="1" ht="12">
      <c r="B238" s="188"/>
      <c r="D238" s="189" t="s">
        <v>148</v>
      </c>
      <c r="E238" s="190" t="s">
        <v>1</v>
      </c>
      <c r="F238" s="191" t="s">
        <v>1222</v>
      </c>
      <c r="H238" s="192">
        <v>3.465</v>
      </c>
      <c r="I238" s="233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0" t="s">
        <v>148</v>
      </c>
      <c r="AU238" s="190" t="s">
        <v>87</v>
      </c>
      <c r="AV238" s="187" t="s">
        <v>87</v>
      </c>
      <c r="AW238" s="187" t="s">
        <v>34</v>
      </c>
      <c r="AX238" s="187" t="s">
        <v>85</v>
      </c>
      <c r="AY238" s="190" t="s">
        <v>139</v>
      </c>
    </row>
    <row r="239" spans="1:65" s="95" customFormat="1" ht="24.2" customHeight="1">
      <c r="A239" s="93"/>
      <c r="B239" s="92"/>
      <c r="C239" s="175" t="s">
        <v>299</v>
      </c>
      <c r="D239" s="175" t="s">
        <v>141</v>
      </c>
      <c r="E239" s="176" t="s">
        <v>1545</v>
      </c>
      <c r="F239" s="177" t="s">
        <v>1528</v>
      </c>
      <c r="G239" s="178" t="s">
        <v>144</v>
      </c>
      <c r="H239" s="179">
        <v>3.465</v>
      </c>
      <c r="I239" s="69"/>
      <c r="J239" s="180">
        <f>ROUND(I239*H239,2)</f>
        <v>0</v>
      </c>
      <c r="K239" s="177" t="s">
        <v>1</v>
      </c>
      <c r="L239" s="92"/>
      <c r="M239" s="181" t="s">
        <v>1</v>
      </c>
      <c r="N239" s="182" t="s">
        <v>44</v>
      </c>
      <c r="O239" s="183">
        <v>0.024</v>
      </c>
      <c r="P239" s="183">
        <f>O239*H239</f>
        <v>0.08316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R239" s="185" t="s">
        <v>146</v>
      </c>
      <c r="AT239" s="185" t="s">
        <v>141</v>
      </c>
      <c r="AU239" s="185" t="s">
        <v>87</v>
      </c>
      <c r="AY239" s="83" t="s">
        <v>139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83" t="s">
        <v>85</v>
      </c>
      <c r="BK239" s="186">
        <f>ROUND(I239*H239,2)</f>
        <v>0</v>
      </c>
      <c r="BL239" s="83" t="s">
        <v>146</v>
      </c>
      <c r="BM239" s="185" t="s">
        <v>1258</v>
      </c>
    </row>
    <row r="240" spans="2:51" s="201" customFormat="1" ht="12">
      <c r="B240" s="202"/>
      <c r="D240" s="189" t="s">
        <v>148</v>
      </c>
      <c r="E240" s="203" t="s">
        <v>1</v>
      </c>
      <c r="F240" s="204" t="s">
        <v>315</v>
      </c>
      <c r="H240" s="203" t="s">
        <v>1</v>
      </c>
      <c r="I240" s="235"/>
      <c r="L240" s="202"/>
      <c r="M240" s="205"/>
      <c r="N240" s="206"/>
      <c r="O240" s="206"/>
      <c r="P240" s="206"/>
      <c r="Q240" s="206"/>
      <c r="R240" s="206"/>
      <c r="S240" s="206"/>
      <c r="T240" s="207"/>
      <c r="AT240" s="203" t="s">
        <v>148</v>
      </c>
      <c r="AU240" s="203" t="s">
        <v>87</v>
      </c>
      <c r="AV240" s="201" t="s">
        <v>85</v>
      </c>
      <c r="AW240" s="201" t="s">
        <v>34</v>
      </c>
      <c r="AX240" s="201" t="s">
        <v>78</v>
      </c>
      <c r="AY240" s="203" t="s">
        <v>139</v>
      </c>
    </row>
    <row r="241" spans="2:51" s="201" customFormat="1" ht="22.5">
      <c r="B241" s="202"/>
      <c r="D241" s="189" t="s">
        <v>148</v>
      </c>
      <c r="E241" s="203" t="s">
        <v>1</v>
      </c>
      <c r="F241" s="204" t="s">
        <v>323</v>
      </c>
      <c r="H241" s="203" t="s">
        <v>1</v>
      </c>
      <c r="I241" s="235"/>
      <c r="L241" s="202"/>
      <c r="M241" s="205"/>
      <c r="N241" s="206"/>
      <c r="O241" s="206"/>
      <c r="P241" s="206"/>
      <c r="Q241" s="206"/>
      <c r="R241" s="206"/>
      <c r="S241" s="206"/>
      <c r="T241" s="207"/>
      <c r="AT241" s="203" t="s">
        <v>148</v>
      </c>
      <c r="AU241" s="203" t="s">
        <v>87</v>
      </c>
      <c r="AV241" s="201" t="s">
        <v>85</v>
      </c>
      <c r="AW241" s="201" t="s">
        <v>34</v>
      </c>
      <c r="AX241" s="201" t="s">
        <v>78</v>
      </c>
      <c r="AY241" s="203" t="s">
        <v>139</v>
      </c>
    </row>
    <row r="242" spans="2:51" s="238" customFormat="1" ht="12">
      <c r="B242" s="239"/>
      <c r="D242" s="240" t="s">
        <v>148</v>
      </c>
      <c r="E242" s="241" t="s">
        <v>1</v>
      </c>
      <c r="F242" s="242" t="s">
        <v>1222</v>
      </c>
      <c r="H242" s="243">
        <v>3.465</v>
      </c>
      <c r="I242" s="247"/>
      <c r="L242" s="239"/>
      <c r="M242" s="244"/>
      <c r="N242" s="245"/>
      <c r="O242" s="245"/>
      <c r="P242" s="245"/>
      <c r="Q242" s="245"/>
      <c r="R242" s="245"/>
      <c r="S242" s="245"/>
      <c r="T242" s="246"/>
      <c r="AT242" s="241" t="s">
        <v>148</v>
      </c>
      <c r="AU242" s="241" t="s">
        <v>87</v>
      </c>
      <c r="AV242" s="238" t="s">
        <v>87</v>
      </c>
      <c r="AW242" s="238" t="s">
        <v>34</v>
      </c>
      <c r="AX242" s="238" t="s">
        <v>85</v>
      </c>
      <c r="AY242" s="241" t="s">
        <v>139</v>
      </c>
    </row>
    <row r="243" spans="1:65" s="95" customFormat="1" ht="49.15" customHeight="1">
      <c r="A243" s="93"/>
      <c r="B243" s="92"/>
      <c r="C243" s="175" t="s">
        <v>303</v>
      </c>
      <c r="D243" s="175" t="s">
        <v>141</v>
      </c>
      <c r="E243" s="176" t="s">
        <v>325</v>
      </c>
      <c r="F243" s="177" t="s">
        <v>1081</v>
      </c>
      <c r="G243" s="178" t="s">
        <v>144</v>
      </c>
      <c r="H243" s="179">
        <v>3.465</v>
      </c>
      <c r="I243" s="69"/>
      <c r="J243" s="180">
        <f>ROUND(I243*H243,2)</f>
        <v>0</v>
      </c>
      <c r="K243" s="177" t="s">
        <v>967</v>
      </c>
      <c r="L243" s="92"/>
      <c r="M243" s="181" t="s">
        <v>1</v>
      </c>
      <c r="N243" s="182" t="s">
        <v>44</v>
      </c>
      <c r="O243" s="183">
        <v>0.048</v>
      </c>
      <c r="P243" s="183">
        <f>O243*H243</f>
        <v>0.16632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R243" s="185" t="s">
        <v>146</v>
      </c>
      <c r="AT243" s="185" t="s">
        <v>141</v>
      </c>
      <c r="AU243" s="185" t="s">
        <v>87</v>
      </c>
      <c r="AY243" s="83" t="s">
        <v>139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83" t="s">
        <v>85</v>
      </c>
      <c r="BK243" s="186">
        <f>ROUND(I243*H243,2)</f>
        <v>0</v>
      </c>
      <c r="BL243" s="83" t="s">
        <v>146</v>
      </c>
      <c r="BM243" s="185" t="s">
        <v>1259</v>
      </c>
    </row>
    <row r="244" spans="2:51" s="201" customFormat="1" ht="12">
      <c r="B244" s="202"/>
      <c r="D244" s="189" t="s">
        <v>148</v>
      </c>
      <c r="E244" s="203" t="s">
        <v>1</v>
      </c>
      <c r="F244" s="204" t="s">
        <v>280</v>
      </c>
      <c r="H244" s="203" t="s">
        <v>1</v>
      </c>
      <c r="I244" s="235"/>
      <c r="L244" s="202"/>
      <c r="M244" s="205"/>
      <c r="N244" s="206"/>
      <c r="O244" s="206"/>
      <c r="P244" s="206"/>
      <c r="Q244" s="206"/>
      <c r="R244" s="206"/>
      <c r="S244" s="206"/>
      <c r="T244" s="207"/>
      <c r="AT244" s="203" t="s">
        <v>148</v>
      </c>
      <c r="AU244" s="203" t="s">
        <v>87</v>
      </c>
      <c r="AV244" s="201" t="s">
        <v>85</v>
      </c>
      <c r="AW244" s="201" t="s">
        <v>34</v>
      </c>
      <c r="AX244" s="201" t="s">
        <v>78</v>
      </c>
      <c r="AY244" s="203" t="s">
        <v>139</v>
      </c>
    </row>
    <row r="245" spans="2:51" s="201" customFormat="1" ht="12">
      <c r="B245" s="202"/>
      <c r="D245" s="189" t="s">
        <v>148</v>
      </c>
      <c r="E245" s="203" t="s">
        <v>1</v>
      </c>
      <c r="F245" s="204" t="s">
        <v>156</v>
      </c>
      <c r="H245" s="203" t="s">
        <v>1</v>
      </c>
      <c r="I245" s="235"/>
      <c r="L245" s="202"/>
      <c r="M245" s="205"/>
      <c r="N245" s="206"/>
      <c r="O245" s="206"/>
      <c r="P245" s="206"/>
      <c r="Q245" s="206"/>
      <c r="R245" s="206"/>
      <c r="S245" s="206"/>
      <c r="T245" s="207"/>
      <c r="AT245" s="203" t="s">
        <v>148</v>
      </c>
      <c r="AU245" s="203" t="s">
        <v>87</v>
      </c>
      <c r="AV245" s="201" t="s">
        <v>85</v>
      </c>
      <c r="AW245" s="201" t="s">
        <v>34</v>
      </c>
      <c r="AX245" s="201" t="s">
        <v>78</v>
      </c>
      <c r="AY245" s="203" t="s">
        <v>139</v>
      </c>
    </row>
    <row r="246" spans="2:51" s="187" customFormat="1" ht="12">
      <c r="B246" s="188"/>
      <c r="D246" s="189" t="s">
        <v>148</v>
      </c>
      <c r="E246" s="190" t="s">
        <v>1</v>
      </c>
      <c r="F246" s="191" t="s">
        <v>1222</v>
      </c>
      <c r="H246" s="192">
        <v>3.465</v>
      </c>
      <c r="I246" s="233"/>
      <c r="L246" s="188"/>
      <c r="M246" s="193"/>
      <c r="N246" s="194"/>
      <c r="O246" s="194"/>
      <c r="P246" s="194"/>
      <c r="Q246" s="194"/>
      <c r="R246" s="194"/>
      <c r="S246" s="194"/>
      <c r="T246" s="195"/>
      <c r="AT246" s="190" t="s">
        <v>148</v>
      </c>
      <c r="AU246" s="190" t="s">
        <v>87</v>
      </c>
      <c r="AV246" s="187" t="s">
        <v>87</v>
      </c>
      <c r="AW246" s="187" t="s">
        <v>34</v>
      </c>
      <c r="AX246" s="187" t="s">
        <v>85</v>
      </c>
      <c r="AY246" s="190" t="s">
        <v>139</v>
      </c>
    </row>
    <row r="247" spans="1:65" s="95" customFormat="1" ht="24.2" customHeight="1">
      <c r="A247" s="93"/>
      <c r="B247" s="92"/>
      <c r="C247" s="175" t="s">
        <v>312</v>
      </c>
      <c r="D247" s="175" t="s">
        <v>141</v>
      </c>
      <c r="E247" s="176" t="s">
        <v>329</v>
      </c>
      <c r="F247" s="177" t="s">
        <v>330</v>
      </c>
      <c r="G247" s="178" t="s">
        <v>144</v>
      </c>
      <c r="H247" s="179">
        <v>3.465</v>
      </c>
      <c r="I247" s="69"/>
      <c r="J247" s="180">
        <f>ROUND(I247*H247,2)</f>
        <v>0</v>
      </c>
      <c r="K247" s="177" t="s">
        <v>967</v>
      </c>
      <c r="L247" s="92"/>
      <c r="M247" s="181" t="s">
        <v>1</v>
      </c>
      <c r="N247" s="182" t="s">
        <v>44</v>
      </c>
      <c r="O247" s="183">
        <v>0.004</v>
      </c>
      <c r="P247" s="183">
        <f>O247*H247</f>
        <v>0.013859999999999999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R247" s="185" t="s">
        <v>146</v>
      </c>
      <c r="AT247" s="185" t="s">
        <v>141</v>
      </c>
      <c r="AU247" s="185" t="s">
        <v>87</v>
      </c>
      <c r="AY247" s="83" t="s">
        <v>139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83" t="s">
        <v>85</v>
      </c>
      <c r="BK247" s="186">
        <f>ROUND(I247*H247,2)</f>
        <v>0</v>
      </c>
      <c r="BL247" s="83" t="s">
        <v>146</v>
      </c>
      <c r="BM247" s="185" t="s">
        <v>1260</v>
      </c>
    </row>
    <row r="248" spans="2:51" s="201" customFormat="1" ht="12">
      <c r="B248" s="202"/>
      <c r="D248" s="189" t="s">
        <v>148</v>
      </c>
      <c r="E248" s="203" t="s">
        <v>1</v>
      </c>
      <c r="F248" s="204" t="s">
        <v>280</v>
      </c>
      <c r="H248" s="203" t="s">
        <v>1</v>
      </c>
      <c r="I248" s="235"/>
      <c r="L248" s="202"/>
      <c r="M248" s="205"/>
      <c r="N248" s="206"/>
      <c r="O248" s="206"/>
      <c r="P248" s="206"/>
      <c r="Q248" s="206"/>
      <c r="R248" s="206"/>
      <c r="S248" s="206"/>
      <c r="T248" s="207"/>
      <c r="AT248" s="203" t="s">
        <v>148</v>
      </c>
      <c r="AU248" s="203" t="s">
        <v>87</v>
      </c>
      <c r="AV248" s="201" t="s">
        <v>85</v>
      </c>
      <c r="AW248" s="201" t="s">
        <v>34</v>
      </c>
      <c r="AX248" s="201" t="s">
        <v>78</v>
      </c>
      <c r="AY248" s="203" t="s">
        <v>139</v>
      </c>
    </row>
    <row r="249" spans="2:51" s="201" customFormat="1" ht="12">
      <c r="B249" s="202"/>
      <c r="D249" s="189" t="s">
        <v>148</v>
      </c>
      <c r="E249" s="203" t="s">
        <v>1</v>
      </c>
      <c r="F249" s="204" t="s">
        <v>156</v>
      </c>
      <c r="H249" s="203" t="s">
        <v>1</v>
      </c>
      <c r="I249" s="235"/>
      <c r="L249" s="202"/>
      <c r="M249" s="205"/>
      <c r="N249" s="206"/>
      <c r="O249" s="206"/>
      <c r="P249" s="206"/>
      <c r="Q249" s="206"/>
      <c r="R249" s="206"/>
      <c r="S249" s="206"/>
      <c r="T249" s="207"/>
      <c r="AT249" s="203" t="s">
        <v>148</v>
      </c>
      <c r="AU249" s="203" t="s">
        <v>87</v>
      </c>
      <c r="AV249" s="201" t="s">
        <v>85</v>
      </c>
      <c r="AW249" s="201" t="s">
        <v>34</v>
      </c>
      <c r="AX249" s="201" t="s">
        <v>78</v>
      </c>
      <c r="AY249" s="203" t="s">
        <v>139</v>
      </c>
    </row>
    <row r="250" spans="2:51" s="187" customFormat="1" ht="12">
      <c r="B250" s="188"/>
      <c r="D250" s="189" t="s">
        <v>148</v>
      </c>
      <c r="E250" s="190" t="s">
        <v>1</v>
      </c>
      <c r="F250" s="191" t="s">
        <v>1222</v>
      </c>
      <c r="H250" s="192">
        <v>3.465</v>
      </c>
      <c r="I250" s="233"/>
      <c r="L250" s="188"/>
      <c r="M250" s="193"/>
      <c r="N250" s="194"/>
      <c r="O250" s="194"/>
      <c r="P250" s="194"/>
      <c r="Q250" s="194"/>
      <c r="R250" s="194"/>
      <c r="S250" s="194"/>
      <c r="T250" s="195"/>
      <c r="AT250" s="190" t="s">
        <v>148</v>
      </c>
      <c r="AU250" s="190" t="s">
        <v>87</v>
      </c>
      <c r="AV250" s="187" t="s">
        <v>87</v>
      </c>
      <c r="AW250" s="187" t="s">
        <v>34</v>
      </c>
      <c r="AX250" s="187" t="s">
        <v>85</v>
      </c>
      <c r="AY250" s="190" t="s">
        <v>139</v>
      </c>
    </row>
    <row r="251" spans="1:65" s="95" customFormat="1" ht="62.65" customHeight="1">
      <c r="A251" s="93"/>
      <c r="B251" s="92"/>
      <c r="C251" s="175" t="s">
        <v>317</v>
      </c>
      <c r="D251" s="175" t="s">
        <v>141</v>
      </c>
      <c r="E251" s="176" t="s">
        <v>343</v>
      </c>
      <c r="F251" s="177" t="s">
        <v>344</v>
      </c>
      <c r="G251" s="178" t="s">
        <v>144</v>
      </c>
      <c r="H251" s="179">
        <v>2.64</v>
      </c>
      <c r="I251" s="69"/>
      <c r="J251" s="180">
        <f>ROUND(I251*H251,2)</f>
        <v>0</v>
      </c>
      <c r="K251" s="177" t="s">
        <v>967</v>
      </c>
      <c r="L251" s="92"/>
      <c r="M251" s="181" t="s">
        <v>1</v>
      </c>
      <c r="N251" s="182" t="s">
        <v>44</v>
      </c>
      <c r="O251" s="183">
        <v>0.777</v>
      </c>
      <c r="P251" s="183">
        <f>O251*H251</f>
        <v>2.05128</v>
      </c>
      <c r="Q251" s="183">
        <v>0.101</v>
      </c>
      <c r="R251" s="183">
        <f>Q251*H251</f>
        <v>0.26664000000000004</v>
      </c>
      <c r="S251" s="183">
        <v>0</v>
      </c>
      <c r="T251" s="184">
        <f>S251*H251</f>
        <v>0</v>
      </c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R251" s="185" t="s">
        <v>146</v>
      </c>
      <c r="AT251" s="185" t="s">
        <v>141</v>
      </c>
      <c r="AU251" s="185" t="s">
        <v>87</v>
      </c>
      <c r="AY251" s="83" t="s">
        <v>139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83" t="s">
        <v>85</v>
      </c>
      <c r="BK251" s="186">
        <f>ROUND(I251*H251,2)</f>
        <v>0</v>
      </c>
      <c r="BL251" s="83" t="s">
        <v>146</v>
      </c>
      <c r="BM251" s="185" t="s">
        <v>1261</v>
      </c>
    </row>
    <row r="252" spans="2:51" s="201" customFormat="1" ht="12">
      <c r="B252" s="202"/>
      <c r="D252" s="189" t="s">
        <v>148</v>
      </c>
      <c r="E252" s="203" t="s">
        <v>1</v>
      </c>
      <c r="F252" s="204" t="s">
        <v>1210</v>
      </c>
      <c r="H252" s="203" t="s">
        <v>1</v>
      </c>
      <c r="I252" s="235"/>
      <c r="L252" s="202"/>
      <c r="M252" s="205"/>
      <c r="N252" s="206"/>
      <c r="O252" s="206"/>
      <c r="P252" s="206"/>
      <c r="Q252" s="206"/>
      <c r="R252" s="206"/>
      <c r="S252" s="206"/>
      <c r="T252" s="207"/>
      <c r="AT252" s="203" t="s">
        <v>148</v>
      </c>
      <c r="AU252" s="203" t="s">
        <v>87</v>
      </c>
      <c r="AV252" s="201" t="s">
        <v>85</v>
      </c>
      <c r="AW252" s="201" t="s">
        <v>34</v>
      </c>
      <c r="AX252" s="201" t="s">
        <v>78</v>
      </c>
      <c r="AY252" s="203" t="s">
        <v>139</v>
      </c>
    </row>
    <row r="253" spans="2:51" s="201" customFormat="1" ht="12">
      <c r="B253" s="202"/>
      <c r="D253" s="189" t="s">
        <v>148</v>
      </c>
      <c r="E253" s="203" t="s">
        <v>1</v>
      </c>
      <c r="F253" s="204" t="s">
        <v>346</v>
      </c>
      <c r="H253" s="203" t="s">
        <v>1</v>
      </c>
      <c r="I253" s="235"/>
      <c r="L253" s="202"/>
      <c r="M253" s="205"/>
      <c r="N253" s="206"/>
      <c r="O253" s="206"/>
      <c r="P253" s="206"/>
      <c r="Q253" s="206"/>
      <c r="R253" s="206"/>
      <c r="S253" s="206"/>
      <c r="T253" s="207"/>
      <c r="AT253" s="203" t="s">
        <v>148</v>
      </c>
      <c r="AU253" s="203" t="s">
        <v>87</v>
      </c>
      <c r="AV253" s="201" t="s">
        <v>85</v>
      </c>
      <c r="AW253" s="201" t="s">
        <v>34</v>
      </c>
      <c r="AX253" s="201" t="s">
        <v>78</v>
      </c>
      <c r="AY253" s="203" t="s">
        <v>139</v>
      </c>
    </row>
    <row r="254" spans="2:51" s="187" customFormat="1" ht="12">
      <c r="B254" s="188"/>
      <c r="D254" s="189" t="s">
        <v>148</v>
      </c>
      <c r="E254" s="190" t="s">
        <v>1</v>
      </c>
      <c r="F254" s="191" t="s">
        <v>1211</v>
      </c>
      <c r="H254" s="192">
        <v>2.64</v>
      </c>
      <c r="I254" s="233"/>
      <c r="L254" s="188"/>
      <c r="M254" s="193"/>
      <c r="N254" s="194"/>
      <c r="O254" s="194"/>
      <c r="P254" s="194"/>
      <c r="Q254" s="194"/>
      <c r="R254" s="194"/>
      <c r="S254" s="194"/>
      <c r="T254" s="195"/>
      <c r="AT254" s="190" t="s">
        <v>148</v>
      </c>
      <c r="AU254" s="190" t="s">
        <v>87</v>
      </c>
      <c r="AV254" s="187" t="s">
        <v>87</v>
      </c>
      <c r="AW254" s="187" t="s">
        <v>34</v>
      </c>
      <c r="AX254" s="187" t="s">
        <v>85</v>
      </c>
      <c r="AY254" s="190" t="s">
        <v>139</v>
      </c>
    </row>
    <row r="255" spans="2:63" s="162" customFormat="1" ht="22.9" customHeight="1">
      <c r="B255" s="163"/>
      <c r="D255" s="164" t="s">
        <v>77</v>
      </c>
      <c r="E255" s="173" t="s">
        <v>187</v>
      </c>
      <c r="F255" s="173" t="s">
        <v>347</v>
      </c>
      <c r="I255" s="237"/>
      <c r="J255" s="174">
        <f>SUM(J256:J267)</f>
        <v>0</v>
      </c>
      <c r="L255" s="163"/>
      <c r="M255" s="167"/>
      <c r="N255" s="168"/>
      <c r="O255" s="168"/>
      <c r="P255" s="169">
        <f>SUM(P256:P269)</f>
        <v>5.855981</v>
      </c>
      <c r="Q255" s="168"/>
      <c r="R255" s="169">
        <f>SUM(R256:R269)</f>
        <v>0.4466498</v>
      </c>
      <c r="S255" s="168"/>
      <c r="T255" s="170">
        <f>SUM(T256:T269)</f>
        <v>1.6892800000000001</v>
      </c>
      <c r="AR255" s="164" t="s">
        <v>85</v>
      </c>
      <c r="AT255" s="171" t="s">
        <v>77</v>
      </c>
      <c r="AU255" s="171" t="s">
        <v>85</v>
      </c>
      <c r="AY255" s="164" t="s">
        <v>139</v>
      </c>
      <c r="BK255" s="172">
        <f>SUM(BK256:BK269)</f>
        <v>0</v>
      </c>
    </row>
    <row r="256" spans="1:65" s="95" customFormat="1" ht="37.9" customHeight="1">
      <c r="A256" s="93"/>
      <c r="B256" s="92"/>
      <c r="C256" s="175" t="s">
        <v>318</v>
      </c>
      <c r="D256" s="175" t="s">
        <v>141</v>
      </c>
      <c r="E256" s="176" t="s">
        <v>1262</v>
      </c>
      <c r="F256" s="177" t="s">
        <v>1263</v>
      </c>
      <c r="G256" s="178" t="s">
        <v>171</v>
      </c>
      <c r="H256" s="179">
        <v>5.47</v>
      </c>
      <c r="I256" s="69"/>
      <c r="J256" s="180">
        <f>ROUND(I256*H256,2)</f>
        <v>0</v>
      </c>
      <c r="K256" s="177" t="s">
        <v>967</v>
      </c>
      <c r="L256" s="92"/>
      <c r="M256" s="181" t="s">
        <v>1</v>
      </c>
      <c r="N256" s="182" t="s">
        <v>44</v>
      </c>
      <c r="O256" s="183">
        <v>0.42</v>
      </c>
      <c r="P256" s="183">
        <f>O256*H256</f>
        <v>2.2973999999999997</v>
      </c>
      <c r="Q256" s="183">
        <v>5E-05</v>
      </c>
      <c r="R256" s="183">
        <f>Q256*H256</f>
        <v>0.0002735</v>
      </c>
      <c r="S256" s="183">
        <v>0</v>
      </c>
      <c r="T256" s="184">
        <f>S256*H256</f>
        <v>0</v>
      </c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R256" s="185" t="s">
        <v>146</v>
      </c>
      <c r="AT256" s="185" t="s">
        <v>141</v>
      </c>
      <c r="AU256" s="185" t="s">
        <v>87</v>
      </c>
      <c r="AY256" s="83" t="s">
        <v>139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83" t="s">
        <v>85</v>
      </c>
      <c r="BK256" s="186">
        <f>ROUND(I256*H256,2)</f>
        <v>0</v>
      </c>
      <c r="BL256" s="83" t="s">
        <v>146</v>
      </c>
      <c r="BM256" s="185" t="s">
        <v>1264</v>
      </c>
    </row>
    <row r="257" spans="2:51" s="187" customFormat="1" ht="12">
      <c r="B257" s="188"/>
      <c r="D257" s="189" t="s">
        <v>148</v>
      </c>
      <c r="E257" s="190" t="s">
        <v>1</v>
      </c>
      <c r="F257" s="191" t="s">
        <v>1265</v>
      </c>
      <c r="H257" s="192">
        <v>5.47</v>
      </c>
      <c r="I257" s="233"/>
      <c r="L257" s="188"/>
      <c r="M257" s="193"/>
      <c r="N257" s="194"/>
      <c r="O257" s="194"/>
      <c r="P257" s="194"/>
      <c r="Q257" s="194"/>
      <c r="R257" s="194"/>
      <c r="S257" s="194"/>
      <c r="T257" s="195"/>
      <c r="AT257" s="190" t="s">
        <v>148</v>
      </c>
      <c r="AU257" s="190" t="s">
        <v>87</v>
      </c>
      <c r="AV257" s="187" t="s">
        <v>87</v>
      </c>
      <c r="AW257" s="187" t="s">
        <v>34</v>
      </c>
      <c r="AX257" s="187" t="s">
        <v>85</v>
      </c>
      <c r="AY257" s="190" t="s">
        <v>139</v>
      </c>
    </row>
    <row r="258" spans="1:65" s="95" customFormat="1" ht="24.2" customHeight="1">
      <c r="A258" s="93"/>
      <c r="B258" s="92"/>
      <c r="C258" s="217" t="s">
        <v>322</v>
      </c>
      <c r="D258" s="217" t="s">
        <v>251</v>
      </c>
      <c r="E258" s="218" t="s">
        <v>1266</v>
      </c>
      <c r="F258" s="219" t="s">
        <v>1267</v>
      </c>
      <c r="G258" s="220" t="s">
        <v>171</v>
      </c>
      <c r="H258" s="221">
        <v>5.47</v>
      </c>
      <c r="I258" s="70"/>
      <c r="J258" s="222">
        <f>ROUND(I258*H258,2)</f>
        <v>0</v>
      </c>
      <c r="K258" s="219" t="s">
        <v>967</v>
      </c>
      <c r="L258" s="223"/>
      <c r="M258" s="224" t="s">
        <v>1</v>
      </c>
      <c r="N258" s="225" t="s">
        <v>44</v>
      </c>
      <c r="O258" s="183">
        <v>0</v>
      </c>
      <c r="P258" s="183">
        <f>O258*H258</f>
        <v>0</v>
      </c>
      <c r="Q258" s="183">
        <v>0.075</v>
      </c>
      <c r="R258" s="183">
        <f>Q258*H258</f>
        <v>0.41024999999999995</v>
      </c>
      <c r="S258" s="183">
        <v>0</v>
      </c>
      <c r="T258" s="184">
        <f>S258*H258</f>
        <v>0</v>
      </c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R258" s="185" t="s">
        <v>187</v>
      </c>
      <c r="AT258" s="185" t="s">
        <v>251</v>
      </c>
      <c r="AU258" s="185" t="s">
        <v>87</v>
      </c>
      <c r="AY258" s="83" t="s">
        <v>139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83" t="s">
        <v>85</v>
      </c>
      <c r="BK258" s="186">
        <f>ROUND(I258*H258,2)</f>
        <v>0</v>
      </c>
      <c r="BL258" s="83" t="s">
        <v>146</v>
      </c>
      <c r="BM258" s="185" t="s">
        <v>1268</v>
      </c>
    </row>
    <row r="259" spans="1:65" s="95" customFormat="1" ht="62.65" customHeight="1">
      <c r="A259" s="93"/>
      <c r="B259" s="92"/>
      <c r="C259" s="175" t="s">
        <v>324</v>
      </c>
      <c r="D259" s="175" t="s">
        <v>141</v>
      </c>
      <c r="E259" s="176" t="s">
        <v>1269</v>
      </c>
      <c r="F259" s="177" t="s">
        <v>1270</v>
      </c>
      <c r="G259" s="178" t="s">
        <v>297</v>
      </c>
      <c r="H259" s="179">
        <v>1</v>
      </c>
      <c r="I259" s="69"/>
      <c r="J259" s="180">
        <f>ROUND(I259*H259,2)</f>
        <v>0</v>
      </c>
      <c r="K259" s="177" t="s">
        <v>967</v>
      </c>
      <c r="L259" s="92"/>
      <c r="M259" s="181" t="s">
        <v>1</v>
      </c>
      <c r="N259" s="182" t="s">
        <v>44</v>
      </c>
      <c r="O259" s="183">
        <v>0.046</v>
      </c>
      <c r="P259" s="183">
        <f>O259*H259</f>
        <v>0.046</v>
      </c>
      <c r="Q259" s="183">
        <v>0.0015</v>
      </c>
      <c r="R259" s="183">
        <f>Q259*H259</f>
        <v>0.0015</v>
      </c>
      <c r="S259" s="183">
        <v>0</v>
      </c>
      <c r="T259" s="184">
        <f>S259*H259</f>
        <v>0</v>
      </c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R259" s="185" t="s">
        <v>146</v>
      </c>
      <c r="AT259" s="185" t="s">
        <v>141</v>
      </c>
      <c r="AU259" s="185" t="s">
        <v>87</v>
      </c>
      <c r="AY259" s="83" t="s">
        <v>139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83" t="s">
        <v>85</v>
      </c>
      <c r="BK259" s="186">
        <f>ROUND(I259*H259,2)</f>
        <v>0</v>
      </c>
      <c r="BL259" s="83" t="s">
        <v>146</v>
      </c>
      <c r="BM259" s="185" t="s">
        <v>1271</v>
      </c>
    </row>
    <row r="260" spans="1:65" s="95" customFormat="1" ht="37.9" customHeight="1">
      <c r="A260" s="93"/>
      <c r="B260" s="92"/>
      <c r="C260" s="175" t="s">
        <v>328</v>
      </c>
      <c r="D260" s="175" t="s">
        <v>141</v>
      </c>
      <c r="E260" s="176" t="s">
        <v>1272</v>
      </c>
      <c r="F260" s="177" t="s">
        <v>1273</v>
      </c>
      <c r="G260" s="178" t="s">
        <v>297</v>
      </c>
      <c r="H260" s="179">
        <v>1</v>
      </c>
      <c r="I260" s="69"/>
      <c r="J260" s="180">
        <f>ROUND(I260*H260,2)</f>
        <v>0</v>
      </c>
      <c r="K260" s="177" t="s">
        <v>967</v>
      </c>
      <c r="L260" s="92"/>
      <c r="M260" s="181" t="s">
        <v>1</v>
      </c>
      <c r="N260" s="182" t="s">
        <v>44</v>
      </c>
      <c r="O260" s="183">
        <v>0.754</v>
      </c>
      <c r="P260" s="183">
        <f>O260*H260</f>
        <v>0.754</v>
      </c>
      <c r="Q260" s="183">
        <v>8E-05</v>
      </c>
      <c r="R260" s="183">
        <f>Q260*H260</f>
        <v>8E-05</v>
      </c>
      <c r="S260" s="183">
        <v>0</v>
      </c>
      <c r="T260" s="184">
        <f>S260*H260</f>
        <v>0</v>
      </c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R260" s="185" t="s">
        <v>146</v>
      </c>
      <c r="AT260" s="185" t="s">
        <v>141</v>
      </c>
      <c r="AU260" s="185" t="s">
        <v>87</v>
      </c>
      <c r="AY260" s="83" t="s">
        <v>139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83" t="s">
        <v>85</v>
      </c>
      <c r="BK260" s="186">
        <f>ROUND(I260*H260,2)</f>
        <v>0</v>
      </c>
      <c r="BL260" s="83" t="s">
        <v>146</v>
      </c>
      <c r="BM260" s="185" t="s">
        <v>1274</v>
      </c>
    </row>
    <row r="261" spans="1:65" s="95" customFormat="1" ht="24.2" customHeight="1">
      <c r="A261" s="93"/>
      <c r="B261" s="92"/>
      <c r="C261" s="217" t="s">
        <v>332</v>
      </c>
      <c r="D261" s="217" t="s">
        <v>251</v>
      </c>
      <c r="E261" s="218" t="s">
        <v>1275</v>
      </c>
      <c r="F261" s="219" t="s">
        <v>1276</v>
      </c>
      <c r="G261" s="220" t="s">
        <v>297</v>
      </c>
      <c r="H261" s="221">
        <v>1</v>
      </c>
      <c r="I261" s="70"/>
      <c r="J261" s="222">
        <f>ROUND(I261*H261,2)</f>
        <v>0</v>
      </c>
      <c r="K261" s="219" t="s">
        <v>1</v>
      </c>
      <c r="L261" s="223"/>
      <c r="M261" s="224" t="s">
        <v>1</v>
      </c>
      <c r="N261" s="225" t="s">
        <v>44</v>
      </c>
      <c r="O261" s="183">
        <v>0</v>
      </c>
      <c r="P261" s="183">
        <f>O261*H261</f>
        <v>0</v>
      </c>
      <c r="Q261" s="183">
        <v>0.034</v>
      </c>
      <c r="R261" s="183">
        <f>Q261*H261</f>
        <v>0.034</v>
      </c>
      <c r="S261" s="183">
        <v>0</v>
      </c>
      <c r="T261" s="184">
        <f>S261*H261</f>
        <v>0</v>
      </c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R261" s="185" t="s">
        <v>187</v>
      </c>
      <c r="AT261" s="185" t="s">
        <v>251</v>
      </c>
      <c r="AU261" s="185" t="s">
        <v>87</v>
      </c>
      <c r="AY261" s="83" t="s">
        <v>139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83" t="s">
        <v>85</v>
      </c>
      <c r="BK261" s="186">
        <f>ROUND(I261*H261,2)</f>
        <v>0</v>
      </c>
      <c r="BL261" s="83" t="s">
        <v>146</v>
      </c>
      <c r="BM261" s="185" t="s">
        <v>1277</v>
      </c>
    </row>
    <row r="262" spans="1:65" s="95" customFormat="1" ht="24.2" customHeight="1">
      <c r="A262" s="93"/>
      <c r="B262" s="92"/>
      <c r="C262" s="175" t="s">
        <v>337</v>
      </c>
      <c r="D262" s="175" t="s">
        <v>141</v>
      </c>
      <c r="E262" s="176" t="s">
        <v>858</v>
      </c>
      <c r="F262" s="177" t="s">
        <v>1136</v>
      </c>
      <c r="G262" s="178" t="s">
        <v>194</v>
      </c>
      <c r="H262" s="179">
        <v>0.903</v>
      </c>
      <c r="I262" s="69"/>
      <c r="J262" s="180">
        <f>ROUND(I262*H262,2)</f>
        <v>0</v>
      </c>
      <c r="K262" s="177" t="s">
        <v>967</v>
      </c>
      <c r="L262" s="92"/>
      <c r="M262" s="181" t="s">
        <v>1</v>
      </c>
      <c r="N262" s="182" t="s">
        <v>44</v>
      </c>
      <c r="O262" s="183">
        <v>2.177</v>
      </c>
      <c r="P262" s="183">
        <f>O262*H262</f>
        <v>1.965831</v>
      </c>
      <c r="Q262" s="183">
        <v>0</v>
      </c>
      <c r="R262" s="183">
        <f>Q262*H262</f>
        <v>0</v>
      </c>
      <c r="S262" s="183">
        <v>1.76</v>
      </c>
      <c r="T262" s="184">
        <f>S262*H262</f>
        <v>1.58928</v>
      </c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R262" s="185" t="s">
        <v>146</v>
      </c>
      <c r="AT262" s="185" t="s">
        <v>141</v>
      </c>
      <c r="AU262" s="185" t="s">
        <v>87</v>
      </c>
      <c r="AY262" s="83" t="s">
        <v>139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83" t="s">
        <v>85</v>
      </c>
      <c r="BK262" s="186">
        <f>ROUND(I262*H262,2)</f>
        <v>0</v>
      </c>
      <c r="BL262" s="83" t="s">
        <v>146</v>
      </c>
      <c r="BM262" s="185" t="s">
        <v>1278</v>
      </c>
    </row>
    <row r="263" spans="1:47" s="95" customFormat="1" ht="19.5">
      <c r="A263" s="93"/>
      <c r="B263" s="92"/>
      <c r="C263" s="93"/>
      <c r="D263" s="189" t="s">
        <v>153</v>
      </c>
      <c r="E263" s="93"/>
      <c r="F263" s="196" t="s">
        <v>1138</v>
      </c>
      <c r="G263" s="93"/>
      <c r="H263" s="93"/>
      <c r="I263" s="234"/>
      <c r="J263" s="93"/>
      <c r="K263" s="93"/>
      <c r="L263" s="92"/>
      <c r="M263" s="197"/>
      <c r="N263" s="198"/>
      <c r="O263" s="199"/>
      <c r="P263" s="199"/>
      <c r="Q263" s="199"/>
      <c r="R263" s="199"/>
      <c r="S263" s="199"/>
      <c r="T263" s="200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T263" s="83" t="s">
        <v>153</v>
      </c>
      <c r="AU263" s="83" t="s">
        <v>87</v>
      </c>
    </row>
    <row r="264" spans="2:51" s="201" customFormat="1" ht="12">
      <c r="B264" s="202"/>
      <c r="D264" s="189" t="s">
        <v>148</v>
      </c>
      <c r="E264" s="203" t="s">
        <v>1</v>
      </c>
      <c r="F264" s="204" t="s">
        <v>1279</v>
      </c>
      <c r="H264" s="203" t="s">
        <v>1</v>
      </c>
      <c r="I264" s="235"/>
      <c r="L264" s="202"/>
      <c r="M264" s="205"/>
      <c r="N264" s="206"/>
      <c r="O264" s="206"/>
      <c r="P264" s="206"/>
      <c r="Q264" s="206"/>
      <c r="R264" s="206"/>
      <c r="S264" s="206"/>
      <c r="T264" s="207"/>
      <c r="AT264" s="203" t="s">
        <v>148</v>
      </c>
      <c r="AU264" s="203" t="s">
        <v>87</v>
      </c>
      <c r="AV264" s="201" t="s">
        <v>85</v>
      </c>
      <c r="AW264" s="201" t="s">
        <v>34</v>
      </c>
      <c r="AX264" s="201" t="s">
        <v>78</v>
      </c>
      <c r="AY264" s="203" t="s">
        <v>139</v>
      </c>
    </row>
    <row r="265" spans="2:51" s="187" customFormat="1" ht="12">
      <c r="B265" s="188"/>
      <c r="D265" s="189" t="s">
        <v>148</v>
      </c>
      <c r="E265" s="190" t="s">
        <v>1</v>
      </c>
      <c r="F265" s="191" t="s">
        <v>1280</v>
      </c>
      <c r="H265" s="192">
        <v>0.903</v>
      </c>
      <c r="I265" s="233"/>
      <c r="L265" s="188"/>
      <c r="M265" s="193"/>
      <c r="N265" s="194"/>
      <c r="O265" s="194"/>
      <c r="P265" s="194"/>
      <c r="Q265" s="194"/>
      <c r="R265" s="194"/>
      <c r="S265" s="194"/>
      <c r="T265" s="195"/>
      <c r="AT265" s="190" t="s">
        <v>148</v>
      </c>
      <c r="AU265" s="190" t="s">
        <v>87</v>
      </c>
      <c r="AV265" s="187" t="s">
        <v>87</v>
      </c>
      <c r="AW265" s="187" t="s">
        <v>34</v>
      </c>
      <c r="AX265" s="187" t="s">
        <v>85</v>
      </c>
      <c r="AY265" s="190" t="s">
        <v>139</v>
      </c>
    </row>
    <row r="266" spans="1:65" s="95" customFormat="1" ht="24.2" customHeight="1">
      <c r="A266" s="93"/>
      <c r="B266" s="92"/>
      <c r="C266" s="175" t="s">
        <v>348</v>
      </c>
      <c r="D266" s="175" t="s">
        <v>141</v>
      </c>
      <c r="E266" s="176" t="s">
        <v>807</v>
      </c>
      <c r="F266" s="177" t="s">
        <v>808</v>
      </c>
      <c r="G266" s="178" t="s">
        <v>297</v>
      </c>
      <c r="H266" s="179">
        <v>1</v>
      </c>
      <c r="I266" s="69"/>
      <c r="J266" s="180">
        <f>ROUND(I266*H266,2)</f>
        <v>0</v>
      </c>
      <c r="K266" s="177" t="s">
        <v>967</v>
      </c>
      <c r="L266" s="92"/>
      <c r="M266" s="181" t="s">
        <v>1</v>
      </c>
      <c r="N266" s="182" t="s">
        <v>44</v>
      </c>
      <c r="O266" s="183">
        <v>0.641</v>
      </c>
      <c r="P266" s="183">
        <f>O266*H266</f>
        <v>0.641</v>
      </c>
      <c r="Q266" s="183">
        <v>0</v>
      </c>
      <c r="R266" s="183">
        <f>Q266*H266</f>
        <v>0</v>
      </c>
      <c r="S266" s="183">
        <v>0.1</v>
      </c>
      <c r="T266" s="184">
        <f>S266*H266</f>
        <v>0.1</v>
      </c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R266" s="185" t="s">
        <v>146</v>
      </c>
      <c r="AT266" s="185" t="s">
        <v>141</v>
      </c>
      <c r="AU266" s="185" t="s">
        <v>87</v>
      </c>
      <c r="AY266" s="83" t="s">
        <v>139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83" t="s">
        <v>85</v>
      </c>
      <c r="BK266" s="186">
        <f>ROUND(I266*H266,2)</f>
        <v>0</v>
      </c>
      <c r="BL266" s="83" t="s">
        <v>146</v>
      </c>
      <c r="BM266" s="185" t="s">
        <v>1281</v>
      </c>
    </row>
    <row r="267" spans="1:65" s="95" customFormat="1" ht="14.45" customHeight="1">
      <c r="A267" s="93"/>
      <c r="B267" s="92"/>
      <c r="C267" s="175" t="s">
        <v>352</v>
      </c>
      <c r="D267" s="175" t="s">
        <v>141</v>
      </c>
      <c r="E267" s="176" t="s">
        <v>554</v>
      </c>
      <c r="F267" s="177" t="s">
        <v>1179</v>
      </c>
      <c r="G267" s="178" t="s">
        <v>171</v>
      </c>
      <c r="H267" s="179">
        <v>6.07</v>
      </c>
      <c r="I267" s="69"/>
      <c r="J267" s="180">
        <f>ROUND(I267*H267,2)</f>
        <v>0</v>
      </c>
      <c r="K267" s="177" t="s">
        <v>967</v>
      </c>
      <c r="L267" s="92"/>
      <c r="M267" s="181" t="s">
        <v>1</v>
      </c>
      <c r="N267" s="182" t="s">
        <v>44</v>
      </c>
      <c r="O267" s="183">
        <v>0.025</v>
      </c>
      <c r="P267" s="183">
        <f>O267*H267</f>
        <v>0.15175000000000002</v>
      </c>
      <c r="Q267" s="183">
        <v>9E-05</v>
      </c>
      <c r="R267" s="183">
        <f>Q267*H267</f>
        <v>0.0005463000000000001</v>
      </c>
      <c r="S267" s="183">
        <v>0</v>
      </c>
      <c r="T267" s="184">
        <f>S267*H267</f>
        <v>0</v>
      </c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R267" s="185" t="s">
        <v>146</v>
      </c>
      <c r="AT267" s="185" t="s">
        <v>141</v>
      </c>
      <c r="AU267" s="185" t="s">
        <v>87</v>
      </c>
      <c r="AY267" s="83" t="s">
        <v>139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83" t="s">
        <v>85</v>
      </c>
      <c r="BK267" s="186">
        <f>ROUND(I267*H267,2)</f>
        <v>0</v>
      </c>
      <c r="BL267" s="83" t="s">
        <v>146</v>
      </c>
      <c r="BM267" s="185" t="s">
        <v>1282</v>
      </c>
    </row>
    <row r="268" spans="2:51" s="201" customFormat="1" ht="12">
      <c r="B268" s="202"/>
      <c r="D268" s="189" t="s">
        <v>148</v>
      </c>
      <c r="E268" s="203" t="s">
        <v>1</v>
      </c>
      <c r="F268" s="204" t="s">
        <v>1181</v>
      </c>
      <c r="H268" s="203" t="s">
        <v>1</v>
      </c>
      <c r="I268" s="235"/>
      <c r="L268" s="202"/>
      <c r="M268" s="205"/>
      <c r="N268" s="206"/>
      <c r="O268" s="206"/>
      <c r="P268" s="206"/>
      <c r="Q268" s="206"/>
      <c r="R268" s="206"/>
      <c r="S268" s="206"/>
      <c r="T268" s="207"/>
      <c r="AT268" s="203" t="s">
        <v>148</v>
      </c>
      <c r="AU268" s="203" t="s">
        <v>87</v>
      </c>
      <c r="AV268" s="201" t="s">
        <v>85</v>
      </c>
      <c r="AW268" s="201" t="s">
        <v>34</v>
      </c>
      <c r="AX268" s="201" t="s">
        <v>78</v>
      </c>
      <c r="AY268" s="203" t="s">
        <v>139</v>
      </c>
    </row>
    <row r="269" spans="2:51" s="187" customFormat="1" ht="12">
      <c r="B269" s="188"/>
      <c r="D269" s="189" t="s">
        <v>148</v>
      </c>
      <c r="E269" s="190" t="s">
        <v>1</v>
      </c>
      <c r="F269" s="191" t="s">
        <v>1283</v>
      </c>
      <c r="H269" s="192">
        <v>6.07</v>
      </c>
      <c r="I269" s="233"/>
      <c r="L269" s="188"/>
      <c r="M269" s="193"/>
      <c r="N269" s="194"/>
      <c r="O269" s="194"/>
      <c r="P269" s="194"/>
      <c r="Q269" s="194"/>
      <c r="R269" s="194"/>
      <c r="S269" s="194"/>
      <c r="T269" s="195"/>
      <c r="AT269" s="190" t="s">
        <v>148</v>
      </c>
      <c r="AU269" s="190" t="s">
        <v>87</v>
      </c>
      <c r="AV269" s="187" t="s">
        <v>87</v>
      </c>
      <c r="AW269" s="187" t="s">
        <v>34</v>
      </c>
      <c r="AX269" s="187" t="s">
        <v>85</v>
      </c>
      <c r="AY269" s="190" t="s">
        <v>139</v>
      </c>
    </row>
    <row r="270" spans="2:63" s="162" customFormat="1" ht="22.9" customHeight="1">
      <c r="B270" s="163"/>
      <c r="D270" s="164" t="s">
        <v>77</v>
      </c>
      <c r="E270" s="173" t="s">
        <v>191</v>
      </c>
      <c r="F270" s="173" t="s">
        <v>562</v>
      </c>
      <c r="I270" s="237"/>
      <c r="J270" s="174">
        <f>SUM(J271:J279)</f>
        <v>0</v>
      </c>
      <c r="L270" s="163"/>
      <c r="M270" s="167"/>
      <c r="N270" s="168"/>
      <c r="O270" s="168"/>
      <c r="P270" s="169">
        <f>SUM(P271:P279)</f>
        <v>2.624757</v>
      </c>
      <c r="Q270" s="168"/>
      <c r="R270" s="169">
        <f>SUM(R271:R279)</f>
        <v>0.018970710000000002</v>
      </c>
      <c r="S270" s="168"/>
      <c r="T270" s="170">
        <f>SUM(T271:T279)</f>
        <v>0.07632</v>
      </c>
      <c r="AR270" s="164" t="s">
        <v>85</v>
      </c>
      <c r="AT270" s="171" t="s">
        <v>77</v>
      </c>
      <c r="AU270" s="171" t="s">
        <v>85</v>
      </c>
      <c r="AY270" s="164" t="s">
        <v>139</v>
      </c>
      <c r="BK270" s="172">
        <f>SUM(BK271:BK279)</f>
        <v>0</v>
      </c>
    </row>
    <row r="271" spans="1:65" s="95" customFormat="1" ht="24.2" customHeight="1">
      <c r="A271" s="93"/>
      <c r="B271" s="92"/>
      <c r="C271" s="175" t="s">
        <v>362</v>
      </c>
      <c r="D271" s="175" t="s">
        <v>141</v>
      </c>
      <c r="E271" s="176" t="s">
        <v>829</v>
      </c>
      <c r="F271" s="177" t="s">
        <v>830</v>
      </c>
      <c r="G271" s="178" t="s">
        <v>171</v>
      </c>
      <c r="H271" s="179">
        <v>6.3</v>
      </c>
      <c r="I271" s="69"/>
      <c r="J271" s="180">
        <f>ROUND(I271*H271,2)</f>
        <v>0</v>
      </c>
      <c r="K271" s="177" t="s">
        <v>967</v>
      </c>
      <c r="L271" s="92"/>
      <c r="M271" s="181" t="s">
        <v>1</v>
      </c>
      <c r="N271" s="182" t="s">
        <v>44</v>
      </c>
      <c r="O271" s="183">
        <v>0.196</v>
      </c>
      <c r="P271" s="183">
        <f>O271*H271</f>
        <v>1.2348000000000001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R271" s="185" t="s">
        <v>146</v>
      </c>
      <c r="AT271" s="185" t="s">
        <v>141</v>
      </c>
      <c r="AU271" s="185" t="s">
        <v>87</v>
      </c>
      <c r="AY271" s="83" t="s">
        <v>139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83" t="s">
        <v>85</v>
      </c>
      <c r="BK271" s="186">
        <f>ROUND(I271*H271,2)</f>
        <v>0</v>
      </c>
      <c r="BL271" s="83" t="s">
        <v>146</v>
      </c>
      <c r="BM271" s="185" t="s">
        <v>1285</v>
      </c>
    </row>
    <row r="272" spans="2:51" s="201" customFormat="1" ht="12">
      <c r="B272" s="202"/>
      <c r="D272" s="189" t="s">
        <v>148</v>
      </c>
      <c r="E272" s="203" t="s">
        <v>1</v>
      </c>
      <c r="F272" s="204" t="s">
        <v>307</v>
      </c>
      <c r="H272" s="203" t="s">
        <v>1</v>
      </c>
      <c r="I272" s="235"/>
      <c r="L272" s="202"/>
      <c r="M272" s="205"/>
      <c r="N272" s="206"/>
      <c r="O272" s="206"/>
      <c r="P272" s="206"/>
      <c r="Q272" s="206"/>
      <c r="R272" s="206"/>
      <c r="S272" s="206"/>
      <c r="T272" s="207"/>
      <c r="AT272" s="203" t="s">
        <v>148</v>
      </c>
      <c r="AU272" s="203" t="s">
        <v>87</v>
      </c>
      <c r="AV272" s="201" t="s">
        <v>85</v>
      </c>
      <c r="AW272" s="201" t="s">
        <v>34</v>
      </c>
      <c r="AX272" s="201" t="s">
        <v>78</v>
      </c>
      <c r="AY272" s="203" t="s">
        <v>139</v>
      </c>
    </row>
    <row r="273" spans="2:51" s="187" customFormat="1" ht="12">
      <c r="B273" s="188"/>
      <c r="D273" s="189" t="s">
        <v>148</v>
      </c>
      <c r="E273" s="190" t="s">
        <v>1</v>
      </c>
      <c r="F273" s="191" t="s">
        <v>1284</v>
      </c>
      <c r="H273" s="192">
        <v>6.3</v>
      </c>
      <c r="I273" s="233"/>
      <c r="L273" s="188"/>
      <c r="M273" s="193"/>
      <c r="N273" s="194"/>
      <c r="O273" s="194"/>
      <c r="P273" s="194"/>
      <c r="Q273" s="194"/>
      <c r="R273" s="194"/>
      <c r="S273" s="194"/>
      <c r="T273" s="195"/>
      <c r="AT273" s="190" t="s">
        <v>148</v>
      </c>
      <c r="AU273" s="190" t="s">
        <v>87</v>
      </c>
      <c r="AV273" s="187" t="s">
        <v>87</v>
      </c>
      <c r="AW273" s="187" t="s">
        <v>34</v>
      </c>
      <c r="AX273" s="187" t="s">
        <v>85</v>
      </c>
      <c r="AY273" s="190" t="s">
        <v>139</v>
      </c>
    </row>
    <row r="274" spans="1:65" s="95" customFormat="1" ht="49.15" customHeight="1">
      <c r="A274" s="93"/>
      <c r="B274" s="92"/>
      <c r="C274" s="175" t="s">
        <v>367</v>
      </c>
      <c r="D274" s="175" t="s">
        <v>141</v>
      </c>
      <c r="E274" s="176" t="s">
        <v>865</v>
      </c>
      <c r="F274" s="177" t="s">
        <v>866</v>
      </c>
      <c r="G274" s="178" t="s">
        <v>194</v>
      </c>
      <c r="H274" s="179">
        <v>0.007</v>
      </c>
      <c r="I274" s="69"/>
      <c r="J274" s="180">
        <f>ROUND(I274*H274,2)</f>
        <v>0</v>
      </c>
      <c r="K274" s="177" t="s">
        <v>1</v>
      </c>
      <c r="L274" s="92"/>
      <c r="M274" s="181" t="s">
        <v>1</v>
      </c>
      <c r="N274" s="182" t="s">
        <v>44</v>
      </c>
      <c r="O274" s="183">
        <v>42.051</v>
      </c>
      <c r="P274" s="183">
        <f>O274*H274</f>
        <v>0.29435700000000004</v>
      </c>
      <c r="Q274" s="183">
        <v>2.57913</v>
      </c>
      <c r="R274" s="183">
        <f>Q274*H274</f>
        <v>0.018053910000000003</v>
      </c>
      <c r="S274" s="183">
        <v>0</v>
      </c>
      <c r="T274" s="184">
        <f>S274*H274</f>
        <v>0</v>
      </c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R274" s="185" t="s">
        <v>146</v>
      </c>
      <c r="AT274" s="185" t="s">
        <v>141</v>
      </c>
      <c r="AU274" s="185" t="s">
        <v>87</v>
      </c>
      <c r="AY274" s="83" t="s">
        <v>139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83" t="s">
        <v>85</v>
      </c>
      <c r="BK274" s="186">
        <f>ROUND(I274*H274,2)</f>
        <v>0</v>
      </c>
      <c r="BL274" s="83" t="s">
        <v>146</v>
      </c>
      <c r="BM274" s="185" t="s">
        <v>1286</v>
      </c>
    </row>
    <row r="275" spans="2:51" s="201" customFormat="1" ht="22.5">
      <c r="B275" s="202"/>
      <c r="D275" s="189" t="s">
        <v>148</v>
      </c>
      <c r="E275" s="203" t="s">
        <v>1</v>
      </c>
      <c r="F275" s="204" t="s">
        <v>867</v>
      </c>
      <c r="H275" s="203" t="s">
        <v>1</v>
      </c>
      <c r="I275" s="235"/>
      <c r="L275" s="202"/>
      <c r="M275" s="205"/>
      <c r="N275" s="206"/>
      <c r="O275" s="206"/>
      <c r="P275" s="206"/>
      <c r="Q275" s="206"/>
      <c r="R275" s="206"/>
      <c r="S275" s="206"/>
      <c r="T275" s="207"/>
      <c r="AT275" s="203" t="s">
        <v>148</v>
      </c>
      <c r="AU275" s="203" t="s">
        <v>87</v>
      </c>
      <c r="AV275" s="201" t="s">
        <v>85</v>
      </c>
      <c r="AW275" s="201" t="s">
        <v>34</v>
      </c>
      <c r="AX275" s="201" t="s">
        <v>78</v>
      </c>
      <c r="AY275" s="203" t="s">
        <v>139</v>
      </c>
    </row>
    <row r="276" spans="2:51" s="187" customFormat="1" ht="12">
      <c r="B276" s="188"/>
      <c r="D276" s="189" t="s">
        <v>148</v>
      </c>
      <c r="E276" s="190" t="s">
        <v>1</v>
      </c>
      <c r="F276" s="191" t="s">
        <v>1287</v>
      </c>
      <c r="H276" s="192">
        <v>0.007</v>
      </c>
      <c r="I276" s="233"/>
      <c r="L276" s="188"/>
      <c r="M276" s="193"/>
      <c r="N276" s="194"/>
      <c r="O276" s="194"/>
      <c r="P276" s="194"/>
      <c r="Q276" s="194"/>
      <c r="R276" s="194"/>
      <c r="S276" s="194"/>
      <c r="T276" s="195"/>
      <c r="AT276" s="190" t="s">
        <v>148</v>
      </c>
      <c r="AU276" s="190" t="s">
        <v>87</v>
      </c>
      <c r="AV276" s="187" t="s">
        <v>87</v>
      </c>
      <c r="AW276" s="187" t="s">
        <v>34</v>
      </c>
      <c r="AX276" s="187" t="s">
        <v>85</v>
      </c>
      <c r="AY276" s="190" t="s">
        <v>139</v>
      </c>
    </row>
    <row r="277" spans="1:65" s="95" customFormat="1" ht="37.9" customHeight="1">
      <c r="A277" s="93"/>
      <c r="B277" s="92"/>
      <c r="C277" s="175" t="s">
        <v>371</v>
      </c>
      <c r="D277" s="175" t="s">
        <v>141</v>
      </c>
      <c r="E277" s="176" t="s">
        <v>1192</v>
      </c>
      <c r="F277" s="177" t="s">
        <v>1193</v>
      </c>
      <c r="G277" s="178" t="s">
        <v>171</v>
      </c>
      <c r="H277" s="179">
        <v>0.12</v>
      </c>
      <c r="I277" s="69"/>
      <c r="J277" s="180">
        <f>ROUND(I277*H277,2)</f>
        <v>0</v>
      </c>
      <c r="K277" s="177" t="s">
        <v>967</v>
      </c>
      <c r="L277" s="92"/>
      <c r="M277" s="181" t="s">
        <v>1</v>
      </c>
      <c r="N277" s="182" t="s">
        <v>44</v>
      </c>
      <c r="O277" s="183">
        <v>6.6</v>
      </c>
      <c r="P277" s="183">
        <f>O277*H277</f>
        <v>0.7919999999999999</v>
      </c>
      <c r="Q277" s="183">
        <v>0.00764</v>
      </c>
      <c r="R277" s="183">
        <f>Q277*H277</f>
        <v>0.0009168</v>
      </c>
      <c r="S277" s="183">
        <v>0.636</v>
      </c>
      <c r="T277" s="184">
        <f>S277*H277</f>
        <v>0.07632</v>
      </c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R277" s="185" t="s">
        <v>146</v>
      </c>
      <c r="AT277" s="185" t="s">
        <v>141</v>
      </c>
      <c r="AU277" s="185" t="s">
        <v>87</v>
      </c>
      <c r="AY277" s="83" t="s">
        <v>139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83" t="s">
        <v>85</v>
      </c>
      <c r="BK277" s="186">
        <f>ROUND(I277*H277,2)</f>
        <v>0</v>
      </c>
      <c r="BL277" s="83" t="s">
        <v>146</v>
      </c>
      <c r="BM277" s="185" t="s">
        <v>1288</v>
      </c>
    </row>
    <row r="278" spans="2:51" s="187" customFormat="1" ht="12">
      <c r="B278" s="188"/>
      <c r="D278" s="189" t="s">
        <v>148</v>
      </c>
      <c r="E278" s="190" t="s">
        <v>1</v>
      </c>
      <c r="F278" s="191" t="s">
        <v>1289</v>
      </c>
      <c r="H278" s="192">
        <v>0.12</v>
      </c>
      <c r="I278" s="233"/>
      <c r="L278" s="188"/>
      <c r="M278" s="193"/>
      <c r="N278" s="194"/>
      <c r="O278" s="194"/>
      <c r="P278" s="194"/>
      <c r="Q278" s="194"/>
      <c r="R278" s="194"/>
      <c r="S278" s="194"/>
      <c r="T278" s="195"/>
      <c r="AT278" s="190" t="s">
        <v>148</v>
      </c>
      <c r="AU278" s="190" t="s">
        <v>87</v>
      </c>
      <c r="AV278" s="187" t="s">
        <v>87</v>
      </c>
      <c r="AW278" s="187" t="s">
        <v>34</v>
      </c>
      <c r="AX278" s="187" t="s">
        <v>85</v>
      </c>
      <c r="AY278" s="190" t="s">
        <v>139</v>
      </c>
    </row>
    <row r="279" spans="1:65" s="95" customFormat="1" ht="62.65" customHeight="1">
      <c r="A279" s="93"/>
      <c r="B279" s="92"/>
      <c r="C279" s="175" t="s">
        <v>375</v>
      </c>
      <c r="D279" s="175" t="s">
        <v>141</v>
      </c>
      <c r="E279" s="176" t="s">
        <v>1290</v>
      </c>
      <c r="F279" s="177" t="s">
        <v>1291</v>
      </c>
      <c r="G279" s="178" t="s">
        <v>144</v>
      </c>
      <c r="H279" s="179">
        <v>2.64</v>
      </c>
      <c r="I279" s="69"/>
      <c r="J279" s="180">
        <f>ROUND(I279*H279,2)</f>
        <v>0</v>
      </c>
      <c r="K279" s="177" t="s">
        <v>967</v>
      </c>
      <c r="L279" s="92"/>
      <c r="M279" s="181" t="s">
        <v>1</v>
      </c>
      <c r="N279" s="182" t="s">
        <v>44</v>
      </c>
      <c r="O279" s="183">
        <v>0.115</v>
      </c>
      <c r="P279" s="183">
        <f>O279*H279</f>
        <v>0.30360000000000004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R279" s="185" t="s">
        <v>146</v>
      </c>
      <c r="AT279" s="185" t="s">
        <v>141</v>
      </c>
      <c r="AU279" s="185" t="s">
        <v>87</v>
      </c>
      <c r="AY279" s="83" t="s">
        <v>139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83" t="s">
        <v>85</v>
      </c>
      <c r="BK279" s="186">
        <f>ROUND(I279*H279,2)</f>
        <v>0</v>
      </c>
      <c r="BL279" s="83" t="s">
        <v>146</v>
      </c>
      <c r="BM279" s="185" t="s">
        <v>1292</v>
      </c>
    </row>
    <row r="280" spans="2:63" s="162" customFormat="1" ht="22.9" customHeight="1">
      <c r="B280" s="163"/>
      <c r="D280" s="164" t="s">
        <v>77</v>
      </c>
      <c r="E280" s="173" t="s">
        <v>576</v>
      </c>
      <c r="F280" s="173" t="s">
        <v>577</v>
      </c>
      <c r="I280" s="237"/>
      <c r="J280" s="174">
        <f>J281</f>
        <v>0</v>
      </c>
      <c r="L280" s="163"/>
      <c r="M280" s="167"/>
      <c r="N280" s="168"/>
      <c r="O280" s="168"/>
      <c r="P280" s="169">
        <f>SUM(P281:P286)</f>
        <v>0.07428</v>
      </c>
      <c r="Q280" s="168"/>
      <c r="R280" s="169">
        <f>SUM(R281:R286)</f>
        <v>0</v>
      </c>
      <c r="S280" s="168"/>
      <c r="T280" s="170">
        <f>SUM(T281:T286)</f>
        <v>0</v>
      </c>
      <c r="AR280" s="164" t="s">
        <v>85</v>
      </c>
      <c r="AT280" s="171" t="s">
        <v>77</v>
      </c>
      <c r="AU280" s="171" t="s">
        <v>85</v>
      </c>
      <c r="AY280" s="164" t="s">
        <v>139</v>
      </c>
      <c r="BK280" s="172">
        <f>SUM(BK281:BK286)</f>
        <v>0</v>
      </c>
    </row>
    <row r="281" spans="1:65" s="95" customFormat="1" ht="24.2" customHeight="1">
      <c r="A281" s="93"/>
      <c r="B281" s="92"/>
      <c r="C281" s="175" t="s">
        <v>379</v>
      </c>
      <c r="D281" s="175" t="s">
        <v>141</v>
      </c>
      <c r="E281" s="176" t="s">
        <v>579</v>
      </c>
      <c r="F281" s="177" t="s">
        <v>580</v>
      </c>
      <c r="G281" s="178" t="s">
        <v>254</v>
      </c>
      <c r="H281" s="179">
        <v>2.476</v>
      </c>
      <c r="I281" s="69"/>
      <c r="J281" s="180">
        <f>ROUND(I281*H281,2)</f>
        <v>0</v>
      </c>
      <c r="K281" s="177" t="s">
        <v>1</v>
      </c>
      <c r="L281" s="92"/>
      <c r="M281" s="181" t="s">
        <v>1</v>
      </c>
      <c r="N281" s="182" t="s">
        <v>44</v>
      </c>
      <c r="O281" s="183">
        <v>0.03</v>
      </c>
      <c r="P281" s="183">
        <f>O281*H281</f>
        <v>0.07428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R281" s="185" t="s">
        <v>146</v>
      </c>
      <c r="AT281" s="185" t="s">
        <v>141</v>
      </c>
      <c r="AU281" s="185" t="s">
        <v>87</v>
      </c>
      <c r="AY281" s="83" t="s">
        <v>139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83" t="s">
        <v>85</v>
      </c>
      <c r="BK281" s="186">
        <f>ROUND(I281*H281,2)</f>
        <v>0</v>
      </c>
      <c r="BL281" s="83" t="s">
        <v>146</v>
      </c>
      <c r="BM281" s="185" t="s">
        <v>1293</v>
      </c>
    </row>
    <row r="282" spans="2:51" s="201" customFormat="1" ht="12">
      <c r="B282" s="202"/>
      <c r="D282" s="189" t="s">
        <v>148</v>
      </c>
      <c r="E282" s="203" t="s">
        <v>1</v>
      </c>
      <c r="F282" s="204" t="s">
        <v>583</v>
      </c>
      <c r="H282" s="203" t="s">
        <v>1</v>
      </c>
      <c r="I282" s="235"/>
      <c r="L282" s="202"/>
      <c r="M282" s="205"/>
      <c r="N282" s="206"/>
      <c r="O282" s="206"/>
      <c r="P282" s="206"/>
      <c r="Q282" s="206"/>
      <c r="R282" s="206"/>
      <c r="S282" s="206"/>
      <c r="T282" s="207"/>
      <c r="AT282" s="203" t="s">
        <v>148</v>
      </c>
      <c r="AU282" s="203" t="s">
        <v>87</v>
      </c>
      <c r="AV282" s="201" t="s">
        <v>85</v>
      </c>
      <c r="AW282" s="201" t="s">
        <v>34</v>
      </c>
      <c r="AX282" s="201" t="s">
        <v>78</v>
      </c>
      <c r="AY282" s="203" t="s">
        <v>139</v>
      </c>
    </row>
    <row r="283" spans="2:51" s="201" customFormat="1" ht="12">
      <c r="B283" s="202"/>
      <c r="D283" s="189" t="s">
        <v>148</v>
      </c>
      <c r="E283" s="203" t="s">
        <v>1</v>
      </c>
      <c r="F283" s="204" t="s">
        <v>243</v>
      </c>
      <c r="H283" s="203" t="s">
        <v>1</v>
      </c>
      <c r="I283" s="235"/>
      <c r="L283" s="202"/>
      <c r="M283" s="205"/>
      <c r="N283" s="206"/>
      <c r="O283" s="206"/>
      <c r="P283" s="206"/>
      <c r="Q283" s="206"/>
      <c r="R283" s="206"/>
      <c r="S283" s="206"/>
      <c r="T283" s="207"/>
      <c r="AT283" s="203" t="s">
        <v>148</v>
      </c>
      <c r="AU283" s="203" t="s">
        <v>87</v>
      </c>
      <c r="AV283" s="201" t="s">
        <v>85</v>
      </c>
      <c r="AW283" s="201" t="s">
        <v>34</v>
      </c>
      <c r="AX283" s="201" t="s">
        <v>78</v>
      </c>
      <c r="AY283" s="203" t="s">
        <v>139</v>
      </c>
    </row>
    <row r="284" spans="2:51" s="187" customFormat="1" ht="22.5">
      <c r="B284" s="188"/>
      <c r="D284" s="189" t="s">
        <v>148</v>
      </c>
      <c r="E284" s="190" t="s">
        <v>1</v>
      </c>
      <c r="F284" s="191" t="s">
        <v>1294</v>
      </c>
      <c r="H284" s="192">
        <v>0.887</v>
      </c>
      <c r="I284" s="233"/>
      <c r="L284" s="188"/>
      <c r="M284" s="193"/>
      <c r="N284" s="194"/>
      <c r="O284" s="194"/>
      <c r="P284" s="194"/>
      <c r="Q284" s="194"/>
      <c r="R284" s="194"/>
      <c r="S284" s="194"/>
      <c r="T284" s="195"/>
      <c r="AT284" s="190" t="s">
        <v>148</v>
      </c>
      <c r="AU284" s="190" t="s">
        <v>87</v>
      </c>
      <c r="AV284" s="187" t="s">
        <v>87</v>
      </c>
      <c r="AW284" s="187" t="s">
        <v>34</v>
      </c>
      <c r="AX284" s="187" t="s">
        <v>78</v>
      </c>
      <c r="AY284" s="190" t="s">
        <v>139</v>
      </c>
    </row>
    <row r="285" spans="2:51" s="187" customFormat="1" ht="12">
      <c r="B285" s="188"/>
      <c r="D285" s="189" t="s">
        <v>148</v>
      </c>
      <c r="E285" s="190" t="s">
        <v>1</v>
      </c>
      <c r="F285" s="191" t="s">
        <v>1295</v>
      </c>
      <c r="H285" s="192">
        <v>1.589</v>
      </c>
      <c r="I285" s="233"/>
      <c r="L285" s="188"/>
      <c r="M285" s="193"/>
      <c r="N285" s="194"/>
      <c r="O285" s="194"/>
      <c r="P285" s="194"/>
      <c r="Q285" s="194"/>
      <c r="R285" s="194"/>
      <c r="S285" s="194"/>
      <c r="T285" s="195"/>
      <c r="AT285" s="190" t="s">
        <v>148</v>
      </c>
      <c r="AU285" s="190" t="s">
        <v>87</v>
      </c>
      <c r="AV285" s="187" t="s">
        <v>87</v>
      </c>
      <c r="AW285" s="187" t="s">
        <v>34</v>
      </c>
      <c r="AX285" s="187" t="s">
        <v>78</v>
      </c>
      <c r="AY285" s="190" t="s">
        <v>139</v>
      </c>
    </row>
    <row r="286" spans="2:51" s="208" customFormat="1" ht="12">
      <c r="B286" s="209"/>
      <c r="D286" s="189" t="s">
        <v>148</v>
      </c>
      <c r="E286" s="210" t="s">
        <v>1</v>
      </c>
      <c r="F286" s="211" t="s">
        <v>159</v>
      </c>
      <c r="H286" s="212">
        <v>2.476</v>
      </c>
      <c r="I286" s="236"/>
      <c r="L286" s="209"/>
      <c r="M286" s="213"/>
      <c r="N286" s="214"/>
      <c r="O286" s="214"/>
      <c r="P286" s="214"/>
      <c r="Q286" s="214"/>
      <c r="R286" s="214"/>
      <c r="S286" s="214"/>
      <c r="T286" s="215"/>
      <c r="AT286" s="210" t="s">
        <v>148</v>
      </c>
      <c r="AU286" s="210" t="s">
        <v>87</v>
      </c>
      <c r="AV286" s="208" t="s">
        <v>146</v>
      </c>
      <c r="AW286" s="208" t="s">
        <v>34</v>
      </c>
      <c r="AX286" s="208" t="s">
        <v>85</v>
      </c>
      <c r="AY286" s="210" t="s">
        <v>139</v>
      </c>
    </row>
    <row r="287" spans="2:63" s="162" customFormat="1" ht="22.9" customHeight="1">
      <c r="B287" s="163"/>
      <c r="D287" s="164" t="s">
        <v>77</v>
      </c>
      <c r="E287" s="173" t="s">
        <v>584</v>
      </c>
      <c r="F287" s="173" t="s">
        <v>585</v>
      </c>
      <c r="I287" s="237"/>
      <c r="J287" s="174">
        <f>J288</f>
        <v>0</v>
      </c>
      <c r="L287" s="163"/>
      <c r="M287" s="167"/>
      <c r="N287" s="168"/>
      <c r="O287" s="168"/>
      <c r="P287" s="169">
        <f>P288</f>
        <v>0.657504</v>
      </c>
      <c r="Q287" s="168"/>
      <c r="R287" s="169">
        <f>R288</f>
        <v>0</v>
      </c>
      <c r="S287" s="168"/>
      <c r="T287" s="170">
        <f>T288</f>
        <v>0</v>
      </c>
      <c r="AR287" s="164" t="s">
        <v>85</v>
      </c>
      <c r="AT287" s="171" t="s">
        <v>77</v>
      </c>
      <c r="AU287" s="171" t="s">
        <v>85</v>
      </c>
      <c r="AY287" s="164" t="s">
        <v>139</v>
      </c>
      <c r="BK287" s="172">
        <f>BK288</f>
        <v>0</v>
      </c>
    </row>
    <row r="288" spans="1:65" s="95" customFormat="1" ht="37.9" customHeight="1">
      <c r="A288" s="93"/>
      <c r="B288" s="92"/>
      <c r="C288" s="175" t="s">
        <v>384</v>
      </c>
      <c r="D288" s="175" t="s">
        <v>141</v>
      </c>
      <c r="E288" s="176" t="s">
        <v>1199</v>
      </c>
      <c r="F288" s="177" t="s">
        <v>1200</v>
      </c>
      <c r="G288" s="178" t="s">
        <v>254</v>
      </c>
      <c r="H288" s="179">
        <v>0.864</v>
      </c>
      <c r="I288" s="69"/>
      <c r="J288" s="180">
        <f>ROUND(I288*H288,2)</f>
        <v>0</v>
      </c>
      <c r="K288" s="177" t="s">
        <v>967</v>
      </c>
      <c r="L288" s="92"/>
      <c r="M288" s="181" t="s">
        <v>1</v>
      </c>
      <c r="N288" s="182" t="s">
        <v>44</v>
      </c>
      <c r="O288" s="183">
        <v>0.761</v>
      </c>
      <c r="P288" s="183">
        <f>O288*H288</f>
        <v>0.657504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R288" s="185" t="s">
        <v>146</v>
      </c>
      <c r="AT288" s="185" t="s">
        <v>141</v>
      </c>
      <c r="AU288" s="185" t="s">
        <v>87</v>
      </c>
      <c r="AY288" s="83" t="s">
        <v>139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83" t="s">
        <v>85</v>
      </c>
      <c r="BK288" s="186">
        <f>ROUND(I288*H288,2)</f>
        <v>0</v>
      </c>
      <c r="BL288" s="83" t="s">
        <v>146</v>
      </c>
      <c r="BM288" s="185" t="s">
        <v>1296</v>
      </c>
    </row>
    <row r="289" spans="2:63" s="162" customFormat="1" ht="25.9" customHeight="1">
      <c r="B289" s="163"/>
      <c r="D289" s="164" t="s">
        <v>77</v>
      </c>
      <c r="E289" s="165" t="s">
        <v>590</v>
      </c>
      <c r="F289" s="165" t="s">
        <v>591</v>
      </c>
      <c r="I289" s="237"/>
      <c r="J289" s="166">
        <f>J290</f>
        <v>0</v>
      </c>
      <c r="L289" s="163"/>
      <c r="M289" s="167"/>
      <c r="N289" s="168"/>
      <c r="O289" s="168"/>
      <c r="P289" s="169">
        <f>SUM(P290:P292)</f>
        <v>0.20756999999999998</v>
      </c>
      <c r="Q289" s="168"/>
      <c r="R289" s="169">
        <f>SUM(R290:R292)</f>
        <v>0</v>
      </c>
      <c r="S289" s="168"/>
      <c r="T289" s="170">
        <f>SUM(T290:T292)</f>
        <v>0</v>
      </c>
      <c r="AR289" s="164" t="s">
        <v>146</v>
      </c>
      <c r="AT289" s="171" t="s">
        <v>77</v>
      </c>
      <c r="AU289" s="171" t="s">
        <v>78</v>
      </c>
      <c r="AY289" s="164" t="s">
        <v>139</v>
      </c>
      <c r="BK289" s="172">
        <f>SUM(BK290:BK292)</f>
        <v>0</v>
      </c>
    </row>
    <row r="290" spans="1:65" s="95" customFormat="1" ht="24.2" customHeight="1">
      <c r="A290" s="93"/>
      <c r="B290" s="92"/>
      <c r="C290" s="175" t="s">
        <v>388</v>
      </c>
      <c r="D290" s="175" t="s">
        <v>141</v>
      </c>
      <c r="E290" s="176" t="s">
        <v>870</v>
      </c>
      <c r="F290" s="177" t="s">
        <v>1202</v>
      </c>
      <c r="G290" s="178" t="s">
        <v>194</v>
      </c>
      <c r="H290" s="179">
        <v>0.407</v>
      </c>
      <c r="I290" s="69"/>
      <c r="J290" s="180">
        <f>ROUND(I290*H290,2)</f>
        <v>0</v>
      </c>
      <c r="K290" s="177" t="s">
        <v>1</v>
      </c>
      <c r="L290" s="92"/>
      <c r="M290" s="181" t="s">
        <v>1</v>
      </c>
      <c r="N290" s="182" t="s">
        <v>44</v>
      </c>
      <c r="O290" s="183">
        <v>0.51</v>
      </c>
      <c r="P290" s="183">
        <f>O290*H290</f>
        <v>0.20756999999999998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R290" s="185" t="s">
        <v>595</v>
      </c>
      <c r="AT290" s="185" t="s">
        <v>141</v>
      </c>
      <c r="AU290" s="185" t="s">
        <v>85</v>
      </c>
      <c r="AY290" s="83" t="s">
        <v>139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83" t="s">
        <v>85</v>
      </c>
      <c r="BK290" s="186">
        <f>ROUND(I290*H290,2)</f>
        <v>0</v>
      </c>
      <c r="BL290" s="83" t="s">
        <v>595</v>
      </c>
      <c r="BM290" s="185" t="s">
        <v>1297</v>
      </c>
    </row>
    <row r="291" spans="2:51" s="201" customFormat="1" ht="12">
      <c r="B291" s="202"/>
      <c r="D291" s="189" t="s">
        <v>148</v>
      </c>
      <c r="E291" s="203" t="s">
        <v>1</v>
      </c>
      <c r="F291" s="204" t="s">
        <v>1204</v>
      </c>
      <c r="H291" s="203" t="s">
        <v>1</v>
      </c>
      <c r="I291" s="235"/>
      <c r="L291" s="202"/>
      <c r="M291" s="205"/>
      <c r="N291" s="206"/>
      <c r="O291" s="206"/>
      <c r="P291" s="206"/>
      <c r="Q291" s="206"/>
      <c r="R291" s="206"/>
      <c r="S291" s="206"/>
      <c r="T291" s="207"/>
      <c r="AT291" s="203" t="s">
        <v>148</v>
      </c>
      <c r="AU291" s="203" t="s">
        <v>85</v>
      </c>
      <c r="AV291" s="201" t="s">
        <v>85</v>
      </c>
      <c r="AW291" s="201" t="s">
        <v>34</v>
      </c>
      <c r="AX291" s="201" t="s">
        <v>78</v>
      </c>
      <c r="AY291" s="203" t="s">
        <v>139</v>
      </c>
    </row>
    <row r="292" spans="2:51" s="187" customFormat="1" ht="12">
      <c r="B292" s="188"/>
      <c r="D292" s="189" t="s">
        <v>148</v>
      </c>
      <c r="E292" s="190" t="s">
        <v>1</v>
      </c>
      <c r="F292" s="191" t="s">
        <v>1298</v>
      </c>
      <c r="H292" s="192">
        <v>0.407</v>
      </c>
      <c r="I292" s="233"/>
      <c r="L292" s="188"/>
      <c r="M292" s="298"/>
      <c r="N292" s="299"/>
      <c r="O292" s="299"/>
      <c r="P292" s="299"/>
      <c r="Q292" s="299"/>
      <c r="R292" s="299"/>
      <c r="S292" s="299"/>
      <c r="T292" s="300"/>
      <c r="AT292" s="190" t="s">
        <v>148</v>
      </c>
      <c r="AU292" s="190" t="s">
        <v>85</v>
      </c>
      <c r="AV292" s="187" t="s">
        <v>87</v>
      </c>
      <c r="AW292" s="187" t="s">
        <v>34</v>
      </c>
      <c r="AX292" s="187" t="s">
        <v>85</v>
      </c>
      <c r="AY292" s="190" t="s">
        <v>139</v>
      </c>
    </row>
    <row r="293" spans="1:31" s="95" customFormat="1" ht="6.95" customHeight="1">
      <c r="A293" s="93"/>
      <c r="B293" s="123"/>
      <c r="C293" s="124"/>
      <c r="D293" s="124"/>
      <c r="E293" s="124"/>
      <c r="F293" s="124"/>
      <c r="G293" s="124"/>
      <c r="H293" s="124"/>
      <c r="I293" s="248"/>
      <c r="J293" s="124"/>
      <c r="K293" s="124"/>
      <c r="L293" s="92"/>
      <c r="M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</row>
  </sheetData>
  <sheetProtection password="CC2C" sheet="1" objects="1" scenarios="1"/>
  <mergeCells count="14">
    <mergeCell ref="E31:H31"/>
    <mergeCell ref="L2:V2"/>
    <mergeCell ref="E7:H7"/>
    <mergeCell ref="E9:H9"/>
    <mergeCell ref="E11:H11"/>
    <mergeCell ref="E13:H13"/>
    <mergeCell ref="E124:H124"/>
    <mergeCell ref="E126:H126"/>
    <mergeCell ref="E85:H85"/>
    <mergeCell ref="E87:H87"/>
    <mergeCell ref="E89:H89"/>
    <mergeCell ref="E91:H91"/>
    <mergeCell ref="E120:H120"/>
    <mergeCell ref="E122:H1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13E7-721B-467D-B536-E9E631E1A150}">
  <dimension ref="A2:BM360"/>
  <sheetViews>
    <sheetView workbookViewId="0" topLeftCell="A78">
      <selection activeCell="W131" sqref="W131"/>
    </sheetView>
  </sheetViews>
  <sheetFormatPr defaultColWidth="9.140625" defaultRowHeight="12"/>
  <cols>
    <col min="1" max="1" width="8.28125" style="82" customWidth="1"/>
    <col min="2" max="2" width="1.1484375" style="82" customWidth="1"/>
    <col min="3" max="3" width="4.140625" style="82" customWidth="1"/>
    <col min="4" max="4" width="4.28125" style="82" customWidth="1"/>
    <col min="5" max="5" width="17.140625" style="82" customWidth="1"/>
    <col min="6" max="6" width="50.8515625" style="82" customWidth="1"/>
    <col min="7" max="7" width="7.421875" style="82" customWidth="1"/>
    <col min="8" max="8" width="11.421875" style="82" customWidth="1"/>
    <col min="9" max="10" width="20.140625" style="82" customWidth="1"/>
    <col min="11" max="11" width="20.140625" style="82" hidden="1" customWidth="1"/>
    <col min="12" max="12" width="12.7109375" style="82" hidden="1" customWidth="1"/>
    <col min="13" max="13" width="10.8515625" style="82" hidden="1" customWidth="1"/>
    <col min="14" max="14" width="9.140625" style="82" hidden="1" customWidth="1"/>
    <col min="15" max="20" width="14.140625" style="82" hidden="1" customWidth="1"/>
    <col min="21" max="21" width="13.421875" style="82" customWidth="1"/>
    <col min="22" max="22" width="12.28125" style="82" customWidth="1"/>
    <col min="23" max="23" width="16.28125" style="82" customWidth="1"/>
    <col min="24" max="24" width="12.28125" style="82" customWidth="1"/>
    <col min="25" max="25" width="15.00390625" style="82" customWidth="1"/>
    <col min="26" max="26" width="11.00390625" style="82" customWidth="1"/>
    <col min="27" max="27" width="15.00390625" style="82" customWidth="1"/>
    <col min="28" max="28" width="16.28125" style="82" customWidth="1"/>
    <col min="29" max="29" width="11.00390625" style="82" customWidth="1"/>
    <col min="30" max="30" width="15.00390625" style="82" customWidth="1"/>
    <col min="31" max="31" width="16.28125" style="82" customWidth="1"/>
    <col min="32" max="16384" width="9.28125" style="82" customWidth="1"/>
  </cols>
  <sheetData>
    <row r="1" ht="12" hidden="1"/>
    <row r="2" spans="12:46" ht="36.95" customHeight="1" hidden="1">
      <c r="L2" s="284" t="s">
        <v>5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83" t="s">
        <v>1299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90" t="s">
        <v>14</v>
      </c>
      <c r="L6" s="86"/>
    </row>
    <row r="7" spans="2:12" ht="16.5" customHeight="1" hidden="1">
      <c r="B7" s="86"/>
      <c r="E7" s="286" t="s">
        <v>15</v>
      </c>
      <c r="F7" s="286"/>
      <c r="G7" s="286"/>
      <c r="H7" s="286"/>
      <c r="L7" s="86"/>
    </row>
    <row r="8" spans="2:12" ht="12" customHeight="1" hidden="1">
      <c r="B8" s="86"/>
      <c r="D8" s="90" t="s">
        <v>106</v>
      </c>
      <c r="L8" s="86"/>
    </row>
    <row r="9" spans="1:31" s="95" customFormat="1" ht="16.5" customHeight="1" hidden="1">
      <c r="A9" s="93"/>
      <c r="B9" s="92"/>
      <c r="C9" s="93"/>
      <c r="D9" s="93"/>
      <c r="E9" s="286" t="s">
        <v>1500</v>
      </c>
      <c r="F9" s="285"/>
      <c r="G9" s="285"/>
      <c r="H9" s="285"/>
      <c r="I9" s="93"/>
      <c r="J9" s="93"/>
      <c r="K9" s="93"/>
      <c r="L9" s="94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95" customFormat="1" ht="12" customHeight="1" hidden="1">
      <c r="A10" s="93"/>
      <c r="B10" s="92"/>
      <c r="C10" s="93"/>
      <c r="D10" s="90" t="s">
        <v>108</v>
      </c>
      <c r="E10" s="93"/>
      <c r="F10" s="93"/>
      <c r="G10" s="93"/>
      <c r="H10" s="93"/>
      <c r="I10" s="93"/>
      <c r="J10" s="93"/>
      <c r="K10" s="93"/>
      <c r="L10" s="94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s="95" customFormat="1" ht="16.5" customHeight="1" hidden="1">
      <c r="A11" s="93"/>
      <c r="B11" s="92"/>
      <c r="C11" s="93"/>
      <c r="D11" s="93"/>
      <c r="E11" s="288" t="s">
        <v>1501</v>
      </c>
      <c r="F11" s="288"/>
      <c r="G11" s="288"/>
      <c r="H11" s="288"/>
      <c r="I11" s="93"/>
      <c r="J11" s="93"/>
      <c r="K11" s="93"/>
      <c r="L11" s="9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5" customFormat="1" ht="12" hidden="1">
      <c r="A12" s="93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5" customFormat="1" ht="12" customHeight="1" hidden="1">
      <c r="A13" s="93"/>
      <c r="B13" s="92"/>
      <c r="C13" s="93"/>
      <c r="D13" s="90" t="s">
        <v>16</v>
      </c>
      <c r="E13" s="93"/>
      <c r="F13" s="96" t="s">
        <v>1</v>
      </c>
      <c r="G13" s="93"/>
      <c r="H13" s="93"/>
      <c r="I13" s="90" t="s">
        <v>17</v>
      </c>
      <c r="J13" s="96" t="s">
        <v>1</v>
      </c>
      <c r="K13" s="93"/>
      <c r="L13" s="94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5" customFormat="1" ht="12" customHeight="1" hidden="1">
      <c r="A14" s="93"/>
      <c r="B14" s="92"/>
      <c r="C14" s="93"/>
      <c r="D14" s="90" t="s">
        <v>18</v>
      </c>
      <c r="E14" s="93"/>
      <c r="F14" s="96" t="s">
        <v>19</v>
      </c>
      <c r="G14" s="93"/>
      <c r="H14" s="93"/>
      <c r="I14" s="90" t="s">
        <v>20</v>
      </c>
      <c r="J14" s="97" t="str">
        <f>'[1]Rekapitulace stavby'!AN8</f>
        <v>25. 5. 2020</v>
      </c>
      <c r="K14" s="93"/>
      <c r="L14" s="9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5" customFormat="1" ht="10.9" customHeight="1" hidden="1">
      <c r="A15" s="93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5" customFormat="1" ht="12" customHeight="1" hidden="1">
      <c r="A16" s="93"/>
      <c r="B16" s="92"/>
      <c r="C16" s="93"/>
      <c r="D16" s="90" t="s">
        <v>22</v>
      </c>
      <c r="E16" s="93"/>
      <c r="F16" s="93"/>
      <c r="G16" s="93"/>
      <c r="H16" s="93"/>
      <c r="I16" s="90" t="s">
        <v>23</v>
      </c>
      <c r="J16" s="96" t="s">
        <v>24</v>
      </c>
      <c r="K16" s="93"/>
      <c r="L16" s="9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5" customFormat="1" ht="18" customHeight="1" hidden="1">
      <c r="A17" s="93"/>
      <c r="B17" s="92"/>
      <c r="C17" s="93"/>
      <c r="D17" s="93"/>
      <c r="E17" s="96" t="s">
        <v>25</v>
      </c>
      <c r="F17" s="93"/>
      <c r="G17" s="93"/>
      <c r="H17" s="93"/>
      <c r="I17" s="90" t="s">
        <v>26</v>
      </c>
      <c r="J17" s="96" t="s">
        <v>27</v>
      </c>
      <c r="K17" s="93"/>
      <c r="L17" s="94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5" customFormat="1" ht="6.95" customHeight="1" hidden="1">
      <c r="A18" s="93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4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5" customFormat="1" ht="12" customHeight="1" hidden="1">
      <c r="A19" s="93"/>
      <c r="B19" s="92"/>
      <c r="C19" s="93"/>
      <c r="D19" s="90" t="s">
        <v>28</v>
      </c>
      <c r="E19" s="93"/>
      <c r="F19" s="93"/>
      <c r="G19" s="93"/>
      <c r="H19" s="93"/>
      <c r="I19" s="90" t="s">
        <v>23</v>
      </c>
      <c r="J19" s="96" t="s">
        <v>1</v>
      </c>
      <c r="K19" s="93"/>
      <c r="L19" s="9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5" customFormat="1" ht="18" customHeight="1" hidden="1">
      <c r="A20" s="93"/>
      <c r="B20" s="92"/>
      <c r="C20" s="93"/>
      <c r="D20" s="93"/>
      <c r="E20" s="96" t="s">
        <v>29</v>
      </c>
      <c r="F20" s="93"/>
      <c r="G20" s="93"/>
      <c r="H20" s="93"/>
      <c r="I20" s="90" t="s">
        <v>26</v>
      </c>
      <c r="J20" s="96" t="s">
        <v>1</v>
      </c>
      <c r="K20" s="93"/>
      <c r="L20" s="94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5" customFormat="1" ht="6.95" customHeight="1" hidden="1">
      <c r="A21" s="93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5" customFormat="1" ht="12" customHeight="1" hidden="1">
      <c r="A22" s="93"/>
      <c r="B22" s="92"/>
      <c r="C22" s="93"/>
      <c r="D22" s="90" t="s">
        <v>30</v>
      </c>
      <c r="E22" s="93"/>
      <c r="F22" s="93"/>
      <c r="G22" s="93"/>
      <c r="H22" s="93"/>
      <c r="I22" s="90" t="s">
        <v>23</v>
      </c>
      <c r="J22" s="96" t="s">
        <v>31</v>
      </c>
      <c r="K22" s="93"/>
      <c r="L22" s="9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5" customFormat="1" ht="18" customHeight="1" hidden="1">
      <c r="A23" s="93"/>
      <c r="B23" s="92"/>
      <c r="C23" s="93"/>
      <c r="D23" s="93"/>
      <c r="E23" s="96" t="s">
        <v>32</v>
      </c>
      <c r="F23" s="93"/>
      <c r="G23" s="93"/>
      <c r="H23" s="93"/>
      <c r="I23" s="90" t="s">
        <v>26</v>
      </c>
      <c r="J23" s="96" t="s">
        <v>33</v>
      </c>
      <c r="K23" s="93"/>
      <c r="L23" s="94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5" customFormat="1" ht="6.95" customHeight="1" hidden="1">
      <c r="A24" s="93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4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5" customFormat="1" ht="12" customHeight="1" hidden="1">
      <c r="A25" s="93"/>
      <c r="B25" s="92"/>
      <c r="C25" s="93"/>
      <c r="D25" s="90" t="s">
        <v>35</v>
      </c>
      <c r="E25" s="93"/>
      <c r="F25" s="93"/>
      <c r="G25" s="93"/>
      <c r="H25" s="93"/>
      <c r="I25" s="90" t="s">
        <v>23</v>
      </c>
      <c r="J25" s="96" t="s">
        <v>1</v>
      </c>
      <c r="K25" s="93"/>
      <c r="L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5" customFormat="1" ht="18" customHeight="1" hidden="1">
      <c r="A26" s="93"/>
      <c r="B26" s="92"/>
      <c r="C26" s="93"/>
      <c r="D26" s="93"/>
      <c r="E26" s="96" t="s">
        <v>36</v>
      </c>
      <c r="F26" s="93"/>
      <c r="G26" s="93"/>
      <c r="H26" s="93"/>
      <c r="I26" s="90" t="s">
        <v>26</v>
      </c>
      <c r="J26" s="96" t="s">
        <v>1</v>
      </c>
      <c r="K26" s="93"/>
      <c r="L26" s="94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95" customFormat="1" ht="6.95" customHeight="1" hidden="1">
      <c r="A27" s="93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4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95" customFormat="1" ht="12" customHeight="1" hidden="1">
      <c r="A28" s="93"/>
      <c r="B28" s="92"/>
      <c r="C28" s="93"/>
      <c r="D28" s="90" t="s">
        <v>37</v>
      </c>
      <c r="E28" s="93"/>
      <c r="F28" s="93"/>
      <c r="G28" s="93"/>
      <c r="H28" s="93"/>
      <c r="I28" s="93"/>
      <c r="J28" s="93"/>
      <c r="K28" s="93"/>
      <c r="L28" s="94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101" customFormat="1" ht="83.25" customHeight="1" hidden="1">
      <c r="A29" s="98"/>
      <c r="B29" s="99"/>
      <c r="C29" s="98"/>
      <c r="D29" s="98"/>
      <c r="E29" s="290" t="s">
        <v>38</v>
      </c>
      <c r="F29" s="290"/>
      <c r="G29" s="290"/>
      <c r="H29" s="290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95" customFormat="1" ht="6.95" customHeight="1" hidden="1">
      <c r="A30" s="93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4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5" customFormat="1" ht="6.95" customHeight="1" hidden="1">
      <c r="A31" s="93"/>
      <c r="B31" s="92"/>
      <c r="C31" s="93"/>
      <c r="D31" s="102"/>
      <c r="E31" s="102"/>
      <c r="F31" s="102"/>
      <c r="G31" s="102"/>
      <c r="H31" s="102"/>
      <c r="I31" s="102"/>
      <c r="J31" s="102"/>
      <c r="K31" s="102"/>
      <c r="L31" s="9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5" customFormat="1" ht="25.35" customHeight="1" hidden="1">
      <c r="A32" s="93"/>
      <c r="B32" s="92"/>
      <c r="C32" s="93"/>
      <c r="D32" s="103" t="s">
        <v>39</v>
      </c>
      <c r="E32" s="93"/>
      <c r="F32" s="93"/>
      <c r="G32" s="93"/>
      <c r="H32" s="93"/>
      <c r="I32" s="93"/>
      <c r="J32" s="104">
        <f>ROUND(J129,2)</f>
        <v>0</v>
      </c>
      <c r="K32" s="93"/>
      <c r="L32" s="9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5" customFormat="1" ht="6.95" customHeight="1" hidden="1">
      <c r="A33" s="93"/>
      <c r="B33" s="92"/>
      <c r="C33" s="93"/>
      <c r="D33" s="102"/>
      <c r="E33" s="102"/>
      <c r="F33" s="102"/>
      <c r="G33" s="102"/>
      <c r="H33" s="102"/>
      <c r="I33" s="102"/>
      <c r="J33" s="102"/>
      <c r="K33" s="102"/>
      <c r="L33" s="9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5" customFormat="1" ht="14.45" customHeight="1" hidden="1">
      <c r="A34" s="93"/>
      <c r="B34" s="92"/>
      <c r="C34" s="93"/>
      <c r="D34" s="93"/>
      <c r="E34" s="93"/>
      <c r="F34" s="105" t="s">
        <v>41</v>
      </c>
      <c r="G34" s="93"/>
      <c r="H34" s="93"/>
      <c r="I34" s="105" t="s">
        <v>40</v>
      </c>
      <c r="J34" s="105" t="s">
        <v>42</v>
      </c>
      <c r="K34" s="93"/>
      <c r="L34" s="9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5" customFormat="1" ht="14.45" customHeight="1" hidden="1">
      <c r="A35" s="93"/>
      <c r="B35" s="92"/>
      <c r="C35" s="93"/>
      <c r="D35" s="249" t="s">
        <v>43</v>
      </c>
      <c r="E35" s="90" t="s">
        <v>44</v>
      </c>
      <c r="F35" s="107">
        <f>ROUND((SUM(BE129:BE359)),2)</f>
        <v>0</v>
      </c>
      <c r="G35" s="93"/>
      <c r="H35" s="93"/>
      <c r="I35" s="108">
        <v>0.21</v>
      </c>
      <c r="J35" s="107">
        <f>ROUND(((SUM(BE129:BE359))*I35),2)</f>
        <v>0</v>
      </c>
      <c r="K35" s="93"/>
      <c r="L35" s="9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5" customFormat="1" ht="14.45" customHeight="1" hidden="1">
      <c r="A36" s="93"/>
      <c r="B36" s="92"/>
      <c r="C36" s="93"/>
      <c r="D36" s="93"/>
      <c r="E36" s="90" t="s">
        <v>45</v>
      </c>
      <c r="F36" s="107">
        <f>ROUND((SUM(BF129:BF359)),2)</f>
        <v>0</v>
      </c>
      <c r="G36" s="93"/>
      <c r="H36" s="93"/>
      <c r="I36" s="108">
        <v>0.15</v>
      </c>
      <c r="J36" s="107">
        <f>ROUND(((SUM(BF129:BF359))*I36),2)</f>
        <v>0</v>
      </c>
      <c r="K36" s="93"/>
      <c r="L36" s="9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5" customFormat="1" ht="14.45" customHeight="1" hidden="1">
      <c r="A37" s="93"/>
      <c r="B37" s="92"/>
      <c r="C37" s="93"/>
      <c r="D37" s="93"/>
      <c r="E37" s="90" t="s">
        <v>46</v>
      </c>
      <c r="F37" s="107">
        <f>ROUND((SUM(BG129:BG359)),2)</f>
        <v>0</v>
      </c>
      <c r="G37" s="93"/>
      <c r="H37" s="93"/>
      <c r="I37" s="108">
        <v>0.21</v>
      </c>
      <c r="J37" s="107">
        <f>0</f>
        <v>0</v>
      </c>
      <c r="K37" s="93"/>
      <c r="L37" s="9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5" customFormat="1" ht="14.45" customHeight="1" hidden="1">
      <c r="A38" s="93"/>
      <c r="B38" s="92"/>
      <c r="C38" s="93"/>
      <c r="D38" s="93"/>
      <c r="E38" s="90" t="s">
        <v>47</v>
      </c>
      <c r="F38" s="107">
        <f>ROUND((SUM(BH129:BH359)),2)</f>
        <v>0</v>
      </c>
      <c r="G38" s="93"/>
      <c r="H38" s="93"/>
      <c r="I38" s="108">
        <v>0.15</v>
      </c>
      <c r="J38" s="107">
        <f>0</f>
        <v>0</v>
      </c>
      <c r="K38" s="93"/>
      <c r="L38" s="9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5" customFormat="1" ht="14.45" customHeight="1" hidden="1">
      <c r="A39" s="93"/>
      <c r="B39" s="92"/>
      <c r="C39" s="93"/>
      <c r="D39" s="93"/>
      <c r="E39" s="90" t="s">
        <v>48</v>
      </c>
      <c r="F39" s="107">
        <f>ROUND((SUM(BI129:BI359)),2)</f>
        <v>0</v>
      </c>
      <c r="G39" s="93"/>
      <c r="H39" s="93"/>
      <c r="I39" s="108">
        <v>0</v>
      </c>
      <c r="J39" s="107">
        <f>0</f>
        <v>0</v>
      </c>
      <c r="K39" s="93"/>
      <c r="L39" s="9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5" customFormat="1" ht="6.95" customHeight="1" hidden="1">
      <c r="A40" s="93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s="95" customFormat="1" ht="25.35" customHeight="1" hidden="1">
      <c r="A41" s="93"/>
      <c r="B41" s="92"/>
      <c r="C41" s="109"/>
      <c r="D41" s="110" t="s">
        <v>49</v>
      </c>
      <c r="E41" s="111"/>
      <c r="F41" s="111"/>
      <c r="G41" s="112" t="s">
        <v>50</v>
      </c>
      <c r="H41" s="113" t="s">
        <v>51</v>
      </c>
      <c r="I41" s="111"/>
      <c r="J41" s="114">
        <f>SUM(J32:J39)</f>
        <v>0</v>
      </c>
      <c r="K41" s="115"/>
      <c r="L41" s="9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s="95" customFormat="1" ht="14.45" customHeight="1" hidden="1">
      <c r="A42" s="93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2:12" ht="14.45" customHeight="1" hidden="1">
      <c r="B43" s="86"/>
      <c r="L43" s="86"/>
    </row>
    <row r="44" spans="2:12" ht="14.45" customHeight="1" hidden="1">
      <c r="B44" s="86"/>
      <c r="L44" s="86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3"/>
      <c r="B61" s="92"/>
      <c r="C61" s="93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3"/>
      <c r="B65" s="92"/>
      <c r="C65" s="93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3"/>
      <c r="B76" s="92"/>
      <c r="C76" s="93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5" customFormat="1" ht="14.45" customHeight="1" hidden="1">
      <c r="A77" s="93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5" customFormat="1" ht="6.95" customHeight="1">
      <c r="A81" s="93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5" customFormat="1" ht="24.95" customHeight="1">
      <c r="A82" s="93"/>
      <c r="B82" s="92"/>
      <c r="C82" s="87" t="s">
        <v>110</v>
      </c>
      <c r="D82" s="93"/>
      <c r="E82" s="93"/>
      <c r="F82" s="93"/>
      <c r="G82" s="93"/>
      <c r="H82" s="93"/>
      <c r="I82" s="93"/>
      <c r="J82" s="93"/>
      <c r="K82" s="93"/>
      <c r="L82" s="94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5" customFormat="1" ht="6.95" customHeight="1">
      <c r="A83" s="93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4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5" customFormat="1" ht="12" customHeight="1">
      <c r="A84" s="93"/>
      <c r="B84" s="92"/>
      <c r="C84" s="90" t="s">
        <v>14</v>
      </c>
      <c r="D84" s="93"/>
      <c r="E84" s="93"/>
      <c r="F84" s="93"/>
      <c r="G84" s="93"/>
      <c r="H84" s="93"/>
      <c r="I84" s="93"/>
      <c r="J84" s="93"/>
      <c r="K84" s="93"/>
      <c r="L84" s="94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5" customFormat="1" ht="16.5" customHeight="1">
      <c r="A85" s="93"/>
      <c r="B85" s="92"/>
      <c r="C85" s="93"/>
      <c r="D85" s="93"/>
      <c r="E85" s="286" t="str">
        <f>E7</f>
        <v>Kosmonosy, obnova vodovodu a kanalizace - 3. etapa</v>
      </c>
      <c r="F85" s="286"/>
      <c r="G85" s="286"/>
      <c r="H85" s="286"/>
      <c r="I85" s="93"/>
      <c r="J85" s="93"/>
      <c r="K85" s="93"/>
      <c r="L85" s="94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2:12" ht="12" customHeight="1">
      <c r="B86" s="86"/>
      <c r="C86" s="90" t="s">
        <v>106</v>
      </c>
      <c r="L86" s="86"/>
    </row>
    <row r="87" spans="1:31" s="95" customFormat="1" ht="16.5" customHeight="1">
      <c r="A87" s="93"/>
      <c r="B87" s="92"/>
      <c r="C87" s="93"/>
      <c r="D87" s="93"/>
      <c r="E87" s="286" t="s">
        <v>1500</v>
      </c>
      <c r="F87" s="285"/>
      <c r="G87" s="285"/>
      <c r="H87" s="285"/>
      <c r="I87" s="93"/>
      <c r="J87" s="93"/>
      <c r="K87" s="93"/>
      <c r="L87" s="94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s="95" customFormat="1" ht="12" customHeight="1">
      <c r="A88" s="93"/>
      <c r="B88" s="92"/>
      <c r="C88" s="90" t="s">
        <v>108</v>
      </c>
      <c r="D88" s="93"/>
      <c r="E88" s="93"/>
      <c r="F88" s="93"/>
      <c r="G88" s="93"/>
      <c r="H88" s="93"/>
      <c r="I88" s="93"/>
      <c r="J88" s="93"/>
      <c r="K88" s="93"/>
      <c r="L88" s="94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s="95" customFormat="1" ht="16.5" customHeight="1">
      <c r="A89" s="93"/>
      <c r="B89" s="92"/>
      <c r="C89" s="93"/>
      <c r="D89" s="93"/>
      <c r="E89" s="288" t="str">
        <f>E11</f>
        <v>SO 4.3 - Vodovodní řad 14</v>
      </c>
      <c r="F89" s="288"/>
      <c r="G89" s="288"/>
      <c r="H89" s="288"/>
      <c r="I89" s="93"/>
      <c r="J89" s="93"/>
      <c r="K89" s="93"/>
      <c r="L89" s="94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5" customFormat="1" ht="6.95" customHeight="1">
      <c r="A90" s="93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4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5" customFormat="1" ht="12" customHeight="1">
      <c r="A91" s="93"/>
      <c r="B91" s="92"/>
      <c r="C91" s="90" t="s">
        <v>18</v>
      </c>
      <c r="D91" s="93"/>
      <c r="E91" s="93"/>
      <c r="F91" s="96" t="str">
        <f>F14</f>
        <v>Kosmonosy</v>
      </c>
      <c r="G91" s="93"/>
      <c r="H91" s="93"/>
      <c r="I91" s="90" t="s">
        <v>20</v>
      </c>
      <c r="J91" s="97" t="str">
        <f>IF(J14="","",J14)</f>
        <v>25. 5. 2020</v>
      </c>
      <c r="K91" s="93"/>
      <c r="L91" s="94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5" customFormat="1" ht="6.95" customHeight="1">
      <c r="A92" s="93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4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5" customFormat="1" ht="15.2" customHeight="1">
      <c r="A93" s="93"/>
      <c r="B93" s="92"/>
      <c r="C93" s="90" t="s">
        <v>22</v>
      </c>
      <c r="D93" s="93"/>
      <c r="E93" s="93"/>
      <c r="F93" s="96" t="str">
        <f>E17</f>
        <v>Vodovody a kanalizace Mladá Boleslav, a.s.</v>
      </c>
      <c r="G93" s="93"/>
      <c r="H93" s="93"/>
      <c r="I93" s="90" t="s">
        <v>30</v>
      </c>
      <c r="J93" s="127" t="str">
        <f>E23</f>
        <v>ŠINDLAR s.r.o.</v>
      </c>
      <c r="K93" s="93"/>
      <c r="L93" s="94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95" customFormat="1" ht="15.2" customHeight="1">
      <c r="A94" s="93"/>
      <c r="B94" s="92"/>
      <c r="C94" s="90" t="s">
        <v>28</v>
      </c>
      <c r="D94" s="93"/>
      <c r="E94" s="93"/>
      <c r="F94" s="96" t="str">
        <f>IF(E20="","",E20)</f>
        <v>Dle výběrového řízení</v>
      </c>
      <c r="G94" s="93"/>
      <c r="H94" s="93"/>
      <c r="I94" s="90" t="s">
        <v>35</v>
      </c>
      <c r="J94" s="127" t="str">
        <f>E26</f>
        <v>Roman Bárta</v>
      </c>
      <c r="K94" s="93"/>
      <c r="L94" s="94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s="95" customFormat="1" ht="10.35" customHeight="1">
      <c r="A95" s="93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4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s="133" customFormat="1" ht="29.25" customHeight="1">
      <c r="A96" s="128"/>
      <c r="B96" s="129"/>
      <c r="C96" s="130" t="s">
        <v>111</v>
      </c>
      <c r="D96" s="128"/>
      <c r="E96" s="128"/>
      <c r="F96" s="128"/>
      <c r="G96" s="128"/>
      <c r="H96" s="128"/>
      <c r="I96" s="128"/>
      <c r="J96" s="131" t="s">
        <v>112</v>
      </c>
      <c r="K96" s="128"/>
      <c r="L96" s="132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</row>
    <row r="97" spans="1:31" s="95" customFormat="1" ht="10.35" customHeight="1">
      <c r="A97" s="93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4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47" s="95" customFormat="1" ht="22.9" customHeight="1">
      <c r="A98" s="93"/>
      <c r="B98" s="92"/>
      <c r="C98" s="134" t="s">
        <v>113</v>
      </c>
      <c r="D98" s="93"/>
      <c r="E98" s="93"/>
      <c r="F98" s="93"/>
      <c r="G98" s="93"/>
      <c r="H98" s="93"/>
      <c r="I98" s="93"/>
      <c r="J98" s="104">
        <f>J99+J107</f>
        <v>0</v>
      </c>
      <c r="K98" s="93"/>
      <c r="L98" s="94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U98" s="83" t="s">
        <v>114</v>
      </c>
    </row>
    <row r="99" spans="2:12" s="135" customFormat="1" ht="24.95" customHeight="1">
      <c r="B99" s="136"/>
      <c r="D99" s="137" t="s">
        <v>115</v>
      </c>
      <c r="E99" s="138"/>
      <c r="F99" s="138"/>
      <c r="G99" s="138"/>
      <c r="H99" s="138"/>
      <c r="I99" s="138"/>
      <c r="J99" s="139">
        <f>SUM(J100:J106)</f>
        <v>0</v>
      </c>
      <c r="L99" s="136"/>
    </row>
    <row r="100" spans="2:12" s="140" customFormat="1" ht="19.9" customHeight="1">
      <c r="B100" s="141"/>
      <c r="D100" s="142" t="s">
        <v>116</v>
      </c>
      <c r="E100" s="143"/>
      <c r="F100" s="143"/>
      <c r="G100" s="143"/>
      <c r="H100" s="143"/>
      <c r="I100" s="143"/>
      <c r="J100" s="144">
        <f>J131</f>
        <v>0</v>
      </c>
      <c r="L100" s="141"/>
    </row>
    <row r="101" spans="2:12" s="140" customFormat="1" ht="19.9" customHeight="1">
      <c r="B101" s="141"/>
      <c r="D101" s="142" t="s">
        <v>117</v>
      </c>
      <c r="E101" s="143"/>
      <c r="F101" s="143"/>
      <c r="G101" s="143"/>
      <c r="H101" s="143"/>
      <c r="I101" s="143"/>
      <c r="J101" s="144">
        <f>J217</f>
        <v>0</v>
      </c>
      <c r="L101" s="141"/>
    </row>
    <row r="102" spans="2:12" s="140" customFormat="1" ht="19.9" customHeight="1">
      <c r="B102" s="141"/>
      <c r="D102" s="142" t="s">
        <v>118</v>
      </c>
      <c r="E102" s="143"/>
      <c r="F102" s="143"/>
      <c r="G102" s="143"/>
      <c r="H102" s="143"/>
      <c r="I102" s="143"/>
      <c r="J102" s="144">
        <f>J223</f>
        <v>0</v>
      </c>
      <c r="L102" s="141"/>
    </row>
    <row r="103" spans="2:12" s="140" customFormat="1" ht="19.9" customHeight="1">
      <c r="B103" s="141"/>
      <c r="D103" s="142" t="s">
        <v>119</v>
      </c>
      <c r="E103" s="143"/>
      <c r="F103" s="143"/>
      <c r="G103" s="143"/>
      <c r="H103" s="143"/>
      <c r="I103" s="143"/>
      <c r="J103" s="144">
        <f>J262</f>
        <v>0</v>
      </c>
      <c r="L103" s="141"/>
    </row>
    <row r="104" spans="2:12" s="140" customFormat="1" ht="19.9" customHeight="1">
      <c r="B104" s="141"/>
      <c r="D104" s="142" t="s">
        <v>120</v>
      </c>
      <c r="E104" s="143"/>
      <c r="F104" s="143"/>
      <c r="G104" s="143"/>
      <c r="H104" s="143"/>
      <c r="I104" s="143"/>
      <c r="J104" s="144">
        <f>J332</f>
        <v>0</v>
      </c>
      <c r="L104" s="141"/>
    </row>
    <row r="105" spans="2:12" s="140" customFormat="1" ht="19.9" customHeight="1">
      <c r="B105" s="141"/>
      <c r="D105" s="142" t="s">
        <v>121</v>
      </c>
      <c r="E105" s="143"/>
      <c r="F105" s="143"/>
      <c r="G105" s="143"/>
      <c r="H105" s="143"/>
      <c r="I105" s="143"/>
      <c r="J105" s="144">
        <f>J347</f>
        <v>0</v>
      </c>
      <c r="L105" s="141"/>
    </row>
    <row r="106" spans="2:12" s="140" customFormat="1" ht="19.9" customHeight="1">
      <c r="B106" s="141"/>
      <c r="D106" s="142" t="s">
        <v>122</v>
      </c>
      <c r="E106" s="143"/>
      <c r="F106" s="143"/>
      <c r="G106" s="143"/>
      <c r="H106" s="143"/>
      <c r="I106" s="143"/>
      <c r="J106" s="144">
        <f>J355</f>
        <v>0</v>
      </c>
      <c r="L106" s="141"/>
    </row>
    <row r="107" spans="2:12" s="135" customFormat="1" ht="24.95" customHeight="1">
      <c r="B107" s="136"/>
      <c r="D107" s="137" t="s">
        <v>123</v>
      </c>
      <c r="E107" s="138"/>
      <c r="F107" s="138"/>
      <c r="G107" s="138"/>
      <c r="H107" s="138"/>
      <c r="I107" s="138"/>
      <c r="J107" s="139">
        <f>J357</f>
        <v>0</v>
      </c>
      <c r="L107" s="136"/>
    </row>
    <row r="108" spans="1:31" s="95" customFormat="1" ht="21.75" customHeight="1">
      <c r="A108" s="93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4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s="95" customFormat="1" ht="6.95" customHeight="1">
      <c r="A109" s="93"/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94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3" spans="1:31" s="95" customFormat="1" ht="6.95" customHeight="1">
      <c r="A113" s="93"/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94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s="95" customFormat="1" ht="24.95" customHeight="1">
      <c r="A114" s="93"/>
      <c r="B114" s="92"/>
      <c r="C114" s="87" t="s">
        <v>124</v>
      </c>
      <c r="D114" s="93"/>
      <c r="E114" s="93"/>
      <c r="F114" s="93"/>
      <c r="G114" s="93"/>
      <c r="H114" s="93"/>
      <c r="I114" s="93"/>
      <c r="J114" s="93"/>
      <c r="K114" s="93"/>
      <c r="L114" s="94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s="95" customFormat="1" ht="6.95" customHeight="1">
      <c r="A115" s="93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4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s="95" customFormat="1" ht="12" customHeight="1">
      <c r="A116" s="93"/>
      <c r="B116" s="92"/>
      <c r="C116" s="90" t="s">
        <v>14</v>
      </c>
      <c r="D116" s="93"/>
      <c r="E116" s="93"/>
      <c r="F116" s="93"/>
      <c r="G116" s="93"/>
      <c r="H116" s="93"/>
      <c r="I116" s="93"/>
      <c r="J116" s="93"/>
      <c r="K116" s="93"/>
      <c r="L116" s="94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s="95" customFormat="1" ht="16.5" customHeight="1">
      <c r="A117" s="93"/>
      <c r="B117" s="92"/>
      <c r="C117" s="93"/>
      <c r="D117" s="93"/>
      <c r="E117" s="286" t="str">
        <f>E7</f>
        <v>Kosmonosy, obnova vodovodu a kanalizace - 3. etapa</v>
      </c>
      <c r="F117" s="286"/>
      <c r="G117" s="286"/>
      <c r="H117" s="286"/>
      <c r="I117" s="93"/>
      <c r="J117" s="93"/>
      <c r="K117" s="93"/>
      <c r="L117" s="94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2:12" ht="12" customHeight="1">
      <c r="B118" s="86"/>
      <c r="C118" s="90" t="s">
        <v>106</v>
      </c>
      <c r="L118" s="86"/>
    </row>
    <row r="119" spans="1:31" s="95" customFormat="1" ht="16.5" customHeight="1">
      <c r="A119" s="93"/>
      <c r="B119" s="92"/>
      <c r="C119" s="93"/>
      <c r="D119" s="93"/>
      <c r="E119" s="286" t="s">
        <v>1500</v>
      </c>
      <c r="F119" s="285"/>
      <c r="G119" s="285"/>
      <c r="H119" s="285"/>
      <c r="I119" s="93"/>
      <c r="J119" s="93"/>
      <c r="K119" s="93"/>
      <c r="L119" s="94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5" customFormat="1" ht="12" customHeight="1">
      <c r="A120" s="93"/>
      <c r="B120" s="92"/>
      <c r="C120" s="90" t="s">
        <v>108</v>
      </c>
      <c r="D120" s="93"/>
      <c r="E120" s="93"/>
      <c r="F120" s="93"/>
      <c r="G120" s="93"/>
      <c r="H120" s="93"/>
      <c r="I120" s="93"/>
      <c r="J120" s="93"/>
      <c r="K120" s="93"/>
      <c r="L120" s="94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s="95" customFormat="1" ht="16.5" customHeight="1">
      <c r="A121" s="93"/>
      <c r="B121" s="92"/>
      <c r="C121" s="93"/>
      <c r="D121" s="93"/>
      <c r="E121" s="288" t="str">
        <f>E11</f>
        <v>SO 4.3 - Vodovodní řad 14</v>
      </c>
      <c r="F121" s="288"/>
      <c r="G121" s="288"/>
      <c r="H121" s="288"/>
      <c r="I121" s="93"/>
      <c r="J121" s="93"/>
      <c r="K121" s="93"/>
      <c r="L121" s="94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s="95" customFormat="1" ht="6.95" customHeight="1">
      <c r="A122" s="93"/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s="95" customFormat="1" ht="12" customHeight="1">
      <c r="A123" s="93"/>
      <c r="B123" s="92"/>
      <c r="C123" s="90" t="s">
        <v>18</v>
      </c>
      <c r="D123" s="93"/>
      <c r="E123" s="93"/>
      <c r="F123" s="96" t="str">
        <f>F14</f>
        <v>Kosmonosy</v>
      </c>
      <c r="G123" s="93"/>
      <c r="H123" s="93"/>
      <c r="I123" s="90" t="s">
        <v>20</v>
      </c>
      <c r="J123" s="97" t="str">
        <f>IF(J14="","",J14)</f>
        <v>25. 5. 2020</v>
      </c>
      <c r="K123" s="93"/>
      <c r="L123" s="94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s="95" customFormat="1" ht="6.95" customHeight="1">
      <c r="A124" s="93"/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s="95" customFormat="1" ht="15.2" customHeight="1">
      <c r="A125" s="93"/>
      <c r="B125" s="92"/>
      <c r="C125" s="90" t="s">
        <v>22</v>
      </c>
      <c r="D125" s="93"/>
      <c r="E125" s="93"/>
      <c r="F125" s="96" t="str">
        <f>E17</f>
        <v>Vodovody a kanalizace Mladá Boleslav, a.s.</v>
      </c>
      <c r="G125" s="93"/>
      <c r="H125" s="93"/>
      <c r="I125" s="90" t="s">
        <v>30</v>
      </c>
      <c r="J125" s="127" t="str">
        <f>E23</f>
        <v>ŠINDLAR s.r.o.</v>
      </c>
      <c r="K125" s="93"/>
      <c r="L125" s="94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95" customFormat="1" ht="15.2" customHeight="1">
      <c r="A126" s="93"/>
      <c r="B126" s="92"/>
      <c r="C126" s="90" t="s">
        <v>28</v>
      </c>
      <c r="D126" s="93"/>
      <c r="E126" s="93"/>
      <c r="F126" s="96" t="str">
        <f>IF(E20="","",E20)</f>
        <v>Dle výběrového řízení</v>
      </c>
      <c r="G126" s="93"/>
      <c r="H126" s="93"/>
      <c r="I126" s="90" t="s">
        <v>35</v>
      </c>
      <c r="J126" s="127" t="str">
        <f>E26</f>
        <v>Roman Bárta</v>
      </c>
      <c r="K126" s="93"/>
      <c r="L126" s="94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s="95" customFormat="1" ht="10.35" customHeight="1">
      <c r="A127" s="93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4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s="154" customFormat="1" ht="29.25" customHeight="1">
      <c r="A128" s="145"/>
      <c r="B128" s="146"/>
      <c r="C128" s="147" t="s">
        <v>125</v>
      </c>
      <c r="D128" s="148" t="s">
        <v>64</v>
      </c>
      <c r="E128" s="148" t="s">
        <v>60</v>
      </c>
      <c r="F128" s="148" t="s">
        <v>61</v>
      </c>
      <c r="G128" s="148" t="s">
        <v>126</v>
      </c>
      <c r="H128" s="148" t="s">
        <v>127</v>
      </c>
      <c r="I128" s="148" t="s">
        <v>128</v>
      </c>
      <c r="J128" s="148" t="s">
        <v>112</v>
      </c>
      <c r="K128" s="149" t="s">
        <v>129</v>
      </c>
      <c r="L128" s="150"/>
      <c r="M128" s="151" t="s">
        <v>1</v>
      </c>
      <c r="N128" s="152" t="s">
        <v>43</v>
      </c>
      <c r="O128" s="152" t="s">
        <v>130</v>
      </c>
      <c r="P128" s="152" t="s">
        <v>131</v>
      </c>
      <c r="Q128" s="152" t="s">
        <v>132</v>
      </c>
      <c r="R128" s="152" t="s">
        <v>133</v>
      </c>
      <c r="S128" s="152" t="s">
        <v>134</v>
      </c>
      <c r="T128" s="153" t="s">
        <v>135</v>
      </c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63" s="95" customFormat="1" ht="22.9" customHeight="1">
      <c r="A129" s="93"/>
      <c r="B129" s="92"/>
      <c r="C129" s="155" t="s">
        <v>136</v>
      </c>
      <c r="D129" s="93"/>
      <c r="E129" s="93"/>
      <c r="F129" s="93"/>
      <c r="G129" s="93"/>
      <c r="H129" s="93"/>
      <c r="I129" s="93"/>
      <c r="J129" s="156"/>
      <c r="K129" s="93"/>
      <c r="L129" s="92"/>
      <c r="M129" s="157"/>
      <c r="N129" s="158"/>
      <c r="O129" s="102"/>
      <c r="P129" s="159">
        <f>P130+P357</f>
        <v>985.4275426640401</v>
      </c>
      <c r="Q129" s="102"/>
      <c r="R129" s="159">
        <f>R130+R357</f>
        <v>8.62242658</v>
      </c>
      <c r="S129" s="102"/>
      <c r="T129" s="160">
        <f>T130+T357</f>
        <v>182.056004</v>
      </c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T129" s="83" t="s">
        <v>77</v>
      </c>
      <c r="AU129" s="83" t="s">
        <v>114</v>
      </c>
      <c r="BK129" s="161">
        <f>BK130+BK357</f>
        <v>0</v>
      </c>
    </row>
    <row r="130" spans="2:63" s="162" customFormat="1" ht="25.9" customHeight="1">
      <c r="B130" s="163"/>
      <c r="D130" s="164" t="s">
        <v>77</v>
      </c>
      <c r="E130" s="165" t="s">
        <v>137</v>
      </c>
      <c r="F130" s="165" t="s">
        <v>138</v>
      </c>
      <c r="J130" s="166"/>
      <c r="L130" s="163"/>
      <c r="M130" s="167"/>
      <c r="N130" s="168"/>
      <c r="O130" s="168"/>
      <c r="P130" s="169">
        <f>P131+P217+P223+P262+P332+P347+P355</f>
        <v>973.1908526640401</v>
      </c>
      <c r="Q130" s="168"/>
      <c r="R130" s="169">
        <f>R131+R217+R223+R262+R332+R347+R355</f>
        <v>8.59736348</v>
      </c>
      <c r="S130" s="168"/>
      <c r="T130" s="170">
        <f>T131+T217+T223+T262+T332+T347+T355</f>
        <v>182.056004</v>
      </c>
      <c r="AR130" s="164" t="s">
        <v>85</v>
      </c>
      <c r="AT130" s="171" t="s">
        <v>77</v>
      </c>
      <c r="AU130" s="171" t="s">
        <v>78</v>
      </c>
      <c r="AY130" s="164" t="s">
        <v>139</v>
      </c>
      <c r="BK130" s="172">
        <f>BK131+BK217+BK223+BK262+BK332+BK347+BK355</f>
        <v>0</v>
      </c>
    </row>
    <row r="131" spans="2:63" s="162" customFormat="1" ht="22.9" customHeight="1">
      <c r="B131" s="163"/>
      <c r="D131" s="164" t="s">
        <v>77</v>
      </c>
      <c r="E131" s="173" t="s">
        <v>85</v>
      </c>
      <c r="F131" s="173" t="s">
        <v>140</v>
      </c>
      <c r="J131" s="174">
        <f>SUM(J132:J214)</f>
        <v>0</v>
      </c>
      <c r="L131" s="163"/>
      <c r="M131" s="167"/>
      <c r="N131" s="168"/>
      <c r="O131" s="168"/>
      <c r="P131" s="169">
        <f>SUM(P132:P216)</f>
        <v>510.39189266404</v>
      </c>
      <c r="Q131" s="168"/>
      <c r="R131" s="169">
        <f>SUM(R132:R216)</f>
        <v>0.85044148</v>
      </c>
      <c r="S131" s="168"/>
      <c r="T131" s="170">
        <f>SUM(T132:T216)</f>
        <v>178.348744</v>
      </c>
      <c r="AR131" s="164" t="s">
        <v>85</v>
      </c>
      <c r="AT131" s="171" t="s">
        <v>77</v>
      </c>
      <c r="AU131" s="171" t="s">
        <v>85</v>
      </c>
      <c r="AY131" s="164" t="s">
        <v>139</v>
      </c>
      <c r="BK131" s="172">
        <f>SUM(BK132:BK216)</f>
        <v>0</v>
      </c>
    </row>
    <row r="132" spans="1:65" s="95" customFormat="1" ht="62.65" customHeight="1">
      <c r="A132" s="93"/>
      <c r="B132" s="92"/>
      <c r="C132" s="175" t="s">
        <v>85</v>
      </c>
      <c r="D132" s="175" t="s">
        <v>141</v>
      </c>
      <c r="E132" s="176" t="s">
        <v>150</v>
      </c>
      <c r="F132" s="177" t="s">
        <v>151</v>
      </c>
      <c r="G132" s="178" t="s">
        <v>144</v>
      </c>
      <c r="H132" s="179">
        <v>196.783</v>
      </c>
      <c r="I132" s="69"/>
      <c r="J132" s="180">
        <f>ROUND(I132*H132,2)</f>
        <v>0</v>
      </c>
      <c r="K132" s="177" t="s">
        <v>967</v>
      </c>
      <c r="L132" s="92"/>
      <c r="M132" s="181" t="s">
        <v>1</v>
      </c>
      <c r="N132" s="182" t="s">
        <v>44</v>
      </c>
      <c r="O132" s="183">
        <v>0.119</v>
      </c>
      <c r="P132" s="183">
        <f>O132*H132</f>
        <v>23.417177</v>
      </c>
      <c r="Q132" s="183">
        <v>0</v>
      </c>
      <c r="R132" s="183">
        <f>Q132*H132</f>
        <v>0</v>
      </c>
      <c r="S132" s="183">
        <v>0.44</v>
      </c>
      <c r="T132" s="184">
        <f>S132*H132</f>
        <v>86.58452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R132" s="185" t="s">
        <v>146</v>
      </c>
      <c r="AT132" s="185" t="s">
        <v>141</v>
      </c>
      <c r="AU132" s="185" t="s">
        <v>87</v>
      </c>
      <c r="AY132" s="83" t="s">
        <v>139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3" t="s">
        <v>85</v>
      </c>
      <c r="BK132" s="186">
        <f>ROUND(I132*H132,2)</f>
        <v>0</v>
      </c>
      <c r="BL132" s="83" t="s">
        <v>146</v>
      </c>
      <c r="BM132" s="185" t="s">
        <v>1300</v>
      </c>
    </row>
    <row r="133" spans="1:47" s="95" customFormat="1" ht="19.5">
      <c r="A133" s="93"/>
      <c r="B133" s="92"/>
      <c r="C133" s="93"/>
      <c r="D133" s="189" t="s">
        <v>153</v>
      </c>
      <c r="E133" s="93"/>
      <c r="F133" s="196" t="s">
        <v>154</v>
      </c>
      <c r="G133" s="93"/>
      <c r="H133" s="93"/>
      <c r="I133" s="234"/>
      <c r="J133" s="93"/>
      <c r="K133" s="93"/>
      <c r="L133" s="92"/>
      <c r="M133" s="197"/>
      <c r="N133" s="198"/>
      <c r="O133" s="199"/>
      <c r="P133" s="199"/>
      <c r="Q133" s="199"/>
      <c r="R133" s="199"/>
      <c r="S133" s="199"/>
      <c r="T133" s="200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T133" s="83" t="s">
        <v>153</v>
      </c>
      <c r="AU133" s="83" t="s">
        <v>87</v>
      </c>
    </row>
    <row r="134" spans="2:51" s="201" customFormat="1" ht="12">
      <c r="B134" s="202"/>
      <c r="D134" s="189" t="s">
        <v>148</v>
      </c>
      <c r="E134" s="203" t="s">
        <v>1</v>
      </c>
      <c r="F134" s="204" t="s">
        <v>280</v>
      </c>
      <c r="H134" s="203" t="s">
        <v>1</v>
      </c>
      <c r="I134" s="235"/>
      <c r="L134" s="202"/>
      <c r="M134" s="205"/>
      <c r="N134" s="206"/>
      <c r="O134" s="206"/>
      <c r="P134" s="206"/>
      <c r="Q134" s="206"/>
      <c r="R134" s="206"/>
      <c r="S134" s="206"/>
      <c r="T134" s="207"/>
      <c r="AT134" s="203" t="s">
        <v>148</v>
      </c>
      <c r="AU134" s="203" t="s">
        <v>87</v>
      </c>
      <c r="AV134" s="201" t="s">
        <v>85</v>
      </c>
      <c r="AW134" s="201" t="s">
        <v>34</v>
      </c>
      <c r="AX134" s="201" t="s">
        <v>78</v>
      </c>
      <c r="AY134" s="203" t="s">
        <v>139</v>
      </c>
    </row>
    <row r="135" spans="2:51" s="201" customFormat="1" ht="12">
      <c r="B135" s="202"/>
      <c r="D135" s="189" t="s">
        <v>148</v>
      </c>
      <c r="E135" s="203" t="s">
        <v>1</v>
      </c>
      <c r="F135" s="204" t="s">
        <v>156</v>
      </c>
      <c r="H135" s="203" t="s">
        <v>1</v>
      </c>
      <c r="I135" s="235"/>
      <c r="L135" s="202"/>
      <c r="M135" s="205"/>
      <c r="N135" s="206"/>
      <c r="O135" s="206"/>
      <c r="P135" s="206"/>
      <c r="Q135" s="206"/>
      <c r="R135" s="206"/>
      <c r="S135" s="206"/>
      <c r="T135" s="207"/>
      <c r="AT135" s="203" t="s">
        <v>148</v>
      </c>
      <c r="AU135" s="203" t="s">
        <v>87</v>
      </c>
      <c r="AV135" s="201" t="s">
        <v>85</v>
      </c>
      <c r="AW135" s="201" t="s">
        <v>34</v>
      </c>
      <c r="AX135" s="201" t="s">
        <v>78</v>
      </c>
      <c r="AY135" s="203" t="s">
        <v>139</v>
      </c>
    </row>
    <row r="136" spans="2:51" s="187" customFormat="1" ht="12">
      <c r="B136" s="188"/>
      <c r="D136" s="189" t="s">
        <v>148</v>
      </c>
      <c r="E136" s="190" t="s">
        <v>1</v>
      </c>
      <c r="F136" s="191" t="s">
        <v>1301</v>
      </c>
      <c r="H136" s="192">
        <v>168.883</v>
      </c>
      <c r="I136" s="233"/>
      <c r="L136" s="188"/>
      <c r="M136" s="193"/>
      <c r="N136" s="194"/>
      <c r="O136" s="194"/>
      <c r="P136" s="194"/>
      <c r="Q136" s="194"/>
      <c r="R136" s="194"/>
      <c r="S136" s="194"/>
      <c r="T136" s="195"/>
      <c r="AT136" s="190" t="s">
        <v>148</v>
      </c>
      <c r="AU136" s="190" t="s">
        <v>87</v>
      </c>
      <c r="AV136" s="187" t="s">
        <v>87</v>
      </c>
      <c r="AW136" s="187" t="s">
        <v>34</v>
      </c>
      <c r="AX136" s="187" t="s">
        <v>78</v>
      </c>
      <c r="AY136" s="190" t="s">
        <v>139</v>
      </c>
    </row>
    <row r="137" spans="2:51" s="187" customFormat="1" ht="12">
      <c r="B137" s="188"/>
      <c r="D137" s="189" t="s">
        <v>148</v>
      </c>
      <c r="E137" s="190" t="s">
        <v>1</v>
      </c>
      <c r="F137" s="191" t="s">
        <v>1302</v>
      </c>
      <c r="H137" s="192">
        <v>27.9</v>
      </c>
      <c r="I137" s="233"/>
      <c r="L137" s="188"/>
      <c r="M137" s="193"/>
      <c r="N137" s="194"/>
      <c r="O137" s="194"/>
      <c r="P137" s="194"/>
      <c r="Q137" s="194"/>
      <c r="R137" s="194"/>
      <c r="S137" s="194"/>
      <c r="T137" s="195"/>
      <c r="AT137" s="190" t="s">
        <v>148</v>
      </c>
      <c r="AU137" s="190" t="s">
        <v>87</v>
      </c>
      <c r="AV137" s="187" t="s">
        <v>87</v>
      </c>
      <c r="AW137" s="187" t="s">
        <v>34</v>
      </c>
      <c r="AX137" s="187" t="s">
        <v>78</v>
      </c>
      <c r="AY137" s="190" t="s">
        <v>139</v>
      </c>
    </row>
    <row r="138" spans="2:51" s="208" customFormat="1" ht="12">
      <c r="B138" s="209"/>
      <c r="D138" s="189" t="s">
        <v>148</v>
      </c>
      <c r="E138" s="210" t="s">
        <v>1</v>
      </c>
      <c r="F138" s="211" t="s">
        <v>159</v>
      </c>
      <c r="H138" s="212">
        <v>196.783</v>
      </c>
      <c r="I138" s="236"/>
      <c r="L138" s="209"/>
      <c r="M138" s="213"/>
      <c r="N138" s="214"/>
      <c r="O138" s="214"/>
      <c r="P138" s="214"/>
      <c r="Q138" s="214"/>
      <c r="R138" s="214"/>
      <c r="S138" s="214"/>
      <c r="T138" s="215"/>
      <c r="AT138" s="210" t="s">
        <v>148</v>
      </c>
      <c r="AU138" s="210" t="s">
        <v>87</v>
      </c>
      <c r="AV138" s="208" t="s">
        <v>146</v>
      </c>
      <c r="AW138" s="208" t="s">
        <v>34</v>
      </c>
      <c r="AX138" s="208" t="s">
        <v>85</v>
      </c>
      <c r="AY138" s="210" t="s">
        <v>139</v>
      </c>
    </row>
    <row r="139" spans="1:65" s="95" customFormat="1" ht="49.15" customHeight="1">
      <c r="A139" s="93"/>
      <c r="B139" s="92"/>
      <c r="C139" s="175" t="s">
        <v>87</v>
      </c>
      <c r="D139" s="175" t="s">
        <v>141</v>
      </c>
      <c r="E139" s="176" t="s">
        <v>972</v>
      </c>
      <c r="F139" s="177" t="s">
        <v>973</v>
      </c>
      <c r="G139" s="178" t="s">
        <v>144</v>
      </c>
      <c r="H139" s="179">
        <v>323.342</v>
      </c>
      <c r="I139" s="69"/>
      <c r="J139" s="180">
        <f>ROUND(I139*H139,2)</f>
        <v>0</v>
      </c>
      <c r="K139" s="177" t="s">
        <v>967</v>
      </c>
      <c r="L139" s="92"/>
      <c r="M139" s="181" t="s">
        <v>1</v>
      </c>
      <c r="N139" s="182" t="s">
        <v>44</v>
      </c>
      <c r="O139" s="183">
        <v>0.022</v>
      </c>
      <c r="P139" s="183">
        <f>O139*H139</f>
        <v>7.113523999999999</v>
      </c>
      <c r="Q139" s="183">
        <v>6E-05</v>
      </c>
      <c r="R139" s="183">
        <f>Q139*H139</f>
        <v>0.01940052</v>
      </c>
      <c r="S139" s="183">
        <v>0.128</v>
      </c>
      <c r="T139" s="184">
        <f>S139*H139</f>
        <v>41.387776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5" t="s">
        <v>146</v>
      </c>
      <c r="AT139" s="185" t="s">
        <v>141</v>
      </c>
      <c r="AU139" s="185" t="s">
        <v>87</v>
      </c>
      <c r="AY139" s="83" t="s">
        <v>139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3" t="s">
        <v>85</v>
      </c>
      <c r="BK139" s="186">
        <f>ROUND(I139*H139,2)</f>
        <v>0</v>
      </c>
      <c r="BL139" s="83" t="s">
        <v>146</v>
      </c>
      <c r="BM139" s="185" t="s">
        <v>1303</v>
      </c>
    </row>
    <row r="140" spans="1:47" s="95" customFormat="1" ht="19.5">
      <c r="A140" s="93"/>
      <c r="B140" s="92"/>
      <c r="C140" s="93"/>
      <c r="D140" s="189" t="s">
        <v>153</v>
      </c>
      <c r="E140" s="93"/>
      <c r="F140" s="196" t="s">
        <v>620</v>
      </c>
      <c r="G140" s="93"/>
      <c r="H140" s="93"/>
      <c r="I140" s="234"/>
      <c r="J140" s="93"/>
      <c r="K140" s="93"/>
      <c r="L140" s="92"/>
      <c r="M140" s="197"/>
      <c r="N140" s="198"/>
      <c r="O140" s="199"/>
      <c r="P140" s="199"/>
      <c r="Q140" s="199"/>
      <c r="R140" s="199"/>
      <c r="S140" s="199"/>
      <c r="T140" s="200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T140" s="83" t="s">
        <v>153</v>
      </c>
      <c r="AU140" s="83" t="s">
        <v>87</v>
      </c>
    </row>
    <row r="141" spans="2:51" s="201" customFormat="1" ht="12">
      <c r="B141" s="202"/>
      <c r="D141" s="189" t="s">
        <v>148</v>
      </c>
      <c r="E141" s="203" t="s">
        <v>1</v>
      </c>
      <c r="F141" s="204" t="s">
        <v>975</v>
      </c>
      <c r="H141" s="203" t="s">
        <v>1</v>
      </c>
      <c r="I141" s="235"/>
      <c r="L141" s="202"/>
      <c r="M141" s="205"/>
      <c r="N141" s="206"/>
      <c r="O141" s="206"/>
      <c r="P141" s="206"/>
      <c r="Q141" s="206"/>
      <c r="R141" s="206"/>
      <c r="S141" s="206"/>
      <c r="T141" s="207"/>
      <c r="AT141" s="203" t="s">
        <v>148</v>
      </c>
      <c r="AU141" s="203" t="s">
        <v>87</v>
      </c>
      <c r="AV141" s="201" t="s">
        <v>85</v>
      </c>
      <c r="AW141" s="201" t="s">
        <v>34</v>
      </c>
      <c r="AX141" s="201" t="s">
        <v>78</v>
      </c>
      <c r="AY141" s="203" t="s">
        <v>139</v>
      </c>
    </row>
    <row r="142" spans="2:51" s="201" customFormat="1" ht="12">
      <c r="B142" s="202"/>
      <c r="D142" s="189" t="s">
        <v>148</v>
      </c>
      <c r="E142" s="203" t="s">
        <v>1</v>
      </c>
      <c r="F142" s="204" t="s">
        <v>1304</v>
      </c>
      <c r="H142" s="203" t="s">
        <v>1</v>
      </c>
      <c r="I142" s="235"/>
      <c r="L142" s="202"/>
      <c r="M142" s="205"/>
      <c r="N142" s="206"/>
      <c r="O142" s="206"/>
      <c r="P142" s="206"/>
      <c r="Q142" s="206"/>
      <c r="R142" s="206"/>
      <c r="S142" s="206"/>
      <c r="T142" s="207"/>
      <c r="AT142" s="203" t="s">
        <v>148</v>
      </c>
      <c r="AU142" s="203" t="s">
        <v>87</v>
      </c>
      <c r="AV142" s="201" t="s">
        <v>85</v>
      </c>
      <c r="AW142" s="201" t="s">
        <v>34</v>
      </c>
      <c r="AX142" s="201" t="s">
        <v>78</v>
      </c>
      <c r="AY142" s="203" t="s">
        <v>139</v>
      </c>
    </row>
    <row r="143" spans="2:51" s="187" customFormat="1" ht="12">
      <c r="B143" s="188"/>
      <c r="D143" s="189" t="s">
        <v>148</v>
      </c>
      <c r="E143" s="190" t="s">
        <v>1</v>
      </c>
      <c r="F143" s="191" t="s">
        <v>977</v>
      </c>
      <c r="H143" s="192">
        <v>520.125</v>
      </c>
      <c r="I143" s="233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0" t="s">
        <v>148</v>
      </c>
      <c r="AU143" s="190" t="s">
        <v>87</v>
      </c>
      <c r="AV143" s="187" t="s">
        <v>87</v>
      </c>
      <c r="AW143" s="187" t="s">
        <v>34</v>
      </c>
      <c r="AX143" s="187" t="s">
        <v>78</v>
      </c>
      <c r="AY143" s="190" t="s">
        <v>139</v>
      </c>
    </row>
    <row r="144" spans="2:51" s="187" customFormat="1" ht="12">
      <c r="B144" s="188"/>
      <c r="D144" s="189" t="s">
        <v>148</v>
      </c>
      <c r="E144" s="190" t="s">
        <v>1</v>
      </c>
      <c r="F144" s="191" t="s">
        <v>1305</v>
      </c>
      <c r="H144" s="192">
        <v>-196.783</v>
      </c>
      <c r="I144" s="233"/>
      <c r="L144" s="188"/>
      <c r="M144" s="193"/>
      <c r="N144" s="194"/>
      <c r="O144" s="194"/>
      <c r="P144" s="194"/>
      <c r="Q144" s="194"/>
      <c r="R144" s="194"/>
      <c r="S144" s="194"/>
      <c r="T144" s="195"/>
      <c r="AT144" s="190" t="s">
        <v>148</v>
      </c>
      <c r="AU144" s="190" t="s">
        <v>87</v>
      </c>
      <c r="AV144" s="187" t="s">
        <v>87</v>
      </c>
      <c r="AW144" s="187" t="s">
        <v>34</v>
      </c>
      <c r="AX144" s="187" t="s">
        <v>78</v>
      </c>
      <c r="AY144" s="190" t="s">
        <v>139</v>
      </c>
    </row>
    <row r="145" spans="2:51" s="208" customFormat="1" ht="12">
      <c r="B145" s="209"/>
      <c r="D145" s="189" t="s">
        <v>148</v>
      </c>
      <c r="E145" s="210" t="s">
        <v>1</v>
      </c>
      <c r="F145" s="211" t="s">
        <v>159</v>
      </c>
      <c r="H145" s="212">
        <v>323.342</v>
      </c>
      <c r="I145" s="236"/>
      <c r="L145" s="209"/>
      <c r="M145" s="213"/>
      <c r="N145" s="214"/>
      <c r="O145" s="214"/>
      <c r="P145" s="214"/>
      <c r="Q145" s="214"/>
      <c r="R145" s="214"/>
      <c r="S145" s="214"/>
      <c r="T145" s="215"/>
      <c r="AT145" s="210" t="s">
        <v>148</v>
      </c>
      <c r="AU145" s="210" t="s">
        <v>87</v>
      </c>
      <c r="AV145" s="208" t="s">
        <v>146</v>
      </c>
      <c r="AW145" s="208" t="s">
        <v>34</v>
      </c>
      <c r="AX145" s="208" t="s">
        <v>85</v>
      </c>
      <c r="AY145" s="210" t="s">
        <v>139</v>
      </c>
    </row>
    <row r="146" spans="1:65" s="95" customFormat="1" ht="49.15" customHeight="1">
      <c r="A146" s="93"/>
      <c r="B146" s="92"/>
      <c r="C146" s="175" t="s">
        <v>160</v>
      </c>
      <c r="D146" s="175" t="s">
        <v>141</v>
      </c>
      <c r="E146" s="176" t="s">
        <v>979</v>
      </c>
      <c r="F146" s="177" t="s">
        <v>980</v>
      </c>
      <c r="G146" s="178" t="s">
        <v>144</v>
      </c>
      <c r="H146" s="179">
        <v>196.783</v>
      </c>
      <c r="I146" s="69"/>
      <c r="J146" s="180">
        <f>ROUND(I146*H146,2)</f>
        <v>0</v>
      </c>
      <c r="K146" s="177" t="s">
        <v>967</v>
      </c>
      <c r="L146" s="92"/>
      <c r="M146" s="181" t="s">
        <v>1</v>
      </c>
      <c r="N146" s="182" t="s">
        <v>44</v>
      </c>
      <c r="O146" s="183">
        <v>0.028</v>
      </c>
      <c r="P146" s="183">
        <f>O146*H146</f>
        <v>5.509924</v>
      </c>
      <c r="Q146" s="183">
        <v>0.00012</v>
      </c>
      <c r="R146" s="183">
        <f>Q146*H146</f>
        <v>0.02361396</v>
      </c>
      <c r="S146" s="183">
        <v>0.256</v>
      </c>
      <c r="T146" s="184">
        <f>S146*H146</f>
        <v>50.376447999999996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5" t="s">
        <v>146</v>
      </c>
      <c r="AT146" s="185" t="s">
        <v>141</v>
      </c>
      <c r="AU146" s="185" t="s">
        <v>87</v>
      </c>
      <c r="AY146" s="83" t="s">
        <v>139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3" t="s">
        <v>85</v>
      </c>
      <c r="BK146" s="186">
        <f>ROUND(I146*H146,2)</f>
        <v>0</v>
      </c>
      <c r="BL146" s="83" t="s">
        <v>146</v>
      </c>
      <c r="BM146" s="185" t="s">
        <v>1306</v>
      </c>
    </row>
    <row r="147" spans="1:47" s="95" customFormat="1" ht="19.5">
      <c r="A147" s="93"/>
      <c r="B147" s="92"/>
      <c r="C147" s="93"/>
      <c r="D147" s="189" t="s">
        <v>153</v>
      </c>
      <c r="E147" s="93"/>
      <c r="F147" s="196" t="s">
        <v>982</v>
      </c>
      <c r="G147" s="93"/>
      <c r="H147" s="93"/>
      <c r="I147" s="234"/>
      <c r="J147" s="93"/>
      <c r="K147" s="93"/>
      <c r="L147" s="92"/>
      <c r="M147" s="197"/>
      <c r="N147" s="198"/>
      <c r="O147" s="199"/>
      <c r="P147" s="199"/>
      <c r="Q147" s="199"/>
      <c r="R147" s="199"/>
      <c r="S147" s="199"/>
      <c r="T147" s="200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T147" s="83" t="s">
        <v>153</v>
      </c>
      <c r="AU147" s="83" t="s">
        <v>87</v>
      </c>
    </row>
    <row r="148" spans="2:51" s="201" customFormat="1" ht="12">
      <c r="B148" s="202"/>
      <c r="D148" s="189" t="s">
        <v>148</v>
      </c>
      <c r="E148" s="203" t="s">
        <v>1</v>
      </c>
      <c r="F148" s="204" t="s">
        <v>1307</v>
      </c>
      <c r="H148" s="203" t="s">
        <v>1</v>
      </c>
      <c r="I148" s="235"/>
      <c r="L148" s="202"/>
      <c r="M148" s="205"/>
      <c r="N148" s="206"/>
      <c r="O148" s="206"/>
      <c r="P148" s="206"/>
      <c r="Q148" s="206"/>
      <c r="R148" s="206"/>
      <c r="S148" s="206"/>
      <c r="T148" s="207"/>
      <c r="AT148" s="203" t="s">
        <v>148</v>
      </c>
      <c r="AU148" s="203" t="s">
        <v>87</v>
      </c>
      <c r="AV148" s="201" t="s">
        <v>85</v>
      </c>
      <c r="AW148" s="201" t="s">
        <v>34</v>
      </c>
      <c r="AX148" s="201" t="s">
        <v>78</v>
      </c>
      <c r="AY148" s="203" t="s">
        <v>139</v>
      </c>
    </row>
    <row r="149" spans="2:51" s="187" customFormat="1" ht="12">
      <c r="B149" s="188"/>
      <c r="D149" s="189" t="s">
        <v>148</v>
      </c>
      <c r="E149" s="190" t="s">
        <v>1</v>
      </c>
      <c r="F149" s="191" t="s">
        <v>1308</v>
      </c>
      <c r="H149" s="192">
        <v>168.883</v>
      </c>
      <c r="I149" s="233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0" t="s">
        <v>148</v>
      </c>
      <c r="AU149" s="190" t="s">
        <v>87</v>
      </c>
      <c r="AV149" s="187" t="s">
        <v>87</v>
      </c>
      <c r="AW149" s="187" t="s">
        <v>34</v>
      </c>
      <c r="AX149" s="187" t="s">
        <v>78</v>
      </c>
      <c r="AY149" s="190" t="s">
        <v>139</v>
      </c>
    </row>
    <row r="150" spans="2:51" s="187" customFormat="1" ht="12">
      <c r="B150" s="188"/>
      <c r="D150" s="189" t="s">
        <v>148</v>
      </c>
      <c r="E150" s="190" t="s">
        <v>1</v>
      </c>
      <c r="F150" s="191" t="s">
        <v>1302</v>
      </c>
      <c r="H150" s="192">
        <v>27.9</v>
      </c>
      <c r="I150" s="233"/>
      <c r="L150" s="188"/>
      <c r="M150" s="193"/>
      <c r="N150" s="194"/>
      <c r="O150" s="194"/>
      <c r="P150" s="194"/>
      <c r="Q150" s="194"/>
      <c r="R150" s="194"/>
      <c r="S150" s="194"/>
      <c r="T150" s="195"/>
      <c r="AT150" s="190" t="s">
        <v>148</v>
      </c>
      <c r="AU150" s="190" t="s">
        <v>87</v>
      </c>
      <c r="AV150" s="187" t="s">
        <v>87</v>
      </c>
      <c r="AW150" s="187" t="s">
        <v>34</v>
      </c>
      <c r="AX150" s="187" t="s">
        <v>78</v>
      </c>
      <c r="AY150" s="190" t="s">
        <v>139</v>
      </c>
    </row>
    <row r="151" spans="2:51" s="208" customFormat="1" ht="12">
      <c r="B151" s="209"/>
      <c r="D151" s="189" t="s">
        <v>148</v>
      </c>
      <c r="E151" s="210" t="s">
        <v>1</v>
      </c>
      <c r="F151" s="211" t="s">
        <v>159</v>
      </c>
      <c r="H151" s="212">
        <v>196.783</v>
      </c>
      <c r="I151" s="236"/>
      <c r="L151" s="209"/>
      <c r="M151" s="213"/>
      <c r="N151" s="214"/>
      <c r="O151" s="214"/>
      <c r="P151" s="214"/>
      <c r="Q151" s="214"/>
      <c r="R151" s="214"/>
      <c r="S151" s="214"/>
      <c r="T151" s="215"/>
      <c r="AT151" s="210" t="s">
        <v>148</v>
      </c>
      <c r="AU151" s="210" t="s">
        <v>87</v>
      </c>
      <c r="AV151" s="208" t="s">
        <v>146</v>
      </c>
      <c r="AW151" s="208" t="s">
        <v>34</v>
      </c>
      <c r="AX151" s="208" t="s">
        <v>85</v>
      </c>
      <c r="AY151" s="210" t="s">
        <v>139</v>
      </c>
    </row>
    <row r="152" spans="1:65" s="95" customFormat="1" ht="24.2" customHeight="1">
      <c r="A152" s="93"/>
      <c r="B152" s="92"/>
      <c r="C152" s="175" t="s">
        <v>146</v>
      </c>
      <c r="D152" s="175" t="s">
        <v>141</v>
      </c>
      <c r="E152" s="176" t="s">
        <v>175</v>
      </c>
      <c r="F152" s="177" t="s">
        <v>176</v>
      </c>
      <c r="G152" s="178" t="s">
        <v>177</v>
      </c>
      <c r="H152" s="179">
        <v>40</v>
      </c>
      <c r="I152" s="69"/>
      <c r="J152" s="180">
        <f>ROUND(I152*H152,2)</f>
        <v>0</v>
      </c>
      <c r="K152" s="177" t="s">
        <v>967</v>
      </c>
      <c r="L152" s="92"/>
      <c r="M152" s="181" t="s">
        <v>1</v>
      </c>
      <c r="N152" s="182" t="s">
        <v>44</v>
      </c>
      <c r="O152" s="183">
        <v>0.184</v>
      </c>
      <c r="P152" s="183">
        <f>O152*H152</f>
        <v>7.359999999999999</v>
      </c>
      <c r="Q152" s="183">
        <v>3E-05</v>
      </c>
      <c r="R152" s="183">
        <f>Q152*H152</f>
        <v>0.0012000000000000001</v>
      </c>
      <c r="S152" s="183">
        <v>0</v>
      </c>
      <c r="T152" s="184">
        <f>S152*H152</f>
        <v>0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R152" s="185" t="s">
        <v>146</v>
      </c>
      <c r="AT152" s="185" t="s">
        <v>141</v>
      </c>
      <c r="AU152" s="185" t="s">
        <v>87</v>
      </c>
      <c r="AY152" s="83" t="s">
        <v>139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3" t="s">
        <v>85</v>
      </c>
      <c r="BK152" s="186">
        <f>ROUND(I152*H152,2)</f>
        <v>0</v>
      </c>
      <c r="BL152" s="83" t="s">
        <v>146</v>
      </c>
      <c r="BM152" s="185" t="s">
        <v>1309</v>
      </c>
    </row>
    <row r="153" spans="1:47" s="95" customFormat="1" ht="19.5">
      <c r="A153" s="93"/>
      <c r="B153" s="92"/>
      <c r="C153" s="93"/>
      <c r="D153" s="189" t="s">
        <v>153</v>
      </c>
      <c r="E153" s="93"/>
      <c r="F153" s="196" t="s">
        <v>986</v>
      </c>
      <c r="G153" s="93"/>
      <c r="H153" s="93"/>
      <c r="I153" s="234"/>
      <c r="J153" s="93"/>
      <c r="K153" s="93"/>
      <c r="L153" s="92"/>
      <c r="M153" s="197"/>
      <c r="N153" s="198"/>
      <c r="O153" s="199"/>
      <c r="P153" s="199"/>
      <c r="Q153" s="199"/>
      <c r="R153" s="199"/>
      <c r="S153" s="199"/>
      <c r="T153" s="200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T153" s="83" t="s">
        <v>153</v>
      </c>
      <c r="AU153" s="83" t="s">
        <v>87</v>
      </c>
    </row>
    <row r="154" spans="2:51" s="187" customFormat="1" ht="12">
      <c r="B154" s="188"/>
      <c r="D154" s="189" t="s">
        <v>148</v>
      </c>
      <c r="E154" s="190" t="s">
        <v>1</v>
      </c>
      <c r="F154" s="191" t="s">
        <v>987</v>
      </c>
      <c r="H154" s="192">
        <v>40</v>
      </c>
      <c r="I154" s="233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 t="s">
        <v>148</v>
      </c>
      <c r="AU154" s="190" t="s">
        <v>87</v>
      </c>
      <c r="AV154" s="187" t="s">
        <v>87</v>
      </c>
      <c r="AW154" s="187" t="s">
        <v>34</v>
      </c>
      <c r="AX154" s="187" t="s">
        <v>85</v>
      </c>
      <c r="AY154" s="190" t="s">
        <v>139</v>
      </c>
    </row>
    <row r="155" spans="1:65" s="95" customFormat="1" ht="90" customHeight="1">
      <c r="A155" s="93"/>
      <c r="B155" s="92"/>
      <c r="C155" s="175" t="s">
        <v>168</v>
      </c>
      <c r="D155" s="175" t="s">
        <v>141</v>
      </c>
      <c r="E155" s="176" t="s">
        <v>182</v>
      </c>
      <c r="F155" s="177" t="s">
        <v>1310</v>
      </c>
      <c r="G155" s="178" t="s">
        <v>171</v>
      </c>
      <c r="H155" s="179">
        <v>13.5</v>
      </c>
      <c r="I155" s="69"/>
      <c r="J155" s="180">
        <f>ROUND(I155*H155,2)</f>
        <v>0</v>
      </c>
      <c r="K155" s="177" t="s">
        <v>967</v>
      </c>
      <c r="L155" s="92"/>
      <c r="M155" s="181" t="s">
        <v>1</v>
      </c>
      <c r="N155" s="182" t="s">
        <v>44</v>
      </c>
      <c r="O155" s="183">
        <v>0.703</v>
      </c>
      <c r="P155" s="183">
        <f>O155*H155</f>
        <v>9.490499999999999</v>
      </c>
      <c r="Q155" s="183">
        <v>0.00868</v>
      </c>
      <c r="R155" s="183">
        <f>Q155*H155</f>
        <v>0.11718</v>
      </c>
      <c r="S155" s="183">
        <v>0</v>
      </c>
      <c r="T155" s="184">
        <f>S155*H155</f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R155" s="185" t="s">
        <v>146</v>
      </c>
      <c r="AT155" s="185" t="s">
        <v>141</v>
      </c>
      <c r="AU155" s="185" t="s">
        <v>87</v>
      </c>
      <c r="AY155" s="83" t="s">
        <v>139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3" t="s">
        <v>85</v>
      </c>
      <c r="BK155" s="186">
        <f>ROUND(I155*H155,2)</f>
        <v>0</v>
      </c>
      <c r="BL155" s="83" t="s">
        <v>146</v>
      </c>
      <c r="BM155" s="185" t="s">
        <v>1311</v>
      </c>
    </row>
    <row r="156" spans="2:51" s="201" customFormat="1" ht="12">
      <c r="B156" s="202"/>
      <c r="D156" s="189" t="s">
        <v>148</v>
      </c>
      <c r="E156" s="203" t="s">
        <v>1</v>
      </c>
      <c r="F156" s="204" t="s">
        <v>1312</v>
      </c>
      <c r="H156" s="203" t="s">
        <v>1</v>
      </c>
      <c r="I156" s="235"/>
      <c r="L156" s="202"/>
      <c r="M156" s="205"/>
      <c r="N156" s="206"/>
      <c r="O156" s="206"/>
      <c r="P156" s="206"/>
      <c r="Q156" s="206"/>
      <c r="R156" s="206"/>
      <c r="S156" s="206"/>
      <c r="T156" s="207"/>
      <c r="AT156" s="203" t="s">
        <v>148</v>
      </c>
      <c r="AU156" s="203" t="s">
        <v>87</v>
      </c>
      <c r="AV156" s="201" t="s">
        <v>85</v>
      </c>
      <c r="AW156" s="201" t="s">
        <v>34</v>
      </c>
      <c r="AX156" s="201" t="s">
        <v>78</v>
      </c>
      <c r="AY156" s="203" t="s">
        <v>139</v>
      </c>
    </row>
    <row r="157" spans="2:51" s="187" customFormat="1" ht="12">
      <c r="B157" s="188"/>
      <c r="D157" s="189" t="s">
        <v>148</v>
      </c>
      <c r="E157" s="190" t="s">
        <v>1</v>
      </c>
      <c r="F157" s="191" t="s">
        <v>1313</v>
      </c>
      <c r="H157" s="192">
        <v>5.5</v>
      </c>
      <c r="I157" s="233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148</v>
      </c>
      <c r="AU157" s="190" t="s">
        <v>87</v>
      </c>
      <c r="AV157" s="187" t="s">
        <v>87</v>
      </c>
      <c r="AW157" s="187" t="s">
        <v>34</v>
      </c>
      <c r="AX157" s="187" t="s">
        <v>78</v>
      </c>
      <c r="AY157" s="190" t="s">
        <v>139</v>
      </c>
    </row>
    <row r="158" spans="2:51" s="187" customFormat="1" ht="12">
      <c r="B158" s="188"/>
      <c r="D158" s="189" t="s">
        <v>148</v>
      </c>
      <c r="E158" s="190" t="s">
        <v>1</v>
      </c>
      <c r="F158" s="191" t="s">
        <v>1314</v>
      </c>
      <c r="H158" s="192">
        <v>8</v>
      </c>
      <c r="I158" s="233"/>
      <c r="L158" s="188"/>
      <c r="M158" s="193"/>
      <c r="N158" s="194"/>
      <c r="O158" s="194"/>
      <c r="P158" s="194"/>
      <c r="Q158" s="194"/>
      <c r="R158" s="194"/>
      <c r="S158" s="194"/>
      <c r="T158" s="195"/>
      <c r="AT158" s="190" t="s">
        <v>148</v>
      </c>
      <c r="AU158" s="190" t="s">
        <v>87</v>
      </c>
      <c r="AV158" s="187" t="s">
        <v>87</v>
      </c>
      <c r="AW158" s="187" t="s">
        <v>34</v>
      </c>
      <c r="AX158" s="187" t="s">
        <v>78</v>
      </c>
      <c r="AY158" s="190" t="s">
        <v>139</v>
      </c>
    </row>
    <row r="159" spans="2:51" s="208" customFormat="1" ht="12">
      <c r="B159" s="209"/>
      <c r="D159" s="189" t="s">
        <v>148</v>
      </c>
      <c r="E159" s="210" t="s">
        <v>1</v>
      </c>
      <c r="F159" s="211" t="s">
        <v>159</v>
      </c>
      <c r="H159" s="212">
        <v>13.5</v>
      </c>
      <c r="I159" s="236"/>
      <c r="L159" s="209"/>
      <c r="M159" s="213"/>
      <c r="N159" s="214"/>
      <c r="O159" s="214"/>
      <c r="P159" s="214"/>
      <c r="Q159" s="214"/>
      <c r="R159" s="214"/>
      <c r="S159" s="214"/>
      <c r="T159" s="215"/>
      <c r="AT159" s="210" t="s">
        <v>148</v>
      </c>
      <c r="AU159" s="210" t="s">
        <v>87</v>
      </c>
      <c r="AV159" s="208" t="s">
        <v>146</v>
      </c>
      <c r="AW159" s="208" t="s">
        <v>34</v>
      </c>
      <c r="AX159" s="208" t="s">
        <v>85</v>
      </c>
      <c r="AY159" s="210" t="s">
        <v>139</v>
      </c>
    </row>
    <row r="160" spans="1:65" s="95" customFormat="1" ht="90" customHeight="1">
      <c r="A160" s="93"/>
      <c r="B160" s="92"/>
      <c r="C160" s="175" t="s">
        <v>174</v>
      </c>
      <c r="D160" s="175" t="s">
        <v>141</v>
      </c>
      <c r="E160" s="176" t="s">
        <v>188</v>
      </c>
      <c r="F160" s="177" t="s">
        <v>1315</v>
      </c>
      <c r="G160" s="178" t="s">
        <v>171</v>
      </c>
      <c r="H160" s="179">
        <v>7.7</v>
      </c>
      <c r="I160" s="69"/>
      <c r="J160" s="180">
        <f>ROUND(I160*H160,2)</f>
        <v>0</v>
      </c>
      <c r="K160" s="177" t="s">
        <v>967</v>
      </c>
      <c r="L160" s="92"/>
      <c r="M160" s="181" t="s">
        <v>1</v>
      </c>
      <c r="N160" s="182" t="s">
        <v>44</v>
      </c>
      <c r="O160" s="183">
        <v>0.547</v>
      </c>
      <c r="P160" s="183">
        <f>O160*H160</f>
        <v>4.2119</v>
      </c>
      <c r="Q160" s="183">
        <v>0.0369</v>
      </c>
      <c r="R160" s="183">
        <f>Q160*H160</f>
        <v>0.28413000000000005</v>
      </c>
      <c r="S160" s="183">
        <v>0</v>
      </c>
      <c r="T160" s="184">
        <f>S160*H160</f>
        <v>0</v>
      </c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R160" s="185" t="s">
        <v>146</v>
      </c>
      <c r="AT160" s="185" t="s">
        <v>141</v>
      </c>
      <c r="AU160" s="185" t="s">
        <v>87</v>
      </c>
      <c r="AY160" s="83" t="s">
        <v>139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3" t="s">
        <v>85</v>
      </c>
      <c r="BK160" s="186">
        <f>ROUND(I160*H160,2)</f>
        <v>0</v>
      </c>
      <c r="BL160" s="83" t="s">
        <v>146</v>
      </c>
      <c r="BM160" s="185" t="s">
        <v>1316</v>
      </c>
    </row>
    <row r="161" spans="2:51" s="201" customFormat="1" ht="12">
      <c r="B161" s="202"/>
      <c r="D161" s="189" t="s">
        <v>148</v>
      </c>
      <c r="E161" s="203" t="s">
        <v>1</v>
      </c>
      <c r="F161" s="204" t="s">
        <v>1312</v>
      </c>
      <c r="H161" s="203" t="s">
        <v>1</v>
      </c>
      <c r="I161" s="235"/>
      <c r="L161" s="202"/>
      <c r="M161" s="205"/>
      <c r="N161" s="206"/>
      <c r="O161" s="206"/>
      <c r="P161" s="206"/>
      <c r="Q161" s="206"/>
      <c r="R161" s="206"/>
      <c r="S161" s="206"/>
      <c r="T161" s="207"/>
      <c r="AT161" s="203" t="s">
        <v>148</v>
      </c>
      <c r="AU161" s="203" t="s">
        <v>87</v>
      </c>
      <c r="AV161" s="201" t="s">
        <v>85</v>
      </c>
      <c r="AW161" s="201" t="s">
        <v>34</v>
      </c>
      <c r="AX161" s="201" t="s">
        <v>78</v>
      </c>
      <c r="AY161" s="203" t="s">
        <v>139</v>
      </c>
    </row>
    <row r="162" spans="2:51" s="187" customFormat="1" ht="12">
      <c r="B162" s="188"/>
      <c r="D162" s="189" t="s">
        <v>148</v>
      </c>
      <c r="E162" s="190" t="s">
        <v>1</v>
      </c>
      <c r="F162" s="191" t="s">
        <v>1006</v>
      </c>
      <c r="H162" s="192">
        <v>7.7</v>
      </c>
      <c r="I162" s="233"/>
      <c r="L162" s="188"/>
      <c r="M162" s="193"/>
      <c r="N162" s="194"/>
      <c r="O162" s="194"/>
      <c r="P162" s="194"/>
      <c r="Q162" s="194"/>
      <c r="R162" s="194"/>
      <c r="S162" s="194"/>
      <c r="T162" s="195"/>
      <c r="AT162" s="190" t="s">
        <v>148</v>
      </c>
      <c r="AU162" s="190" t="s">
        <v>87</v>
      </c>
      <c r="AV162" s="187" t="s">
        <v>87</v>
      </c>
      <c r="AW162" s="187" t="s">
        <v>34</v>
      </c>
      <c r="AX162" s="187" t="s">
        <v>85</v>
      </c>
      <c r="AY162" s="190" t="s">
        <v>139</v>
      </c>
    </row>
    <row r="163" spans="1:65" s="95" customFormat="1" ht="37.9" customHeight="1">
      <c r="A163" s="93"/>
      <c r="B163" s="92"/>
      <c r="C163" s="175" t="s">
        <v>181</v>
      </c>
      <c r="D163" s="175" t="s">
        <v>141</v>
      </c>
      <c r="E163" s="176" t="s">
        <v>198</v>
      </c>
      <c r="F163" s="177" t="s">
        <v>1007</v>
      </c>
      <c r="G163" s="178" t="s">
        <v>194</v>
      </c>
      <c r="H163" s="179">
        <v>39.22</v>
      </c>
      <c r="I163" s="69"/>
      <c r="J163" s="180">
        <f>ROUND(I163*H163,2)</f>
        <v>0</v>
      </c>
      <c r="K163" s="177" t="s">
        <v>967</v>
      </c>
      <c r="L163" s="92"/>
      <c r="M163" s="181" t="s">
        <v>1</v>
      </c>
      <c r="N163" s="182" t="s">
        <v>44</v>
      </c>
      <c r="O163" s="183">
        <v>1.763</v>
      </c>
      <c r="P163" s="183">
        <f>O163*H163</f>
        <v>69.14486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R163" s="185" t="s">
        <v>146</v>
      </c>
      <c r="AT163" s="185" t="s">
        <v>141</v>
      </c>
      <c r="AU163" s="185" t="s">
        <v>87</v>
      </c>
      <c r="AY163" s="83" t="s">
        <v>139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3" t="s">
        <v>85</v>
      </c>
      <c r="BK163" s="186">
        <f>ROUND(I163*H163,2)</f>
        <v>0</v>
      </c>
      <c r="BL163" s="83" t="s">
        <v>146</v>
      </c>
      <c r="BM163" s="185" t="s">
        <v>1317</v>
      </c>
    </row>
    <row r="164" spans="2:51" s="187" customFormat="1" ht="12">
      <c r="B164" s="188"/>
      <c r="D164" s="189" t="s">
        <v>148</v>
      </c>
      <c r="E164" s="190" t="s">
        <v>1</v>
      </c>
      <c r="F164" s="191" t="s">
        <v>1318</v>
      </c>
      <c r="H164" s="192">
        <v>24.42</v>
      </c>
      <c r="I164" s="233"/>
      <c r="L164" s="188"/>
      <c r="M164" s="193"/>
      <c r="N164" s="194"/>
      <c r="O164" s="194"/>
      <c r="P164" s="194"/>
      <c r="Q164" s="194"/>
      <c r="R164" s="194"/>
      <c r="S164" s="194"/>
      <c r="T164" s="195"/>
      <c r="AT164" s="190" t="s">
        <v>148</v>
      </c>
      <c r="AU164" s="190" t="s">
        <v>87</v>
      </c>
      <c r="AV164" s="187" t="s">
        <v>87</v>
      </c>
      <c r="AW164" s="187" t="s">
        <v>34</v>
      </c>
      <c r="AX164" s="187" t="s">
        <v>78</v>
      </c>
      <c r="AY164" s="190" t="s">
        <v>139</v>
      </c>
    </row>
    <row r="165" spans="2:51" s="187" customFormat="1" ht="12">
      <c r="B165" s="188"/>
      <c r="D165" s="189" t="s">
        <v>148</v>
      </c>
      <c r="E165" s="190" t="s">
        <v>1</v>
      </c>
      <c r="F165" s="191" t="s">
        <v>1319</v>
      </c>
      <c r="H165" s="192">
        <v>14.8</v>
      </c>
      <c r="I165" s="233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0" t="s">
        <v>148</v>
      </c>
      <c r="AU165" s="190" t="s">
        <v>87</v>
      </c>
      <c r="AV165" s="187" t="s">
        <v>87</v>
      </c>
      <c r="AW165" s="187" t="s">
        <v>34</v>
      </c>
      <c r="AX165" s="187" t="s">
        <v>78</v>
      </c>
      <c r="AY165" s="190" t="s">
        <v>139</v>
      </c>
    </row>
    <row r="166" spans="2:51" s="208" customFormat="1" ht="12">
      <c r="B166" s="209"/>
      <c r="D166" s="189" t="s">
        <v>148</v>
      </c>
      <c r="E166" s="210" t="s">
        <v>1</v>
      </c>
      <c r="F166" s="211" t="s">
        <v>159</v>
      </c>
      <c r="H166" s="212">
        <v>39.22</v>
      </c>
      <c r="I166" s="236"/>
      <c r="L166" s="209"/>
      <c r="M166" s="213"/>
      <c r="N166" s="214"/>
      <c r="O166" s="214"/>
      <c r="P166" s="214"/>
      <c r="Q166" s="214"/>
      <c r="R166" s="214"/>
      <c r="S166" s="214"/>
      <c r="T166" s="215"/>
      <c r="AT166" s="210" t="s">
        <v>148</v>
      </c>
      <c r="AU166" s="210" t="s">
        <v>87</v>
      </c>
      <c r="AV166" s="208" t="s">
        <v>146</v>
      </c>
      <c r="AW166" s="208" t="s">
        <v>34</v>
      </c>
      <c r="AX166" s="208" t="s">
        <v>85</v>
      </c>
      <c r="AY166" s="210" t="s">
        <v>139</v>
      </c>
    </row>
    <row r="167" spans="1:65" s="95" customFormat="1" ht="49.15" customHeight="1">
      <c r="A167" s="93"/>
      <c r="B167" s="92"/>
      <c r="C167" s="175" t="s">
        <v>187</v>
      </c>
      <c r="D167" s="175" t="s">
        <v>141</v>
      </c>
      <c r="E167" s="176" t="s">
        <v>1011</v>
      </c>
      <c r="F167" s="177" t="s">
        <v>1012</v>
      </c>
      <c r="G167" s="178" t="s">
        <v>194</v>
      </c>
      <c r="H167" s="179">
        <v>301.96</v>
      </c>
      <c r="I167" s="69"/>
      <c r="J167" s="180">
        <f>ROUND(I167*H167,2)</f>
        <v>0</v>
      </c>
      <c r="K167" s="177" t="s">
        <v>967</v>
      </c>
      <c r="L167" s="92"/>
      <c r="M167" s="181" t="s">
        <v>1</v>
      </c>
      <c r="N167" s="182" t="s">
        <v>44</v>
      </c>
      <c r="O167" s="183">
        <v>0.538</v>
      </c>
      <c r="P167" s="183">
        <f>O167*H167</f>
        <v>162.45448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R167" s="185" t="s">
        <v>146</v>
      </c>
      <c r="AT167" s="185" t="s">
        <v>141</v>
      </c>
      <c r="AU167" s="185" t="s">
        <v>87</v>
      </c>
      <c r="AY167" s="83" t="s">
        <v>139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83" t="s">
        <v>85</v>
      </c>
      <c r="BK167" s="186">
        <f>ROUND(I167*H167,2)</f>
        <v>0</v>
      </c>
      <c r="BL167" s="83" t="s">
        <v>146</v>
      </c>
      <c r="BM167" s="185" t="s">
        <v>1320</v>
      </c>
    </row>
    <row r="168" spans="2:51" s="201" customFormat="1" ht="12">
      <c r="B168" s="202"/>
      <c r="D168" s="189" t="s">
        <v>148</v>
      </c>
      <c r="E168" s="203" t="s">
        <v>1</v>
      </c>
      <c r="F168" s="204" t="s">
        <v>1321</v>
      </c>
      <c r="H168" s="203" t="s">
        <v>1</v>
      </c>
      <c r="I168" s="235"/>
      <c r="L168" s="202"/>
      <c r="M168" s="205"/>
      <c r="N168" s="206"/>
      <c r="O168" s="206"/>
      <c r="P168" s="206"/>
      <c r="Q168" s="206"/>
      <c r="R168" s="206"/>
      <c r="S168" s="206"/>
      <c r="T168" s="207"/>
      <c r="AT168" s="203" t="s">
        <v>148</v>
      </c>
      <c r="AU168" s="203" t="s">
        <v>87</v>
      </c>
      <c r="AV168" s="201" t="s">
        <v>85</v>
      </c>
      <c r="AW168" s="201" t="s">
        <v>34</v>
      </c>
      <c r="AX168" s="201" t="s">
        <v>78</v>
      </c>
      <c r="AY168" s="203" t="s">
        <v>139</v>
      </c>
    </row>
    <row r="169" spans="2:51" s="201" customFormat="1" ht="12">
      <c r="B169" s="202"/>
      <c r="D169" s="189" t="s">
        <v>148</v>
      </c>
      <c r="E169" s="203" t="s">
        <v>1</v>
      </c>
      <c r="F169" s="204" t="s">
        <v>207</v>
      </c>
      <c r="H169" s="203" t="s">
        <v>1</v>
      </c>
      <c r="I169" s="235"/>
      <c r="L169" s="202"/>
      <c r="M169" s="205"/>
      <c r="N169" s="206"/>
      <c r="O169" s="206"/>
      <c r="P169" s="206"/>
      <c r="Q169" s="206"/>
      <c r="R169" s="206"/>
      <c r="S169" s="206"/>
      <c r="T169" s="207"/>
      <c r="AT169" s="203" t="s">
        <v>148</v>
      </c>
      <c r="AU169" s="203" t="s">
        <v>87</v>
      </c>
      <c r="AV169" s="201" t="s">
        <v>85</v>
      </c>
      <c r="AW169" s="201" t="s">
        <v>34</v>
      </c>
      <c r="AX169" s="201" t="s">
        <v>78</v>
      </c>
      <c r="AY169" s="203" t="s">
        <v>139</v>
      </c>
    </row>
    <row r="170" spans="2:51" s="187" customFormat="1" ht="12">
      <c r="B170" s="188"/>
      <c r="D170" s="189" t="s">
        <v>148</v>
      </c>
      <c r="E170" s="190" t="s">
        <v>1</v>
      </c>
      <c r="F170" s="191" t="s">
        <v>1322</v>
      </c>
      <c r="H170" s="192">
        <v>263.04</v>
      </c>
      <c r="I170" s="233"/>
      <c r="L170" s="188"/>
      <c r="M170" s="193"/>
      <c r="N170" s="194"/>
      <c r="O170" s="194"/>
      <c r="P170" s="194"/>
      <c r="Q170" s="194"/>
      <c r="R170" s="194"/>
      <c r="S170" s="194"/>
      <c r="T170" s="195"/>
      <c r="AT170" s="190" t="s">
        <v>148</v>
      </c>
      <c r="AU170" s="190" t="s">
        <v>87</v>
      </c>
      <c r="AV170" s="187" t="s">
        <v>87</v>
      </c>
      <c r="AW170" s="187" t="s">
        <v>34</v>
      </c>
      <c r="AX170" s="187" t="s">
        <v>78</v>
      </c>
      <c r="AY170" s="190" t="s">
        <v>139</v>
      </c>
    </row>
    <row r="171" spans="2:51" s="187" customFormat="1" ht="12">
      <c r="B171" s="188"/>
      <c r="D171" s="189" t="s">
        <v>148</v>
      </c>
      <c r="E171" s="190" t="s">
        <v>1</v>
      </c>
      <c r="F171" s="191" t="s">
        <v>1323</v>
      </c>
      <c r="H171" s="192">
        <v>38.92</v>
      </c>
      <c r="I171" s="233"/>
      <c r="L171" s="188"/>
      <c r="M171" s="193"/>
      <c r="N171" s="194"/>
      <c r="O171" s="194"/>
      <c r="P171" s="194"/>
      <c r="Q171" s="194"/>
      <c r="R171" s="194"/>
      <c r="S171" s="194"/>
      <c r="T171" s="195"/>
      <c r="AT171" s="190" t="s">
        <v>148</v>
      </c>
      <c r="AU171" s="190" t="s">
        <v>87</v>
      </c>
      <c r="AV171" s="187" t="s">
        <v>87</v>
      </c>
      <c r="AW171" s="187" t="s">
        <v>34</v>
      </c>
      <c r="AX171" s="187" t="s">
        <v>78</v>
      </c>
      <c r="AY171" s="190" t="s">
        <v>139</v>
      </c>
    </row>
    <row r="172" spans="2:51" s="208" customFormat="1" ht="12">
      <c r="B172" s="209"/>
      <c r="D172" s="189" t="s">
        <v>148</v>
      </c>
      <c r="E172" s="210" t="s">
        <v>1</v>
      </c>
      <c r="F172" s="211" t="s">
        <v>159</v>
      </c>
      <c r="H172" s="212">
        <v>301.96</v>
      </c>
      <c r="I172" s="236"/>
      <c r="L172" s="209"/>
      <c r="M172" s="213"/>
      <c r="N172" s="214"/>
      <c r="O172" s="214"/>
      <c r="P172" s="214"/>
      <c r="Q172" s="214"/>
      <c r="R172" s="214"/>
      <c r="S172" s="214"/>
      <c r="T172" s="215"/>
      <c r="AT172" s="210" t="s">
        <v>148</v>
      </c>
      <c r="AU172" s="210" t="s">
        <v>87</v>
      </c>
      <c r="AV172" s="208" t="s">
        <v>146</v>
      </c>
      <c r="AW172" s="208" t="s">
        <v>34</v>
      </c>
      <c r="AX172" s="208" t="s">
        <v>85</v>
      </c>
      <c r="AY172" s="210" t="s">
        <v>139</v>
      </c>
    </row>
    <row r="173" spans="1:65" s="95" customFormat="1" ht="37.9" customHeight="1">
      <c r="A173" s="93"/>
      <c r="B173" s="92"/>
      <c r="C173" s="175" t="s">
        <v>191</v>
      </c>
      <c r="D173" s="175" t="s">
        <v>141</v>
      </c>
      <c r="E173" s="176" t="s">
        <v>872</v>
      </c>
      <c r="F173" s="177" t="s">
        <v>873</v>
      </c>
      <c r="G173" s="178" t="s">
        <v>144</v>
      </c>
      <c r="H173" s="179">
        <v>686.3</v>
      </c>
      <c r="I173" s="69"/>
      <c r="J173" s="180">
        <f>ROUND(I173*H173,2)</f>
        <v>0</v>
      </c>
      <c r="K173" s="177" t="s">
        <v>967</v>
      </c>
      <c r="L173" s="92"/>
      <c r="M173" s="181" t="s">
        <v>1</v>
      </c>
      <c r="N173" s="182" t="s">
        <v>44</v>
      </c>
      <c r="O173" s="183">
        <v>0.109</v>
      </c>
      <c r="P173" s="183">
        <f>O173*H173</f>
        <v>74.80669999999999</v>
      </c>
      <c r="Q173" s="183">
        <v>0.00059</v>
      </c>
      <c r="R173" s="183">
        <f>Q173*H173</f>
        <v>0.40491699999999997</v>
      </c>
      <c r="S173" s="183">
        <v>0</v>
      </c>
      <c r="T173" s="184">
        <f>S173*H173</f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5" t="s">
        <v>146</v>
      </c>
      <c r="AT173" s="185" t="s">
        <v>141</v>
      </c>
      <c r="AU173" s="185" t="s">
        <v>87</v>
      </c>
      <c r="AY173" s="83" t="s">
        <v>139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3" t="s">
        <v>85</v>
      </c>
      <c r="BK173" s="186">
        <f>ROUND(I173*H173,2)</f>
        <v>0</v>
      </c>
      <c r="BL173" s="83" t="s">
        <v>146</v>
      </c>
      <c r="BM173" s="185" t="s">
        <v>1324</v>
      </c>
    </row>
    <row r="174" spans="2:51" s="201" customFormat="1" ht="12">
      <c r="B174" s="202"/>
      <c r="D174" s="189" t="s">
        <v>148</v>
      </c>
      <c r="E174" s="203" t="s">
        <v>1</v>
      </c>
      <c r="F174" s="204" t="s">
        <v>207</v>
      </c>
      <c r="H174" s="203" t="s">
        <v>1</v>
      </c>
      <c r="I174" s="235"/>
      <c r="L174" s="202"/>
      <c r="M174" s="205"/>
      <c r="N174" s="206"/>
      <c r="O174" s="206"/>
      <c r="P174" s="206"/>
      <c r="Q174" s="206"/>
      <c r="R174" s="206"/>
      <c r="S174" s="206"/>
      <c r="T174" s="207"/>
      <c r="AT174" s="203" t="s">
        <v>148</v>
      </c>
      <c r="AU174" s="203" t="s">
        <v>87</v>
      </c>
      <c r="AV174" s="201" t="s">
        <v>85</v>
      </c>
      <c r="AW174" s="201" t="s">
        <v>34</v>
      </c>
      <c r="AX174" s="201" t="s">
        <v>78</v>
      </c>
      <c r="AY174" s="203" t="s">
        <v>139</v>
      </c>
    </row>
    <row r="175" spans="2:51" s="187" customFormat="1" ht="12">
      <c r="B175" s="188"/>
      <c r="D175" s="189" t="s">
        <v>148</v>
      </c>
      <c r="E175" s="190" t="s">
        <v>1</v>
      </c>
      <c r="F175" s="191" t="s">
        <v>1325</v>
      </c>
      <c r="H175" s="192">
        <v>583.91</v>
      </c>
      <c r="I175" s="233"/>
      <c r="L175" s="188"/>
      <c r="M175" s="193"/>
      <c r="N175" s="194"/>
      <c r="O175" s="194"/>
      <c r="P175" s="194"/>
      <c r="Q175" s="194"/>
      <c r="R175" s="194"/>
      <c r="S175" s="194"/>
      <c r="T175" s="195"/>
      <c r="AT175" s="190" t="s">
        <v>148</v>
      </c>
      <c r="AU175" s="190" t="s">
        <v>87</v>
      </c>
      <c r="AV175" s="187" t="s">
        <v>87</v>
      </c>
      <c r="AW175" s="187" t="s">
        <v>34</v>
      </c>
      <c r="AX175" s="187" t="s">
        <v>78</v>
      </c>
      <c r="AY175" s="190" t="s">
        <v>139</v>
      </c>
    </row>
    <row r="176" spans="2:51" s="187" customFormat="1" ht="12">
      <c r="B176" s="188"/>
      <c r="D176" s="189" t="s">
        <v>148</v>
      </c>
      <c r="E176" s="190" t="s">
        <v>1</v>
      </c>
      <c r="F176" s="191" t="s">
        <v>1326</v>
      </c>
      <c r="H176" s="192">
        <v>102.39</v>
      </c>
      <c r="I176" s="233"/>
      <c r="L176" s="188"/>
      <c r="M176" s="193"/>
      <c r="N176" s="194"/>
      <c r="O176" s="194"/>
      <c r="P176" s="194"/>
      <c r="Q176" s="194"/>
      <c r="R176" s="194"/>
      <c r="S176" s="194"/>
      <c r="T176" s="195"/>
      <c r="AT176" s="190" t="s">
        <v>148</v>
      </c>
      <c r="AU176" s="190" t="s">
        <v>87</v>
      </c>
      <c r="AV176" s="187" t="s">
        <v>87</v>
      </c>
      <c r="AW176" s="187" t="s">
        <v>34</v>
      </c>
      <c r="AX176" s="187" t="s">
        <v>78</v>
      </c>
      <c r="AY176" s="190" t="s">
        <v>139</v>
      </c>
    </row>
    <row r="177" spans="2:51" s="208" customFormat="1" ht="12">
      <c r="B177" s="209"/>
      <c r="D177" s="189" t="s">
        <v>148</v>
      </c>
      <c r="E177" s="210" t="s">
        <v>1</v>
      </c>
      <c r="F177" s="211" t="s">
        <v>159</v>
      </c>
      <c r="H177" s="212">
        <v>686.3</v>
      </c>
      <c r="I177" s="236"/>
      <c r="L177" s="209"/>
      <c r="M177" s="213"/>
      <c r="N177" s="214"/>
      <c r="O177" s="214"/>
      <c r="P177" s="214"/>
      <c r="Q177" s="214"/>
      <c r="R177" s="214"/>
      <c r="S177" s="214"/>
      <c r="T177" s="215"/>
      <c r="AT177" s="210" t="s">
        <v>148</v>
      </c>
      <c r="AU177" s="210" t="s">
        <v>87</v>
      </c>
      <c r="AV177" s="208" t="s">
        <v>146</v>
      </c>
      <c r="AW177" s="208" t="s">
        <v>34</v>
      </c>
      <c r="AX177" s="208" t="s">
        <v>85</v>
      </c>
      <c r="AY177" s="210" t="s">
        <v>139</v>
      </c>
    </row>
    <row r="178" spans="1:65" s="95" customFormat="1" ht="37.9" customHeight="1">
      <c r="A178" s="93"/>
      <c r="B178" s="92"/>
      <c r="C178" s="175" t="s">
        <v>197</v>
      </c>
      <c r="D178" s="175" t="s">
        <v>141</v>
      </c>
      <c r="E178" s="176" t="s">
        <v>874</v>
      </c>
      <c r="F178" s="177" t="s">
        <v>875</v>
      </c>
      <c r="G178" s="178" t="s">
        <v>144</v>
      </c>
      <c r="H178" s="179">
        <v>686.3</v>
      </c>
      <c r="I178" s="69"/>
      <c r="J178" s="180">
        <f>ROUND(I178*H178,2)</f>
        <v>0</v>
      </c>
      <c r="K178" s="177" t="s">
        <v>967</v>
      </c>
      <c r="L178" s="92"/>
      <c r="M178" s="181" t="s">
        <v>1</v>
      </c>
      <c r="N178" s="182" t="s">
        <v>44</v>
      </c>
      <c r="O178" s="183">
        <v>0.106</v>
      </c>
      <c r="P178" s="183">
        <f>O178*H178</f>
        <v>72.7478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5" t="s">
        <v>146</v>
      </c>
      <c r="AT178" s="185" t="s">
        <v>141</v>
      </c>
      <c r="AU178" s="185" t="s">
        <v>87</v>
      </c>
      <c r="AY178" s="83" t="s">
        <v>139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83" t="s">
        <v>85</v>
      </c>
      <c r="BK178" s="186">
        <f>ROUND(I178*H178,2)</f>
        <v>0</v>
      </c>
      <c r="BL178" s="83" t="s">
        <v>146</v>
      </c>
      <c r="BM178" s="185" t="s">
        <v>1327</v>
      </c>
    </row>
    <row r="179" spans="2:51" s="201" customFormat="1" ht="12">
      <c r="B179" s="202"/>
      <c r="D179" s="189" t="s">
        <v>148</v>
      </c>
      <c r="E179" s="203" t="s">
        <v>1</v>
      </c>
      <c r="F179" s="204" t="s">
        <v>1328</v>
      </c>
      <c r="H179" s="203" t="s">
        <v>1</v>
      </c>
      <c r="I179" s="235"/>
      <c r="L179" s="202"/>
      <c r="M179" s="205"/>
      <c r="N179" s="206"/>
      <c r="O179" s="206"/>
      <c r="P179" s="206"/>
      <c r="Q179" s="206"/>
      <c r="R179" s="206"/>
      <c r="S179" s="206"/>
      <c r="T179" s="207"/>
      <c r="AT179" s="203" t="s">
        <v>148</v>
      </c>
      <c r="AU179" s="203" t="s">
        <v>87</v>
      </c>
      <c r="AV179" s="201" t="s">
        <v>85</v>
      </c>
      <c r="AW179" s="201" t="s">
        <v>34</v>
      </c>
      <c r="AX179" s="201" t="s">
        <v>78</v>
      </c>
      <c r="AY179" s="203" t="s">
        <v>139</v>
      </c>
    </row>
    <row r="180" spans="2:51" s="187" customFormat="1" ht="12">
      <c r="B180" s="188"/>
      <c r="D180" s="189" t="s">
        <v>148</v>
      </c>
      <c r="E180" s="190" t="s">
        <v>1</v>
      </c>
      <c r="F180" s="191" t="s">
        <v>1325</v>
      </c>
      <c r="H180" s="192">
        <v>583.91</v>
      </c>
      <c r="I180" s="233"/>
      <c r="L180" s="188"/>
      <c r="M180" s="193"/>
      <c r="N180" s="194"/>
      <c r="O180" s="194"/>
      <c r="P180" s="194"/>
      <c r="Q180" s="194"/>
      <c r="R180" s="194"/>
      <c r="S180" s="194"/>
      <c r="T180" s="195"/>
      <c r="AT180" s="190" t="s">
        <v>148</v>
      </c>
      <c r="AU180" s="190" t="s">
        <v>87</v>
      </c>
      <c r="AV180" s="187" t="s">
        <v>87</v>
      </c>
      <c r="AW180" s="187" t="s">
        <v>34</v>
      </c>
      <c r="AX180" s="187" t="s">
        <v>78</v>
      </c>
      <c r="AY180" s="190" t="s">
        <v>139</v>
      </c>
    </row>
    <row r="181" spans="2:51" s="187" customFormat="1" ht="12">
      <c r="B181" s="188"/>
      <c r="D181" s="189" t="s">
        <v>148</v>
      </c>
      <c r="E181" s="190" t="s">
        <v>1</v>
      </c>
      <c r="F181" s="191" t="s">
        <v>1326</v>
      </c>
      <c r="H181" s="192">
        <v>102.39</v>
      </c>
      <c r="I181" s="233"/>
      <c r="L181" s="188"/>
      <c r="M181" s="193"/>
      <c r="N181" s="194"/>
      <c r="O181" s="194"/>
      <c r="P181" s="194"/>
      <c r="Q181" s="194"/>
      <c r="R181" s="194"/>
      <c r="S181" s="194"/>
      <c r="T181" s="195"/>
      <c r="AT181" s="190" t="s">
        <v>148</v>
      </c>
      <c r="AU181" s="190" t="s">
        <v>87</v>
      </c>
      <c r="AV181" s="187" t="s">
        <v>87</v>
      </c>
      <c r="AW181" s="187" t="s">
        <v>34</v>
      </c>
      <c r="AX181" s="187" t="s">
        <v>78</v>
      </c>
      <c r="AY181" s="190" t="s">
        <v>139</v>
      </c>
    </row>
    <row r="182" spans="2:51" s="208" customFormat="1" ht="12">
      <c r="B182" s="209"/>
      <c r="D182" s="189" t="s">
        <v>148</v>
      </c>
      <c r="E182" s="210" t="s">
        <v>1</v>
      </c>
      <c r="F182" s="211" t="s">
        <v>159</v>
      </c>
      <c r="H182" s="212">
        <v>686.3</v>
      </c>
      <c r="I182" s="236"/>
      <c r="L182" s="209"/>
      <c r="M182" s="213"/>
      <c r="N182" s="214"/>
      <c r="O182" s="214"/>
      <c r="P182" s="214"/>
      <c r="Q182" s="214"/>
      <c r="R182" s="214"/>
      <c r="S182" s="214"/>
      <c r="T182" s="215"/>
      <c r="AT182" s="210" t="s">
        <v>148</v>
      </c>
      <c r="AU182" s="210" t="s">
        <v>87</v>
      </c>
      <c r="AV182" s="208" t="s">
        <v>146</v>
      </c>
      <c r="AW182" s="208" t="s">
        <v>34</v>
      </c>
      <c r="AX182" s="208" t="s">
        <v>85</v>
      </c>
      <c r="AY182" s="210" t="s">
        <v>139</v>
      </c>
    </row>
    <row r="183" spans="1:65" s="95" customFormat="1" ht="14.45" customHeight="1">
      <c r="A183" s="93"/>
      <c r="B183" s="92"/>
      <c r="C183" s="175" t="s">
        <v>202</v>
      </c>
      <c r="D183" s="175" t="s">
        <v>141</v>
      </c>
      <c r="E183" s="176" t="s">
        <v>232</v>
      </c>
      <c r="F183" s="177" t="s">
        <v>233</v>
      </c>
      <c r="G183" s="178" t="s">
        <v>194</v>
      </c>
      <c r="H183" s="179">
        <v>59.035</v>
      </c>
      <c r="I183" s="69"/>
      <c r="J183" s="180">
        <f>ROUND(I183*H183,2)</f>
        <v>0</v>
      </c>
      <c r="K183" s="177" t="s">
        <v>1</v>
      </c>
      <c r="L183" s="92"/>
      <c r="M183" s="181" t="s">
        <v>1</v>
      </c>
      <c r="N183" s="182" t="s">
        <v>44</v>
      </c>
      <c r="O183" s="183">
        <v>0.101</v>
      </c>
      <c r="P183" s="183">
        <f>O183*H183</f>
        <v>5.962535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R183" s="185" t="s">
        <v>146</v>
      </c>
      <c r="AT183" s="185" t="s">
        <v>141</v>
      </c>
      <c r="AU183" s="185" t="s">
        <v>87</v>
      </c>
      <c r="AY183" s="83" t="s">
        <v>139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83" t="s">
        <v>85</v>
      </c>
      <c r="BK183" s="186">
        <f>ROUND(I183*H183,2)</f>
        <v>0</v>
      </c>
      <c r="BL183" s="83" t="s">
        <v>146</v>
      </c>
      <c r="BM183" s="185" t="s">
        <v>1329</v>
      </c>
    </row>
    <row r="184" spans="2:51" s="201" customFormat="1" ht="12">
      <c r="B184" s="202"/>
      <c r="D184" s="189" t="s">
        <v>148</v>
      </c>
      <c r="E184" s="203" t="s">
        <v>1</v>
      </c>
      <c r="F184" s="204" t="s">
        <v>235</v>
      </c>
      <c r="H184" s="203" t="s">
        <v>1</v>
      </c>
      <c r="I184" s="235"/>
      <c r="L184" s="202"/>
      <c r="M184" s="205"/>
      <c r="N184" s="206"/>
      <c r="O184" s="206"/>
      <c r="P184" s="206"/>
      <c r="Q184" s="206"/>
      <c r="R184" s="206"/>
      <c r="S184" s="206"/>
      <c r="T184" s="207"/>
      <c r="AT184" s="203" t="s">
        <v>148</v>
      </c>
      <c r="AU184" s="203" t="s">
        <v>87</v>
      </c>
      <c r="AV184" s="201" t="s">
        <v>85</v>
      </c>
      <c r="AW184" s="201" t="s">
        <v>34</v>
      </c>
      <c r="AX184" s="201" t="s">
        <v>78</v>
      </c>
      <c r="AY184" s="203" t="s">
        <v>139</v>
      </c>
    </row>
    <row r="185" spans="2:51" s="201" customFormat="1" ht="12">
      <c r="B185" s="202"/>
      <c r="D185" s="189" t="s">
        <v>148</v>
      </c>
      <c r="E185" s="203" t="s">
        <v>1</v>
      </c>
      <c r="F185" s="204" t="s">
        <v>236</v>
      </c>
      <c r="H185" s="203" t="s">
        <v>1</v>
      </c>
      <c r="I185" s="235"/>
      <c r="L185" s="202"/>
      <c r="M185" s="205"/>
      <c r="N185" s="206"/>
      <c r="O185" s="206"/>
      <c r="P185" s="206"/>
      <c r="Q185" s="206"/>
      <c r="R185" s="206"/>
      <c r="S185" s="206"/>
      <c r="T185" s="207"/>
      <c r="AT185" s="203" t="s">
        <v>148</v>
      </c>
      <c r="AU185" s="203" t="s">
        <v>87</v>
      </c>
      <c r="AV185" s="201" t="s">
        <v>85</v>
      </c>
      <c r="AW185" s="201" t="s">
        <v>34</v>
      </c>
      <c r="AX185" s="201" t="s">
        <v>78</v>
      </c>
      <c r="AY185" s="203" t="s">
        <v>139</v>
      </c>
    </row>
    <row r="186" spans="2:51" s="201" customFormat="1" ht="12">
      <c r="B186" s="202"/>
      <c r="D186" s="189" t="s">
        <v>148</v>
      </c>
      <c r="E186" s="203" t="s">
        <v>1</v>
      </c>
      <c r="F186" s="204" t="s">
        <v>237</v>
      </c>
      <c r="H186" s="203" t="s">
        <v>1</v>
      </c>
      <c r="I186" s="235"/>
      <c r="L186" s="202"/>
      <c r="M186" s="205"/>
      <c r="N186" s="206"/>
      <c r="O186" s="206"/>
      <c r="P186" s="206"/>
      <c r="Q186" s="206"/>
      <c r="R186" s="206"/>
      <c r="S186" s="206"/>
      <c r="T186" s="207"/>
      <c r="AT186" s="203" t="s">
        <v>148</v>
      </c>
      <c r="AU186" s="203" t="s">
        <v>87</v>
      </c>
      <c r="AV186" s="201" t="s">
        <v>85</v>
      </c>
      <c r="AW186" s="201" t="s">
        <v>34</v>
      </c>
      <c r="AX186" s="201" t="s">
        <v>78</v>
      </c>
      <c r="AY186" s="203" t="s">
        <v>139</v>
      </c>
    </row>
    <row r="187" spans="2:51" s="187" customFormat="1" ht="22.5">
      <c r="B187" s="188"/>
      <c r="D187" s="189" t="s">
        <v>148</v>
      </c>
      <c r="E187" s="190" t="s">
        <v>1</v>
      </c>
      <c r="F187" s="191" t="s">
        <v>1330</v>
      </c>
      <c r="H187" s="192">
        <v>50.665</v>
      </c>
      <c r="I187" s="233"/>
      <c r="L187" s="188"/>
      <c r="M187" s="193"/>
      <c r="N187" s="194"/>
      <c r="O187" s="194"/>
      <c r="P187" s="194"/>
      <c r="Q187" s="194"/>
      <c r="R187" s="194"/>
      <c r="S187" s="194"/>
      <c r="T187" s="195"/>
      <c r="AT187" s="190" t="s">
        <v>148</v>
      </c>
      <c r="AU187" s="190" t="s">
        <v>87</v>
      </c>
      <c r="AV187" s="187" t="s">
        <v>87</v>
      </c>
      <c r="AW187" s="187" t="s">
        <v>34</v>
      </c>
      <c r="AX187" s="187" t="s">
        <v>78</v>
      </c>
      <c r="AY187" s="190" t="s">
        <v>139</v>
      </c>
    </row>
    <row r="188" spans="2:51" s="187" customFormat="1" ht="22.5">
      <c r="B188" s="188"/>
      <c r="D188" s="189" t="s">
        <v>148</v>
      </c>
      <c r="E188" s="190" t="s">
        <v>1</v>
      </c>
      <c r="F188" s="191" t="s">
        <v>1331</v>
      </c>
      <c r="H188" s="192">
        <v>8.37</v>
      </c>
      <c r="I188" s="233"/>
      <c r="L188" s="188"/>
      <c r="M188" s="193"/>
      <c r="N188" s="194"/>
      <c r="O188" s="194"/>
      <c r="P188" s="194"/>
      <c r="Q188" s="194"/>
      <c r="R188" s="194"/>
      <c r="S188" s="194"/>
      <c r="T188" s="195"/>
      <c r="AT188" s="190" t="s">
        <v>148</v>
      </c>
      <c r="AU188" s="190" t="s">
        <v>87</v>
      </c>
      <c r="AV188" s="187" t="s">
        <v>87</v>
      </c>
      <c r="AW188" s="187" t="s">
        <v>34</v>
      </c>
      <c r="AX188" s="187" t="s">
        <v>78</v>
      </c>
      <c r="AY188" s="190" t="s">
        <v>139</v>
      </c>
    </row>
    <row r="189" spans="2:51" s="208" customFormat="1" ht="12">
      <c r="B189" s="209"/>
      <c r="D189" s="189" t="s">
        <v>148</v>
      </c>
      <c r="E189" s="210" t="s">
        <v>1</v>
      </c>
      <c r="F189" s="211" t="s">
        <v>159</v>
      </c>
      <c r="H189" s="212">
        <v>59.035</v>
      </c>
      <c r="I189" s="236"/>
      <c r="L189" s="209"/>
      <c r="M189" s="213"/>
      <c r="N189" s="214"/>
      <c r="O189" s="214"/>
      <c r="P189" s="214"/>
      <c r="Q189" s="214"/>
      <c r="R189" s="214"/>
      <c r="S189" s="214"/>
      <c r="T189" s="215"/>
      <c r="AT189" s="210" t="s">
        <v>148</v>
      </c>
      <c r="AU189" s="210" t="s">
        <v>87</v>
      </c>
      <c r="AV189" s="208" t="s">
        <v>146</v>
      </c>
      <c r="AW189" s="208" t="s">
        <v>34</v>
      </c>
      <c r="AX189" s="208" t="s">
        <v>85</v>
      </c>
      <c r="AY189" s="210" t="s">
        <v>139</v>
      </c>
    </row>
    <row r="190" spans="1:65" s="95" customFormat="1" ht="24.2" customHeight="1">
      <c r="A190" s="93"/>
      <c r="B190" s="92"/>
      <c r="C190" s="175" t="s">
        <v>209</v>
      </c>
      <c r="D190" s="175" t="s">
        <v>141</v>
      </c>
      <c r="E190" s="176" t="s">
        <v>239</v>
      </c>
      <c r="F190" s="177" t="s">
        <v>240</v>
      </c>
      <c r="G190" s="178" t="s">
        <v>194</v>
      </c>
      <c r="H190" s="179">
        <v>301.96</v>
      </c>
      <c r="I190" s="69"/>
      <c r="J190" s="180">
        <f>ROUND(I190*H190,2)</f>
        <v>0</v>
      </c>
      <c r="K190" s="177" t="s">
        <v>1</v>
      </c>
      <c r="L190" s="92"/>
      <c r="M190" s="181" t="s">
        <v>1</v>
      </c>
      <c r="N190" s="182" t="s">
        <v>44</v>
      </c>
      <c r="O190" s="183">
        <v>0.083</v>
      </c>
      <c r="P190" s="183">
        <f>O190*H190</f>
        <v>25.06268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R190" s="185" t="s">
        <v>146</v>
      </c>
      <c r="AT190" s="185" t="s">
        <v>141</v>
      </c>
      <c r="AU190" s="185" t="s">
        <v>87</v>
      </c>
      <c r="AY190" s="83" t="s">
        <v>139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83" t="s">
        <v>85</v>
      </c>
      <c r="BK190" s="186">
        <f>ROUND(I190*H190,2)</f>
        <v>0</v>
      </c>
      <c r="BL190" s="83" t="s">
        <v>146</v>
      </c>
      <c r="BM190" s="185" t="s">
        <v>1332</v>
      </c>
    </row>
    <row r="191" spans="2:51" s="201" customFormat="1" ht="12">
      <c r="B191" s="202"/>
      <c r="D191" s="189" t="s">
        <v>148</v>
      </c>
      <c r="E191" s="203" t="s">
        <v>1</v>
      </c>
      <c r="F191" s="204" t="s">
        <v>242</v>
      </c>
      <c r="H191" s="203" t="s">
        <v>1</v>
      </c>
      <c r="I191" s="235"/>
      <c r="L191" s="202"/>
      <c r="M191" s="205"/>
      <c r="N191" s="206"/>
      <c r="O191" s="206"/>
      <c r="P191" s="206"/>
      <c r="Q191" s="206"/>
      <c r="R191" s="206"/>
      <c r="S191" s="206"/>
      <c r="T191" s="207"/>
      <c r="AT191" s="203" t="s">
        <v>148</v>
      </c>
      <c r="AU191" s="203" t="s">
        <v>87</v>
      </c>
      <c r="AV191" s="201" t="s">
        <v>85</v>
      </c>
      <c r="AW191" s="201" t="s">
        <v>34</v>
      </c>
      <c r="AX191" s="201" t="s">
        <v>78</v>
      </c>
      <c r="AY191" s="203" t="s">
        <v>139</v>
      </c>
    </row>
    <row r="192" spans="2:51" s="201" customFormat="1" ht="12">
      <c r="B192" s="202"/>
      <c r="D192" s="189" t="s">
        <v>148</v>
      </c>
      <c r="E192" s="203" t="s">
        <v>1</v>
      </c>
      <c r="F192" s="204" t="s">
        <v>243</v>
      </c>
      <c r="H192" s="203" t="s">
        <v>1</v>
      </c>
      <c r="I192" s="235"/>
      <c r="L192" s="202"/>
      <c r="M192" s="205"/>
      <c r="N192" s="206"/>
      <c r="O192" s="206"/>
      <c r="P192" s="206"/>
      <c r="Q192" s="206"/>
      <c r="R192" s="206"/>
      <c r="S192" s="206"/>
      <c r="T192" s="207"/>
      <c r="AT192" s="203" t="s">
        <v>148</v>
      </c>
      <c r="AU192" s="203" t="s">
        <v>87</v>
      </c>
      <c r="AV192" s="201" t="s">
        <v>85</v>
      </c>
      <c r="AW192" s="201" t="s">
        <v>34</v>
      </c>
      <c r="AX192" s="201" t="s">
        <v>78</v>
      </c>
      <c r="AY192" s="203" t="s">
        <v>139</v>
      </c>
    </row>
    <row r="193" spans="2:51" s="187" customFormat="1" ht="12">
      <c r="B193" s="188"/>
      <c r="D193" s="189" t="s">
        <v>148</v>
      </c>
      <c r="E193" s="190" t="s">
        <v>1</v>
      </c>
      <c r="F193" s="191" t="s">
        <v>1333</v>
      </c>
      <c r="H193" s="192">
        <v>301.96</v>
      </c>
      <c r="I193" s="233"/>
      <c r="L193" s="188"/>
      <c r="M193" s="193"/>
      <c r="N193" s="194"/>
      <c r="O193" s="194"/>
      <c r="P193" s="194"/>
      <c r="Q193" s="194"/>
      <c r="R193" s="194"/>
      <c r="S193" s="194"/>
      <c r="T193" s="195"/>
      <c r="AT193" s="190" t="s">
        <v>148</v>
      </c>
      <c r="AU193" s="190" t="s">
        <v>87</v>
      </c>
      <c r="AV193" s="187" t="s">
        <v>87</v>
      </c>
      <c r="AW193" s="187" t="s">
        <v>34</v>
      </c>
      <c r="AX193" s="187" t="s">
        <v>85</v>
      </c>
      <c r="AY193" s="190" t="s">
        <v>139</v>
      </c>
    </row>
    <row r="194" spans="1:65" s="95" customFormat="1" ht="37.9" customHeight="1">
      <c r="A194" s="93"/>
      <c r="B194" s="92"/>
      <c r="C194" s="175" t="s">
        <v>215</v>
      </c>
      <c r="D194" s="175" t="s">
        <v>141</v>
      </c>
      <c r="E194" s="176" t="s">
        <v>246</v>
      </c>
      <c r="F194" s="177" t="s">
        <v>1029</v>
      </c>
      <c r="G194" s="178" t="s">
        <v>194</v>
      </c>
      <c r="H194" s="179">
        <f>H202</f>
        <v>226.12056628000002</v>
      </c>
      <c r="I194" s="69"/>
      <c r="J194" s="180">
        <f>ROUND(I194*H194,2)</f>
        <v>0</v>
      </c>
      <c r="K194" s="177" t="s">
        <v>967</v>
      </c>
      <c r="L194" s="92"/>
      <c r="M194" s="181" t="s">
        <v>1</v>
      </c>
      <c r="N194" s="182" t="s">
        <v>44</v>
      </c>
      <c r="O194" s="183">
        <v>0.093</v>
      </c>
      <c r="P194" s="183">
        <f>O194*H194</f>
        <v>21.029212664040003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R194" s="185" t="s">
        <v>146</v>
      </c>
      <c r="AT194" s="185" t="s">
        <v>141</v>
      </c>
      <c r="AU194" s="185" t="s">
        <v>87</v>
      </c>
      <c r="AY194" s="83" t="s">
        <v>139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83" t="s">
        <v>85</v>
      </c>
      <c r="BK194" s="186">
        <f>ROUND(I194*H194,2)</f>
        <v>0</v>
      </c>
      <c r="BL194" s="83" t="s">
        <v>146</v>
      </c>
      <c r="BM194" s="185" t="s">
        <v>1334</v>
      </c>
    </row>
    <row r="195" spans="2:51" s="201" customFormat="1" ht="12">
      <c r="B195" s="202"/>
      <c r="D195" s="189" t="s">
        <v>148</v>
      </c>
      <c r="E195" s="203" t="s">
        <v>1</v>
      </c>
      <c r="F195" s="204" t="s">
        <v>1307</v>
      </c>
      <c r="H195" s="203" t="s">
        <v>1</v>
      </c>
      <c r="I195" s="235"/>
      <c r="L195" s="202"/>
      <c r="M195" s="205"/>
      <c r="N195" s="206"/>
      <c r="O195" s="206"/>
      <c r="P195" s="206"/>
      <c r="Q195" s="206"/>
      <c r="R195" s="206"/>
      <c r="S195" s="206"/>
      <c r="T195" s="207"/>
      <c r="AT195" s="203" t="s">
        <v>148</v>
      </c>
      <c r="AU195" s="203" t="s">
        <v>87</v>
      </c>
      <c r="AV195" s="201" t="s">
        <v>85</v>
      </c>
      <c r="AW195" s="201" t="s">
        <v>34</v>
      </c>
      <c r="AX195" s="201" t="s">
        <v>78</v>
      </c>
      <c r="AY195" s="203" t="s">
        <v>139</v>
      </c>
    </row>
    <row r="196" spans="2:51" s="201" customFormat="1" ht="12">
      <c r="B196" s="202"/>
      <c r="D196" s="189" t="s">
        <v>148</v>
      </c>
      <c r="E196" s="203" t="s">
        <v>1</v>
      </c>
      <c r="F196" s="204" t="s">
        <v>207</v>
      </c>
      <c r="H196" s="203" t="s">
        <v>1</v>
      </c>
      <c r="I196" s="235"/>
      <c r="L196" s="202"/>
      <c r="M196" s="205"/>
      <c r="N196" s="206"/>
      <c r="O196" s="206"/>
      <c r="P196" s="206"/>
      <c r="Q196" s="206"/>
      <c r="R196" s="206"/>
      <c r="S196" s="206"/>
      <c r="T196" s="207"/>
      <c r="AT196" s="203" t="s">
        <v>148</v>
      </c>
      <c r="AU196" s="203" t="s">
        <v>87</v>
      </c>
      <c r="AV196" s="201" t="s">
        <v>85</v>
      </c>
      <c r="AW196" s="201" t="s">
        <v>34</v>
      </c>
      <c r="AX196" s="201" t="s">
        <v>78</v>
      </c>
      <c r="AY196" s="203" t="s">
        <v>139</v>
      </c>
    </row>
    <row r="197" spans="2:51" s="187" customFormat="1" ht="12">
      <c r="B197" s="188"/>
      <c r="D197" s="189" t="s">
        <v>148</v>
      </c>
      <c r="E197" s="190" t="s">
        <v>1</v>
      </c>
      <c r="F197" s="191" t="s">
        <v>1514</v>
      </c>
      <c r="H197" s="192">
        <f>H167</f>
        <v>301.96</v>
      </c>
      <c r="I197" s="233"/>
      <c r="L197" s="188"/>
      <c r="M197" s="193"/>
      <c r="N197" s="194"/>
      <c r="O197" s="194"/>
      <c r="P197" s="194"/>
      <c r="Q197" s="194"/>
      <c r="R197" s="194"/>
      <c r="S197" s="194"/>
      <c r="T197" s="195"/>
      <c r="AT197" s="190" t="s">
        <v>148</v>
      </c>
      <c r="AU197" s="190" t="s">
        <v>87</v>
      </c>
      <c r="AV197" s="187" t="s">
        <v>87</v>
      </c>
      <c r="AW197" s="187" t="s">
        <v>34</v>
      </c>
      <c r="AX197" s="187" t="s">
        <v>78</v>
      </c>
      <c r="AY197" s="190" t="s">
        <v>139</v>
      </c>
    </row>
    <row r="198" spans="2:51" s="187" customFormat="1" ht="12">
      <c r="B198" s="188"/>
      <c r="D198" s="189" t="s">
        <v>148</v>
      </c>
      <c r="E198" s="190" t="s">
        <v>1</v>
      </c>
      <c r="F198" s="191" t="s">
        <v>1513</v>
      </c>
      <c r="H198" s="192">
        <f>-H218</f>
        <v>-27.64</v>
      </c>
      <c r="I198" s="233"/>
      <c r="L198" s="188"/>
      <c r="M198" s="193"/>
      <c r="N198" s="194"/>
      <c r="O198" s="194"/>
      <c r="P198" s="194"/>
      <c r="Q198" s="194"/>
      <c r="R198" s="194"/>
      <c r="S198" s="194"/>
      <c r="T198" s="195"/>
      <c r="AT198" s="190" t="s">
        <v>148</v>
      </c>
      <c r="AU198" s="190" t="s">
        <v>87</v>
      </c>
      <c r="AV198" s="187" t="s">
        <v>87</v>
      </c>
      <c r="AW198" s="187" t="s">
        <v>34</v>
      </c>
      <c r="AX198" s="187" t="s">
        <v>78</v>
      </c>
      <c r="AY198" s="190" t="s">
        <v>139</v>
      </c>
    </row>
    <row r="199" spans="2:51" s="187" customFormat="1" ht="12">
      <c r="B199" s="188"/>
      <c r="D199" s="189" t="s">
        <v>148</v>
      </c>
      <c r="E199" s="190" t="s">
        <v>1</v>
      </c>
      <c r="F199" s="191" t="s">
        <v>1515</v>
      </c>
      <c r="H199" s="192">
        <f>-H208</f>
        <v>-50.76</v>
      </c>
      <c r="I199" s="233"/>
      <c r="L199" s="188"/>
      <c r="M199" s="193"/>
      <c r="N199" s="194"/>
      <c r="O199" s="194"/>
      <c r="P199" s="194"/>
      <c r="Q199" s="194"/>
      <c r="R199" s="194"/>
      <c r="S199" s="194"/>
      <c r="T199" s="195"/>
      <c r="AT199" s="190" t="s">
        <v>148</v>
      </c>
      <c r="AU199" s="190" t="s">
        <v>87</v>
      </c>
      <c r="AV199" s="187" t="s">
        <v>87</v>
      </c>
      <c r="AW199" s="187" t="s">
        <v>34</v>
      </c>
      <c r="AX199" s="187" t="s">
        <v>78</v>
      </c>
      <c r="AY199" s="190" t="s">
        <v>139</v>
      </c>
    </row>
    <row r="200" spans="2:51" s="187" customFormat="1" ht="12">
      <c r="B200" s="188"/>
      <c r="D200" s="189"/>
      <c r="E200" s="190"/>
      <c r="F200" s="191" t="s">
        <v>1542</v>
      </c>
      <c r="H200" s="192">
        <f>-H266*3.14*0.05*0.05-H268*3.14*0.06*0.06</f>
        <v>-1.7144337199999997</v>
      </c>
      <c r="I200" s="233"/>
      <c r="L200" s="188"/>
      <c r="M200" s="193"/>
      <c r="N200" s="194"/>
      <c r="O200" s="194"/>
      <c r="P200" s="194"/>
      <c r="Q200" s="194"/>
      <c r="R200" s="194"/>
      <c r="S200" s="194"/>
      <c r="T200" s="195"/>
      <c r="AT200" s="190"/>
      <c r="AU200" s="190"/>
      <c r="AY200" s="190"/>
    </row>
    <row r="201" spans="2:51" s="187" customFormat="1" ht="22.5">
      <c r="B201" s="188"/>
      <c r="D201" s="189" t="s">
        <v>148</v>
      </c>
      <c r="E201" s="190" t="s">
        <v>1</v>
      </c>
      <c r="F201" s="191" t="s">
        <v>1335</v>
      </c>
      <c r="H201" s="192">
        <v>4.275</v>
      </c>
      <c r="I201" s="233"/>
      <c r="L201" s="188"/>
      <c r="M201" s="193"/>
      <c r="N201" s="194"/>
      <c r="O201" s="194"/>
      <c r="P201" s="194"/>
      <c r="Q201" s="194"/>
      <c r="R201" s="194"/>
      <c r="S201" s="194"/>
      <c r="T201" s="195"/>
      <c r="AT201" s="190" t="s">
        <v>148</v>
      </c>
      <c r="AU201" s="190" t="s">
        <v>87</v>
      </c>
      <c r="AV201" s="187" t="s">
        <v>87</v>
      </c>
      <c r="AW201" s="187" t="s">
        <v>34</v>
      </c>
      <c r="AX201" s="187" t="s">
        <v>78</v>
      </c>
      <c r="AY201" s="190" t="s">
        <v>139</v>
      </c>
    </row>
    <row r="202" spans="2:51" s="208" customFormat="1" ht="12">
      <c r="B202" s="209"/>
      <c r="D202" s="189" t="s">
        <v>148</v>
      </c>
      <c r="E202" s="210" t="s">
        <v>1</v>
      </c>
      <c r="F202" s="211" t="s">
        <v>159</v>
      </c>
      <c r="H202" s="212">
        <f>SUM(H197:H201)</f>
        <v>226.12056628000002</v>
      </c>
      <c r="I202" s="236"/>
      <c r="L202" s="209"/>
      <c r="M202" s="213"/>
      <c r="N202" s="214"/>
      <c r="O202" s="214"/>
      <c r="P202" s="214"/>
      <c r="Q202" s="214"/>
      <c r="R202" s="214"/>
      <c r="S202" s="214"/>
      <c r="T202" s="215"/>
      <c r="AT202" s="210" t="s">
        <v>148</v>
      </c>
      <c r="AU202" s="210" t="s">
        <v>87</v>
      </c>
      <c r="AV202" s="208" t="s">
        <v>146</v>
      </c>
      <c r="AW202" s="208" t="s">
        <v>34</v>
      </c>
      <c r="AX202" s="208" t="s">
        <v>85</v>
      </c>
      <c r="AY202" s="210" t="s">
        <v>139</v>
      </c>
    </row>
    <row r="203" spans="1:65" s="95" customFormat="1" ht="37.9" customHeight="1">
      <c r="A203" s="93"/>
      <c r="B203" s="92"/>
      <c r="C203" s="217" t="s">
        <v>220</v>
      </c>
      <c r="D203" s="217" t="s">
        <v>251</v>
      </c>
      <c r="E203" s="218" t="s">
        <v>252</v>
      </c>
      <c r="F203" s="219" t="s">
        <v>253</v>
      </c>
      <c r="G203" s="220" t="s">
        <v>254</v>
      </c>
      <c r="H203" s="221">
        <f>H207</f>
        <v>334.17133256000005</v>
      </c>
      <c r="I203" s="70"/>
      <c r="J203" s="222">
        <f>ROUND(I203*H203,2)</f>
        <v>0</v>
      </c>
      <c r="K203" s="219" t="s">
        <v>1</v>
      </c>
      <c r="L203" s="188"/>
      <c r="M203" s="224" t="s">
        <v>1</v>
      </c>
      <c r="N203" s="225" t="s">
        <v>44</v>
      </c>
      <c r="O203" s="183">
        <v>0</v>
      </c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R203" s="185" t="s">
        <v>187</v>
      </c>
      <c r="AT203" s="185" t="s">
        <v>251</v>
      </c>
      <c r="AU203" s="185" t="s">
        <v>87</v>
      </c>
      <c r="AY203" s="83" t="s">
        <v>139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83" t="s">
        <v>85</v>
      </c>
      <c r="BK203" s="186">
        <f>ROUND(I203*H203,2)</f>
        <v>0</v>
      </c>
      <c r="BL203" s="83" t="s">
        <v>146</v>
      </c>
      <c r="BM203" s="185" t="s">
        <v>1336</v>
      </c>
    </row>
    <row r="204" spans="2:51" s="187" customFormat="1" ht="12">
      <c r="B204" s="188"/>
      <c r="D204" s="189" t="s">
        <v>148</v>
      </c>
      <c r="E204" s="190" t="s">
        <v>1</v>
      </c>
      <c r="F204" s="226" t="s">
        <v>1516</v>
      </c>
      <c r="H204" s="192">
        <f>H194</f>
        <v>226.12056628000002</v>
      </c>
      <c r="I204" s="233"/>
      <c r="L204" s="188"/>
      <c r="M204" s="193"/>
      <c r="N204" s="194"/>
      <c r="O204" s="194"/>
      <c r="P204" s="194"/>
      <c r="Q204" s="194"/>
      <c r="R204" s="194"/>
      <c r="S204" s="194"/>
      <c r="T204" s="195"/>
      <c r="AT204" s="190" t="s">
        <v>148</v>
      </c>
      <c r="AU204" s="190" t="s">
        <v>87</v>
      </c>
      <c r="AV204" s="187" t="s">
        <v>87</v>
      </c>
      <c r="AW204" s="187" t="s">
        <v>34</v>
      </c>
      <c r="AX204" s="187" t="s">
        <v>78</v>
      </c>
      <c r="AY204" s="190" t="s">
        <v>139</v>
      </c>
    </row>
    <row r="205" spans="2:51" s="187" customFormat="1" ht="22.5">
      <c r="B205" s="188"/>
      <c r="D205" s="189" t="s">
        <v>148</v>
      </c>
      <c r="E205" s="190" t="s">
        <v>1</v>
      </c>
      <c r="F205" s="226" t="s">
        <v>1554</v>
      </c>
      <c r="H205" s="192">
        <f>-196.783*0.3</f>
        <v>-59.03489999999999</v>
      </c>
      <c r="I205" s="233"/>
      <c r="L205" s="188"/>
      <c r="M205" s="193"/>
      <c r="N205" s="194"/>
      <c r="O205" s="194"/>
      <c r="P205" s="194"/>
      <c r="Q205" s="194"/>
      <c r="R205" s="194"/>
      <c r="S205" s="194"/>
      <c r="T205" s="195"/>
      <c r="AT205" s="190" t="s">
        <v>148</v>
      </c>
      <c r="AU205" s="190" t="s">
        <v>87</v>
      </c>
      <c r="AV205" s="187" t="s">
        <v>87</v>
      </c>
      <c r="AW205" s="187" t="s">
        <v>34</v>
      </c>
      <c r="AX205" s="187" t="s">
        <v>78</v>
      </c>
      <c r="AY205" s="190" t="s">
        <v>139</v>
      </c>
    </row>
    <row r="206" spans="2:51" s="208" customFormat="1" ht="12">
      <c r="B206" s="209"/>
      <c r="D206" s="189" t="s">
        <v>148</v>
      </c>
      <c r="E206" s="210" t="s">
        <v>1</v>
      </c>
      <c r="F206" s="227" t="s">
        <v>159</v>
      </c>
      <c r="H206" s="212">
        <f>SUM(H204:H205)</f>
        <v>167.08566628000003</v>
      </c>
      <c r="I206" s="236"/>
      <c r="L206" s="209"/>
      <c r="M206" s="213"/>
      <c r="N206" s="214"/>
      <c r="O206" s="214"/>
      <c r="P206" s="214"/>
      <c r="Q206" s="214"/>
      <c r="R206" s="214"/>
      <c r="S206" s="214"/>
      <c r="T206" s="215"/>
      <c r="AT206" s="210" t="s">
        <v>148</v>
      </c>
      <c r="AU206" s="210" t="s">
        <v>87</v>
      </c>
      <c r="AV206" s="208" t="s">
        <v>146</v>
      </c>
      <c r="AW206" s="208" t="s">
        <v>34</v>
      </c>
      <c r="AX206" s="208" t="s">
        <v>85</v>
      </c>
      <c r="AY206" s="210" t="s">
        <v>139</v>
      </c>
    </row>
    <row r="207" spans="2:51" s="187" customFormat="1" ht="12">
      <c r="B207" s="188"/>
      <c r="D207" s="189" t="s">
        <v>148</v>
      </c>
      <c r="E207" s="190" t="s">
        <v>1</v>
      </c>
      <c r="F207" s="226" t="s">
        <v>1555</v>
      </c>
      <c r="H207" s="192">
        <f>H206*2</f>
        <v>334.17133256000005</v>
      </c>
      <c r="I207" s="233"/>
      <c r="L207" s="188"/>
      <c r="M207" s="193"/>
      <c r="N207" s="194"/>
      <c r="O207" s="194"/>
      <c r="P207" s="194"/>
      <c r="Q207" s="194"/>
      <c r="R207" s="194"/>
      <c r="S207" s="194"/>
      <c r="T207" s="195"/>
      <c r="AT207" s="190" t="s">
        <v>148</v>
      </c>
      <c r="AU207" s="190" t="s">
        <v>87</v>
      </c>
      <c r="AV207" s="187" t="s">
        <v>87</v>
      </c>
      <c r="AW207" s="187" t="s">
        <v>34</v>
      </c>
      <c r="AX207" s="187" t="s">
        <v>85</v>
      </c>
      <c r="AY207" s="190" t="s">
        <v>139</v>
      </c>
    </row>
    <row r="208" spans="1:65" s="95" customFormat="1" ht="62.65" customHeight="1">
      <c r="A208" s="93"/>
      <c r="B208" s="92"/>
      <c r="C208" s="175" t="s">
        <v>8</v>
      </c>
      <c r="D208" s="175" t="s">
        <v>141</v>
      </c>
      <c r="E208" s="176" t="s">
        <v>258</v>
      </c>
      <c r="F208" s="177" t="s">
        <v>1032</v>
      </c>
      <c r="G208" s="178" t="s">
        <v>194</v>
      </c>
      <c r="H208" s="179">
        <v>50.76</v>
      </c>
      <c r="I208" s="69"/>
      <c r="J208" s="180">
        <f>ROUND(I208*H208,2)</f>
        <v>0</v>
      </c>
      <c r="K208" s="177" t="s">
        <v>967</v>
      </c>
      <c r="L208" s="92"/>
      <c r="M208" s="181" t="s">
        <v>1</v>
      </c>
      <c r="N208" s="182" t="s">
        <v>44</v>
      </c>
      <c r="O208" s="183">
        <v>0.435</v>
      </c>
      <c r="P208" s="183">
        <f>O208*H208</f>
        <v>22.0806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R208" s="185" t="s">
        <v>146</v>
      </c>
      <c r="AT208" s="185" t="s">
        <v>141</v>
      </c>
      <c r="AU208" s="185" t="s">
        <v>87</v>
      </c>
      <c r="AY208" s="83" t="s">
        <v>139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83" t="s">
        <v>85</v>
      </c>
      <c r="BK208" s="186">
        <f>ROUND(I208*H208,2)</f>
        <v>0</v>
      </c>
      <c r="BL208" s="83" t="s">
        <v>146</v>
      </c>
      <c r="BM208" s="185" t="s">
        <v>1337</v>
      </c>
    </row>
    <row r="209" spans="2:51" s="201" customFormat="1" ht="12">
      <c r="B209" s="202"/>
      <c r="D209" s="189" t="s">
        <v>148</v>
      </c>
      <c r="E209" s="203" t="s">
        <v>1</v>
      </c>
      <c r="F209" s="204" t="s">
        <v>1307</v>
      </c>
      <c r="H209" s="203" t="s">
        <v>1</v>
      </c>
      <c r="I209" s="235"/>
      <c r="L209" s="202"/>
      <c r="M209" s="205"/>
      <c r="N209" s="206"/>
      <c r="O209" s="206"/>
      <c r="P209" s="206"/>
      <c r="Q209" s="206"/>
      <c r="R209" s="206"/>
      <c r="S209" s="206"/>
      <c r="T209" s="207"/>
      <c r="AT209" s="203" t="s">
        <v>148</v>
      </c>
      <c r="AU209" s="203" t="s">
        <v>87</v>
      </c>
      <c r="AV209" s="201" t="s">
        <v>85</v>
      </c>
      <c r="AW209" s="201" t="s">
        <v>34</v>
      </c>
      <c r="AX209" s="201" t="s">
        <v>78</v>
      </c>
      <c r="AY209" s="203" t="s">
        <v>139</v>
      </c>
    </row>
    <row r="210" spans="2:51" s="201" customFormat="1" ht="12">
      <c r="B210" s="202"/>
      <c r="D210" s="189" t="s">
        <v>148</v>
      </c>
      <c r="E210" s="203" t="s">
        <v>1</v>
      </c>
      <c r="F210" s="204" t="s">
        <v>207</v>
      </c>
      <c r="H210" s="203" t="s">
        <v>1</v>
      </c>
      <c r="I210" s="235"/>
      <c r="L210" s="202"/>
      <c r="M210" s="205"/>
      <c r="N210" s="206"/>
      <c r="O210" s="206"/>
      <c r="P210" s="206"/>
      <c r="Q210" s="206"/>
      <c r="R210" s="206"/>
      <c r="S210" s="206"/>
      <c r="T210" s="207"/>
      <c r="AT210" s="203" t="s">
        <v>148</v>
      </c>
      <c r="AU210" s="203" t="s">
        <v>87</v>
      </c>
      <c r="AV210" s="201" t="s">
        <v>85</v>
      </c>
      <c r="AW210" s="201" t="s">
        <v>34</v>
      </c>
      <c r="AX210" s="201" t="s">
        <v>78</v>
      </c>
      <c r="AY210" s="203" t="s">
        <v>139</v>
      </c>
    </row>
    <row r="211" spans="2:51" s="187" customFormat="1" ht="12">
      <c r="B211" s="188"/>
      <c r="D211" s="189" t="s">
        <v>148</v>
      </c>
      <c r="E211" s="190" t="s">
        <v>1</v>
      </c>
      <c r="F211" s="191" t="s">
        <v>1338</v>
      </c>
      <c r="H211" s="192">
        <v>41.52</v>
      </c>
      <c r="I211" s="233"/>
      <c r="L211" s="188"/>
      <c r="M211" s="193"/>
      <c r="N211" s="194"/>
      <c r="O211" s="194"/>
      <c r="P211" s="194"/>
      <c r="Q211" s="194"/>
      <c r="R211" s="194"/>
      <c r="S211" s="194"/>
      <c r="T211" s="195"/>
      <c r="AT211" s="190" t="s">
        <v>148</v>
      </c>
      <c r="AU211" s="190" t="s">
        <v>87</v>
      </c>
      <c r="AV211" s="187" t="s">
        <v>87</v>
      </c>
      <c r="AW211" s="187" t="s">
        <v>34</v>
      </c>
      <c r="AX211" s="187" t="s">
        <v>78</v>
      </c>
      <c r="AY211" s="190" t="s">
        <v>139</v>
      </c>
    </row>
    <row r="212" spans="2:51" s="187" customFormat="1" ht="12">
      <c r="B212" s="188"/>
      <c r="D212" s="189" t="s">
        <v>148</v>
      </c>
      <c r="E212" s="190" t="s">
        <v>1</v>
      </c>
      <c r="F212" s="191" t="s">
        <v>1339</v>
      </c>
      <c r="H212" s="192">
        <v>9.24</v>
      </c>
      <c r="I212" s="233"/>
      <c r="L212" s="188"/>
      <c r="M212" s="193"/>
      <c r="N212" s="194"/>
      <c r="O212" s="194"/>
      <c r="P212" s="194"/>
      <c r="Q212" s="194"/>
      <c r="R212" s="194"/>
      <c r="S212" s="194"/>
      <c r="T212" s="195"/>
      <c r="AT212" s="190" t="s">
        <v>148</v>
      </c>
      <c r="AU212" s="190" t="s">
        <v>87</v>
      </c>
      <c r="AV212" s="187" t="s">
        <v>87</v>
      </c>
      <c r="AW212" s="187" t="s">
        <v>34</v>
      </c>
      <c r="AX212" s="187" t="s">
        <v>78</v>
      </c>
      <c r="AY212" s="190" t="s">
        <v>139</v>
      </c>
    </row>
    <row r="213" spans="2:51" s="208" customFormat="1" ht="12">
      <c r="B213" s="209"/>
      <c r="D213" s="189" t="s">
        <v>148</v>
      </c>
      <c r="E213" s="210" t="s">
        <v>1</v>
      </c>
      <c r="F213" s="211" t="s">
        <v>159</v>
      </c>
      <c r="H213" s="212">
        <v>50.76</v>
      </c>
      <c r="I213" s="236"/>
      <c r="L213" s="209"/>
      <c r="M213" s="213"/>
      <c r="N213" s="214"/>
      <c r="O213" s="214"/>
      <c r="P213" s="214"/>
      <c r="Q213" s="214"/>
      <c r="R213" s="214"/>
      <c r="S213" s="214"/>
      <c r="T213" s="215"/>
      <c r="AT213" s="210" t="s">
        <v>148</v>
      </c>
      <c r="AU213" s="210" t="s">
        <v>87</v>
      </c>
      <c r="AV213" s="208" t="s">
        <v>146</v>
      </c>
      <c r="AW213" s="208" t="s">
        <v>34</v>
      </c>
      <c r="AX213" s="208" t="s">
        <v>85</v>
      </c>
      <c r="AY213" s="210" t="s">
        <v>139</v>
      </c>
    </row>
    <row r="214" spans="1:65" s="95" customFormat="1" ht="14.45" customHeight="1">
      <c r="A214" s="93"/>
      <c r="B214" s="92"/>
      <c r="C214" s="217" t="s">
        <v>231</v>
      </c>
      <c r="D214" s="217" t="s">
        <v>251</v>
      </c>
      <c r="E214" s="218" t="s">
        <v>262</v>
      </c>
      <c r="F214" s="219" t="s">
        <v>263</v>
      </c>
      <c r="G214" s="220" t="s">
        <v>254</v>
      </c>
      <c r="H214" s="221">
        <v>101.52</v>
      </c>
      <c r="I214" s="70"/>
      <c r="J214" s="222">
        <f>ROUND(I214*H214,2)</f>
        <v>0</v>
      </c>
      <c r="K214" s="219" t="s">
        <v>967</v>
      </c>
      <c r="L214" s="223"/>
      <c r="M214" s="224" t="s">
        <v>1</v>
      </c>
      <c r="N214" s="225" t="s">
        <v>44</v>
      </c>
      <c r="O214" s="183">
        <v>0</v>
      </c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R214" s="185" t="s">
        <v>187</v>
      </c>
      <c r="AT214" s="185" t="s">
        <v>251</v>
      </c>
      <c r="AU214" s="185" t="s">
        <v>87</v>
      </c>
      <c r="AY214" s="83" t="s">
        <v>139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83" t="s">
        <v>85</v>
      </c>
      <c r="BK214" s="186">
        <f>ROUND(I214*H214,2)</f>
        <v>0</v>
      </c>
      <c r="BL214" s="83" t="s">
        <v>146</v>
      </c>
      <c r="BM214" s="185" t="s">
        <v>1340</v>
      </c>
    </row>
    <row r="215" spans="1:47" s="95" customFormat="1" ht="19.5">
      <c r="A215" s="93"/>
      <c r="B215" s="92"/>
      <c r="C215" s="93"/>
      <c r="D215" s="189" t="s">
        <v>153</v>
      </c>
      <c r="E215" s="93"/>
      <c r="F215" s="196" t="s">
        <v>256</v>
      </c>
      <c r="G215" s="93"/>
      <c r="H215" s="93"/>
      <c r="I215" s="234"/>
      <c r="J215" s="93"/>
      <c r="K215" s="93"/>
      <c r="L215" s="92"/>
      <c r="M215" s="197"/>
      <c r="N215" s="198"/>
      <c r="O215" s="199"/>
      <c r="P215" s="199"/>
      <c r="Q215" s="199"/>
      <c r="R215" s="199"/>
      <c r="S215" s="199"/>
      <c r="T215" s="200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T215" s="83" t="s">
        <v>153</v>
      </c>
      <c r="AU215" s="83" t="s">
        <v>87</v>
      </c>
    </row>
    <row r="216" spans="2:51" s="187" customFormat="1" ht="12">
      <c r="B216" s="188"/>
      <c r="D216" s="189" t="s">
        <v>148</v>
      </c>
      <c r="F216" s="191" t="s">
        <v>1341</v>
      </c>
      <c r="H216" s="192">
        <v>101.52</v>
      </c>
      <c r="I216" s="233"/>
      <c r="L216" s="188"/>
      <c r="M216" s="193"/>
      <c r="N216" s="194"/>
      <c r="O216" s="194"/>
      <c r="P216" s="194"/>
      <c r="Q216" s="194"/>
      <c r="R216" s="194"/>
      <c r="S216" s="194"/>
      <c r="T216" s="195"/>
      <c r="AT216" s="190" t="s">
        <v>148</v>
      </c>
      <c r="AU216" s="190" t="s">
        <v>87</v>
      </c>
      <c r="AV216" s="187" t="s">
        <v>87</v>
      </c>
      <c r="AW216" s="187" t="s">
        <v>3</v>
      </c>
      <c r="AX216" s="187" t="s">
        <v>85</v>
      </c>
      <c r="AY216" s="190" t="s">
        <v>139</v>
      </c>
    </row>
    <row r="217" spans="2:63" s="162" customFormat="1" ht="22.9" customHeight="1">
      <c r="B217" s="163"/>
      <c r="D217" s="164" t="s">
        <v>77</v>
      </c>
      <c r="E217" s="173" t="s">
        <v>146</v>
      </c>
      <c r="F217" s="173" t="s">
        <v>288</v>
      </c>
      <c r="I217" s="237"/>
      <c r="J217" s="174">
        <f>J218</f>
        <v>0</v>
      </c>
      <c r="L217" s="163"/>
      <c r="M217" s="167"/>
      <c r="N217" s="168"/>
      <c r="O217" s="168"/>
      <c r="P217" s="169">
        <f>SUM(P218:P222)</f>
        <v>46.8498</v>
      </c>
      <c r="Q217" s="168"/>
      <c r="R217" s="169">
        <f>SUM(R218:R222)</f>
        <v>0</v>
      </c>
      <c r="S217" s="168"/>
      <c r="T217" s="170">
        <f>SUM(T218:T222)</f>
        <v>0</v>
      </c>
      <c r="AR217" s="164" t="s">
        <v>85</v>
      </c>
      <c r="AT217" s="171" t="s">
        <v>77</v>
      </c>
      <c r="AU217" s="171" t="s">
        <v>85</v>
      </c>
      <c r="AY217" s="164" t="s">
        <v>139</v>
      </c>
      <c r="BK217" s="172">
        <f>SUM(BK218:BK222)</f>
        <v>0</v>
      </c>
    </row>
    <row r="218" spans="1:65" s="95" customFormat="1" ht="24.2" customHeight="1">
      <c r="A218" s="93"/>
      <c r="B218" s="92"/>
      <c r="C218" s="175" t="s">
        <v>238</v>
      </c>
      <c r="D218" s="175" t="s">
        <v>141</v>
      </c>
      <c r="E218" s="176" t="s">
        <v>290</v>
      </c>
      <c r="F218" s="177" t="s">
        <v>291</v>
      </c>
      <c r="G218" s="178" t="s">
        <v>194</v>
      </c>
      <c r="H218" s="179">
        <v>27.64</v>
      </c>
      <c r="I218" s="69"/>
      <c r="J218" s="180">
        <f>ROUND(I218*H218,2)</f>
        <v>0</v>
      </c>
      <c r="K218" s="177" t="s">
        <v>967</v>
      </c>
      <c r="L218" s="92"/>
      <c r="M218" s="181" t="s">
        <v>1</v>
      </c>
      <c r="N218" s="182" t="s">
        <v>44</v>
      </c>
      <c r="O218" s="183">
        <v>1.695</v>
      </c>
      <c r="P218" s="183">
        <f>O218*H218</f>
        <v>46.8498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R218" s="185" t="s">
        <v>146</v>
      </c>
      <c r="AT218" s="185" t="s">
        <v>141</v>
      </c>
      <c r="AU218" s="185" t="s">
        <v>87</v>
      </c>
      <c r="AY218" s="83" t="s">
        <v>139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83" t="s">
        <v>85</v>
      </c>
      <c r="BK218" s="186">
        <f>ROUND(I218*H218,2)</f>
        <v>0</v>
      </c>
      <c r="BL218" s="83" t="s">
        <v>146</v>
      </c>
      <c r="BM218" s="185" t="s">
        <v>1342</v>
      </c>
    </row>
    <row r="219" spans="2:51" s="201" customFormat="1" ht="12">
      <c r="B219" s="202"/>
      <c r="D219" s="189" t="s">
        <v>148</v>
      </c>
      <c r="E219" s="203" t="s">
        <v>1</v>
      </c>
      <c r="F219" s="204" t="s">
        <v>1307</v>
      </c>
      <c r="H219" s="203" t="s">
        <v>1</v>
      </c>
      <c r="I219" s="235"/>
      <c r="L219" s="202"/>
      <c r="M219" s="205"/>
      <c r="N219" s="206"/>
      <c r="O219" s="206"/>
      <c r="P219" s="206"/>
      <c r="Q219" s="206"/>
      <c r="R219" s="206"/>
      <c r="S219" s="206"/>
      <c r="T219" s="207"/>
      <c r="AT219" s="203" t="s">
        <v>148</v>
      </c>
      <c r="AU219" s="203" t="s">
        <v>87</v>
      </c>
      <c r="AV219" s="201" t="s">
        <v>85</v>
      </c>
      <c r="AW219" s="201" t="s">
        <v>34</v>
      </c>
      <c r="AX219" s="201" t="s">
        <v>78</v>
      </c>
      <c r="AY219" s="203" t="s">
        <v>139</v>
      </c>
    </row>
    <row r="220" spans="2:51" s="187" customFormat="1" ht="12">
      <c r="B220" s="188"/>
      <c r="D220" s="189" t="s">
        <v>148</v>
      </c>
      <c r="E220" s="190" t="s">
        <v>1</v>
      </c>
      <c r="F220" s="191" t="s">
        <v>1343</v>
      </c>
      <c r="H220" s="192">
        <v>24.85</v>
      </c>
      <c r="I220" s="233"/>
      <c r="L220" s="188"/>
      <c r="M220" s="193"/>
      <c r="N220" s="194"/>
      <c r="O220" s="194"/>
      <c r="P220" s="194"/>
      <c r="Q220" s="194"/>
      <c r="R220" s="194"/>
      <c r="S220" s="194"/>
      <c r="T220" s="195"/>
      <c r="AT220" s="190" t="s">
        <v>148</v>
      </c>
      <c r="AU220" s="190" t="s">
        <v>87</v>
      </c>
      <c r="AV220" s="187" t="s">
        <v>87</v>
      </c>
      <c r="AW220" s="187" t="s">
        <v>34</v>
      </c>
      <c r="AX220" s="187" t="s">
        <v>78</v>
      </c>
      <c r="AY220" s="190" t="s">
        <v>139</v>
      </c>
    </row>
    <row r="221" spans="2:51" s="187" customFormat="1" ht="12">
      <c r="B221" s="188"/>
      <c r="D221" s="189" t="s">
        <v>148</v>
      </c>
      <c r="E221" s="190" t="s">
        <v>1</v>
      </c>
      <c r="F221" s="191" t="s">
        <v>1344</v>
      </c>
      <c r="H221" s="192">
        <v>2.79</v>
      </c>
      <c r="I221" s="233"/>
      <c r="L221" s="188"/>
      <c r="M221" s="193"/>
      <c r="N221" s="194"/>
      <c r="O221" s="194"/>
      <c r="P221" s="194"/>
      <c r="Q221" s="194"/>
      <c r="R221" s="194"/>
      <c r="S221" s="194"/>
      <c r="T221" s="195"/>
      <c r="AT221" s="190" t="s">
        <v>148</v>
      </c>
      <c r="AU221" s="190" t="s">
        <v>87</v>
      </c>
      <c r="AV221" s="187" t="s">
        <v>87</v>
      </c>
      <c r="AW221" s="187" t="s">
        <v>34</v>
      </c>
      <c r="AX221" s="187" t="s">
        <v>78</v>
      </c>
      <c r="AY221" s="190" t="s">
        <v>139</v>
      </c>
    </row>
    <row r="222" spans="2:51" s="208" customFormat="1" ht="12">
      <c r="B222" s="209"/>
      <c r="D222" s="189" t="s">
        <v>148</v>
      </c>
      <c r="E222" s="210" t="s">
        <v>1</v>
      </c>
      <c r="F222" s="211" t="s">
        <v>159</v>
      </c>
      <c r="H222" s="212">
        <v>27.64</v>
      </c>
      <c r="I222" s="236"/>
      <c r="L222" s="209"/>
      <c r="M222" s="213"/>
      <c r="N222" s="214"/>
      <c r="O222" s="214"/>
      <c r="P222" s="214"/>
      <c r="Q222" s="214"/>
      <c r="R222" s="214"/>
      <c r="S222" s="214"/>
      <c r="T222" s="215"/>
      <c r="AT222" s="210" t="s">
        <v>148</v>
      </c>
      <c r="AU222" s="210" t="s">
        <v>87</v>
      </c>
      <c r="AV222" s="208" t="s">
        <v>146</v>
      </c>
      <c r="AW222" s="208" t="s">
        <v>34</v>
      </c>
      <c r="AX222" s="208" t="s">
        <v>85</v>
      </c>
      <c r="AY222" s="210" t="s">
        <v>139</v>
      </c>
    </row>
    <row r="223" spans="2:63" s="162" customFormat="1" ht="22.9" customHeight="1">
      <c r="B223" s="163"/>
      <c r="D223" s="164" t="s">
        <v>77</v>
      </c>
      <c r="E223" s="173" t="s">
        <v>168</v>
      </c>
      <c r="F223" s="173" t="s">
        <v>311</v>
      </c>
      <c r="I223" s="237"/>
      <c r="J223" s="174">
        <f>SUM(J224:J258)</f>
        <v>0</v>
      </c>
      <c r="L223" s="163"/>
      <c r="M223" s="167"/>
      <c r="N223" s="168"/>
      <c r="O223" s="168"/>
      <c r="P223" s="169">
        <f>SUM(P224:P261)</f>
        <v>68.47049</v>
      </c>
      <c r="Q223" s="168"/>
      <c r="R223" s="169">
        <f>SUM(R224:R261)</f>
        <v>0</v>
      </c>
      <c r="S223" s="168"/>
      <c r="T223" s="170">
        <f>SUM(T224:T261)</f>
        <v>0</v>
      </c>
      <c r="AR223" s="164" t="s">
        <v>85</v>
      </c>
      <c r="AT223" s="171" t="s">
        <v>77</v>
      </c>
      <c r="AU223" s="171" t="s">
        <v>85</v>
      </c>
      <c r="AY223" s="164" t="s">
        <v>139</v>
      </c>
      <c r="BK223" s="172">
        <f>SUM(BK224:BK261)</f>
        <v>0</v>
      </c>
    </row>
    <row r="224" spans="1:65" s="95" customFormat="1" ht="24.2" customHeight="1">
      <c r="A224" s="93"/>
      <c r="B224" s="92"/>
      <c r="C224" s="175" t="s">
        <v>250</v>
      </c>
      <c r="D224" s="175" t="s">
        <v>141</v>
      </c>
      <c r="E224" s="176" t="s">
        <v>1073</v>
      </c>
      <c r="F224" s="177" t="s">
        <v>1074</v>
      </c>
      <c r="G224" s="178" t="s">
        <v>144</v>
      </c>
      <c r="H224" s="179">
        <v>196.783</v>
      </c>
      <c r="I224" s="69"/>
      <c r="J224" s="180">
        <f>ROUND(I224*H224,2)</f>
        <v>0</v>
      </c>
      <c r="K224" s="177" t="s">
        <v>967</v>
      </c>
      <c r="L224" s="92"/>
      <c r="M224" s="181" t="s">
        <v>1</v>
      </c>
      <c r="N224" s="182" t="s">
        <v>44</v>
      </c>
      <c r="O224" s="183">
        <v>0.026</v>
      </c>
      <c r="P224" s="183">
        <f>O224*H224</f>
        <v>5.116357999999999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R224" s="185" t="s">
        <v>146</v>
      </c>
      <c r="AT224" s="185" t="s">
        <v>141</v>
      </c>
      <c r="AU224" s="185" t="s">
        <v>87</v>
      </c>
      <c r="AY224" s="83" t="s">
        <v>139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83" t="s">
        <v>85</v>
      </c>
      <c r="BK224" s="186">
        <f>ROUND(I224*H224,2)</f>
        <v>0</v>
      </c>
      <c r="BL224" s="83" t="s">
        <v>146</v>
      </c>
      <c r="BM224" s="185" t="s">
        <v>1345</v>
      </c>
    </row>
    <row r="225" spans="2:51" s="201" customFormat="1" ht="12">
      <c r="B225" s="202"/>
      <c r="D225" s="189" t="s">
        <v>148</v>
      </c>
      <c r="E225" s="203" t="s">
        <v>1</v>
      </c>
      <c r="F225" s="204" t="s">
        <v>166</v>
      </c>
      <c r="H225" s="203" t="s">
        <v>1</v>
      </c>
      <c r="I225" s="235"/>
      <c r="L225" s="202"/>
      <c r="M225" s="205"/>
      <c r="N225" s="206"/>
      <c r="O225" s="206"/>
      <c r="P225" s="206"/>
      <c r="Q225" s="206"/>
      <c r="R225" s="206"/>
      <c r="S225" s="206"/>
      <c r="T225" s="207"/>
      <c r="AT225" s="203" t="s">
        <v>148</v>
      </c>
      <c r="AU225" s="203" t="s">
        <v>87</v>
      </c>
      <c r="AV225" s="201" t="s">
        <v>85</v>
      </c>
      <c r="AW225" s="201" t="s">
        <v>34</v>
      </c>
      <c r="AX225" s="201" t="s">
        <v>78</v>
      </c>
      <c r="AY225" s="203" t="s">
        <v>139</v>
      </c>
    </row>
    <row r="226" spans="2:51" s="201" customFormat="1" ht="12">
      <c r="B226" s="202"/>
      <c r="D226" s="189" t="s">
        <v>148</v>
      </c>
      <c r="E226" s="203" t="s">
        <v>1</v>
      </c>
      <c r="F226" s="204" t="s">
        <v>156</v>
      </c>
      <c r="H226" s="203" t="s">
        <v>1</v>
      </c>
      <c r="I226" s="235"/>
      <c r="L226" s="202"/>
      <c r="M226" s="205"/>
      <c r="N226" s="206"/>
      <c r="O226" s="206"/>
      <c r="P226" s="206"/>
      <c r="Q226" s="206"/>
      <c r="R226" s="206"/>
      <c r="S226" s="206"/>
      <c r="T226" s="207"/>
      <c r="AT226" s="203" t="s">
        <v>148</v>
      </c>
      <c r="AU226" s="203" t="s">
        <v>87</v>
      </c>
      <c r="AV226" s="201" t="s">
        <v>85</v>
      </c>
      <c r="AW226" s="201" t="s">
        <v>34</v>
      </c>
      <c r="AX226" s="201" t="s">
        <v>78</v>
      </c>
      <c r="AY226" s="203" t="s">
        <v>139</v>
      </c>
    </row>
    <row r="227" spans="2:51" s="187" customFormat="1" ht="12">
      <c r="B227" s="188"/>
      <c r="D227" s="189" t="s">
        <v>148</v>
      </c>
      <c r="E227" s="190" t="s">
        <v>1</v>
      </c>
      <c r="F227" s="191" t="s">
        <v>1308</v>
      </c>
      <c r="H227" s="192">
        <v>168.883</v>
      </c>
      <c r="I227" s="233"/>
      <c r="L227" s="188"/>
      <c r="M227" s="193"/>
      <c r="N227" s="194"/>
      <c r="O227" s="194"/>
      <c r="P227" s="194"/>
      <c r="Q227" s="194"/>
      <c r="R227" s="194"/>
      <c r="S227" s="194"/>
      <c r="T227" s="195"/>
      <c r="AT227" s="190" t="s">
        <v>148</v>
      </c>
      <c r="AU227" s="190" t="s">
        <v>87</v>
      </c>
      <c r="AV227" s="187" t="s">
        <v>87</v>
      </c>
      <c r="AW227" s="187" t="s">
        <v>34</v>
      </c>
      <c r="AX227" s="187" t="s">
        <v>78</v>
      </c>
      <c r="AY227" s="190" t="s">
        <v>139</v>
      </c>
    </row>
    <row r="228" spans="2:51" s="187" customFormat="1" ht="12">
      <c r="B228" s="188"/>
      <c r="D228" s="189" t="s">
        <v>148</v>
      </c>
      <c r="E228" s="190" t="s">
        <v>1</v>
      </c>
      <c r="F228" s="191" t="s">
        <v>1302</v>
      </c>
      <c r="H228" s="192">
        <v>27.9</v>
      </c>
      <c r="I228" s="233"/>
      <c r="L228" s="188"/>
      <c r="M228" s="193"/>
      <c r="N228" s="194"/>
      <c r="O228" s="194"/>
      <c r="P228" s="194"/>
      <c r="Q228" s="194"/>
      <c r="R228" s="194"/>
      <c r="S228" s="194"/>
      <c r="T228" s="195"/>
      <c r="AT228" s="190" t="s">
        <v>148</v>
      </c>
      <c r="AU228" s="190" t="s">
        <v>87</v>
      </c>
      <c r="AV228" s="187" t="s">
        <v>87</v>
      </c>
      <c r="AW228" s="187" t="s">
        <v>34</v>
      </c>
      <c r="AX228" s="187" t="s">
        <v>78</v>
      </c>
      <c r="AY228" s="190" t="s">
        <v>139</v>
      </c>
    </row>
    <row r="229" spans="2:51" s="208" customFormat="1" ht="12">
      <c r="B229" s="209"/>
      <c r="D229" s="189" t="s">
        <v>148</v>
      </c>
      <c r="E229" s="210" t="s">
        <v>1</v>
      </c>
      <c r="F229" s="211" t="s">
        <v>159</v>
      </c>
      <c r="H229" s="212">
        <v>196.783</v>
      </c>
      <c r="I229" s="236"/>
      <c r="L229" s="209"/>
      <c r="M229" s="213"/>
      <c r="N229" s="214"/>
      <c r="O229" s="214"/>
      <c r="P229" s="214"/>
      <c r="Q229" s="214"/>
      <c r="R229" s="214"/>
      <c r="S229" s="214"/>
      <c r="T229" s="215"/>
      <c r="AT229" s="210" t="s">
        <v>148</v>
      </c>
      <c r="AU229" s="210" t="s">
        <v>87</v>
      </c>
      <c r="AV229" s="208" t="s">
        <v>146</v>
      </c>
      <c r="AW229" s="208" t="s">
        <v>34</v>
      </c>
      <c r="AX229" s="208" t="s">
        <v>85</v>
      </c>
      <c r="AY229" s="210" t="s">
        <v>139</v>
      </c>
    </row>
    <row r="230" spans="1:65" s="95" customFormat="1" ht="24.2" customHeight="1">
      <c r="A230" s="93"/>
      <c r="B230" s="92"/>
      <c r="C230" s="175" t="s">
        <v>257</v>
      </c>
      <c r="D230" s="175" t="s">
        <v>141</v>
      </c>
      <c r="E230" s="176" t="s">
        <v>1077</v>
      </c>
      <c r="F230" s="177" t="s">
        <v>1078</v>
      </c>
      <c r="G230" s="178" t="s">
        <v>144</v>
      </c>
      <c r="H230" s="179">
        <v>196.783</v>
      </c>
      <c r="I230" s="69"/>
      <c r="J230" s="180">
        <f>ROUND(I230*H230,2)</f>
        <v>0</v>
      </c>
      <c r="K230" s="177" t="s">
        <v>967</v>
      </c>
      <c r="L230" s="92"/>
      <c r="M230" s="181" t="s">
        <v>1</v>
      </c>
      <c r="N230" s="182" t="s">
        <v>44</v>
      </c>
      <c r="O230" s="183">
        <v>0.029</v>
      </c>
      <c r="P230" s="183">
        <f>O230*H230</f>
        <v>5.706707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R230" s="185" t="s">
        <v>146</v>
      </c>
      <c r="AT230" s="185" t="s">
        <v>141</v>
      </c>
      <c r="AU230" s="185" t="s">
        <v>87</v>
      </c>
      <c r="AY230" s="83" t="s">
        <v>139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83" t="s">
        <v>85</v>
      </c>
      <c r="BK230" s="186">
        <f>ROUND(I230*H230,2)</f>
        <v>0</v>
      </c>
      <c r="BL230" s="83" t="s">
        <v>146</v>
      </c>
      <c r="BM230" s="185" t="s">
        <v>1346</v>
      </c>
    </row>
    <row r="231" spans="2:51" s="201" customFormat="1" ht="12">
      <c r="B231" s="202"/>
      <c r="D231" s="189" t="s">
        <v>148</v>
      </c>
      <c r="E231" s="203" t="s">
        <v>1</v>
      </c>
      <c r="F231" s="204" t="s">
        <v>166</v>
      </c>
      <c r="H231" s="203" t="s">
        <v>1</v>
      </c>
      <c r="I231" s="235"/>
      <c r="L231" s="202"/>
      <c r="M231" s="205"/>
      <c r="N231" s="206"/>
      <c r="O231" s="206"/>
      <c r="P231" s="206"/>
      <c r="Q231" s="206"/>
      <c r="R231" s="206"/>
      <c r="S231" s="206"/>
      <c r="T231" s="207"/>
      <c r="AT231" s="203" t="s">
        <v>148</v>
      </c>
      <c r="AU231" s="203" t="s">
        <v>87</v>
      </c>
      <c r="AV231" s="201" t="s">
        <v>85</v>
      </c>
      <c r="AW231" s="201" t="s">
        <v>34</v>
      </c>
      <c r="AX231" s="201" t="s">
        <v>78</v>
      </c>
      <c r="AY231" s="203" t="s">
        <v>139</v>
      </c>
    </row>
    <row r="232" spans="2:51" s="201" customFormat="1" ht="12">
      <c r="B232" s="202"/>
      <c r="D232" s="189" t="s">
        <v>148</v>
      </c>
      <c r="E232" s="203" t="s">
        <v>1</v>
      </c>
      <c r="F232" s="204" t="s">
        <v>156</v>
      </c>
      <c r="H232" s="203" t="s">
        <v>1</v>
      </c>
      <c r="I232" s="235"/>
      <c r="L232" s="202"/>
      <c r="M232" s="205"/>
      <c r="N232" s="206"/>
      <c r="O232" s="206"/>
      <c r="P232" s="206"/>
      <c r="Q232" s="206"/>
      <c r="R232" s="206"/>
      <c r="S232" s="206"/>
      <c r="T232" s="207"/>
      <c r="AT232" s="203" t="s">
        <v>148</v>
      </c>
      <c r="AU232" s="203" t="s">
        <v>87</v>
      </c>
      <c r="AV232" s="201" t="s">
        <v>85</v>
      </c>
      <c r="AW232" s="201" t="s">
        <v>34</v>
      </c>
      <c r="AX232" s="201" t="s">
        <v>78</v>
      </c>
      <c r="AY232" s="203" t="s">
        <v>139</v>
      </c>
    </row>
    <row r="233" spans="2:51" s="187" customFormat="1" ht="12">
      <c r="B233" s="188"/>
      <c r="D233" s="189" t="s">
        <v>148</v>
      </c>
      <c r="E233" s="190" t="s">
        <v>1</v>
      </c>
      <c r="F233" s="191" t="s">
        <v>1308</v>
      </c>
      <c r="H233" s="192">
        <v>168.883</v>
      </c>
      <c r="I233" s="233"/>
      <c r="L233" s="188"/>
      <c r="M233" s="193"/>
      <c r="N233" s="194"/>
      <c r="O233" s="194"/>
      <c r="P233" s="194"/>
      <c r="Q233" s="194"/>
      <c r="R233" s="194"/>
      <c r="S233" s="194"/>
      <c r="T233" s="195"/>
      <c r="AT233" s="190" t="s">
        <v>148</v>
      </c>
      <c r="AU233" s="190" t="s">
        <v>87</v>
      </c>
      <c r="AV233" s="187" t="s">
        <v>87</v>
      </c>
      <c r="AW233" s="187" t="s">
        <v>34</v>
      </c>
      <c r="AX233" s="187" t="s">
        <v>78</v>
      </c>
      <c r="AY233" s="190" t="s">
        <v>139</v>
      </c>
    </row>
    <row r="234" spans="2:51" s="187" customFormat="1" ht="12">
      <c r="B234" s="188"/>
      <c r="D234" s="189" t="s">
        <v>148</v>
      </c>
      <c r="E234" s="190" t="s">
        <v>1</v>
      </c>
      <c r="F234" s="191" t="s">
        <v>1302</v>
      </c>
      <c r="H234" s="192">
        <v>27.9</v>
      </c>
      <c r="I234" s="233"/>
      <c r="L234" s="188"/>
      <c r="M234" s="193"/>
      <c r="N234" s="194"/>
      <c r="O234" s="194"/>
      <c r="P234" s="194"/>
      <c r="Q234" s="194"/>
      <c r="R234" s="194"/>
      <c r="S234" s="194"/>
      <c r="T234" s="195"/>
      <c r="AT234" s="190" t="s">
        <v>148</v>
      </c>
      <c r="AU234" s="190" t="s">
        <v>87</v>
      </c>
      <c r="AV234" s="187" t="s">
        <v>87</v>
      </c>
      <c r="AW234" s="187" t="s">
        <v>34</v>
      </c>
      <c r="AX234" s="187" t="s">
        <v>78</v>
      </c>
      <c r="AY234" s="190" t="s">
        <v>139</v>
      </c>
    </row>
    <row r="235" spans="2:51" s="208" customFormat="1" ht="12">
      <c r="B235" s="209"/>
      <c r="D235" s="189" t="s">
        <v>148</v>
      </c>
      <c r="E235" s="210" t="s">
        <v>1</v>
      </c>
      <c r="F235" s="211" t="s">
        <v>159</v>
      </c>
      <c r="H235" s="212">
        <v>196.783</v>
      </c>
      <c r="I235" s="236"/>
      <c r="L235" s="209"/>
      <c r="M235" s="213"/>
      <c r="N235" s="214"/>
      <c r="O235" s="214"/>
      <c r="P235" s="214"/>
      <c r="Q235" s="214"/>
      <c r="R235" s="214"/>
      <c r="S235" s="214"/>
      <c r="T235" s="215"/>
      <c r="AT235" s="210" t="s">
        <v>148</v>
      </c>
      <c r="AU235" s="210" t="s">
        <v>87</v>
      </c>
      <c r="AV235" s="208" t="s">
        <v>146</v>
      </c>
      <c r="AW235" s="208" t="s">
        <v>34</v>
      </c>
      <c r="AX235" s="208" t="s">
        <v>85</v>
      </c>
      <c r="AY235" s="210" t="s">
        <v>139</v>
      </c>
    </row>
    <row r="236" spans="1:65" s="95" customFormat="1" ht="33" customHeight="1">
      <c r="A236" s="93"/>
      <c r="B236" s="92"/>
      <c r="C236" s="175">
        <v>21</v>
      </c>
      <c r="D236" s="175" t="s">
        <v>141</v>
      </c>
      <c r="E236" s="176" t="s">
        <v>1545</v>
      </c>
      <c r="F236" s="177" t="s">
        <v>1528</v>
      </c>
      <c r="G236" s="178" t="s">
        <v>144</v>
      </c>
      <c r="H236" s="179">
        <f>H239</f>
        <v>196.78300000000002</v>
      </c>
      <c r="I236" s="69"/>
      <c r="J236" s="180">
        <f>ROUND(I236*H236,2)</f>
        <v>0</v>
      </c>
      <c r="K236" s="177" t="s">
        <v>145</v>
      </c>
      <c r="L236" s="92"/>
      <c r="M236" s="181" t="s">
        <v>1</v>
      </c>
      <c r="N236" s="182" t="s">
        <v>44</v>
      </c>
      <c r="O236" s="183">
        <v>0.024</v>
      </c>
      <c r="P236" s="183">
        <f>O236*H236</f>
        <v>4.722792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R236" s="185" t="s">
        <v>146</v>
      </c>
      <c r="AT236" s="185" t="s">
        <v>141</v>
      </c>
      <c r="AU236" s="185" t="s">
        <v>87</v>
      </c>
      <c r="AY236" s="83" t="s">
        <v>139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83" t="s">
        <v>85</v>
      </c>
      <c r="BK236" s="186">
        <f>ROUND(I236*H236,2)</f>
        <v>0</v>
      </c>
      <c r="BL236" s="83" t="s">
        <v>146</v>
      </c>
      <c r="BM236" s="185" t="s">
        <v>1527</v>
      </c>
    </row>
    <row r="237" spans="2:51" s="201" customFormat="1" ht="12">
      <c r="B237" s="202"/>
      <c r="D237" s="189" t="s">
        <v>148</v>
      </c>
      <c r="E237" s="203" t="s">
        <v>1</v>
      </c>
      <c r="F237" s="204" t="s">
        <v>315</v>
      </c>
      <c r="H237" s="203" t="s">
        <v>1</v>
      </c>
      <c r="I237" s="235"/>
      <c r="L237" s="202"/>
      <c r="M237" s="205"/>
      <c r="N237" s="206"/>
      <c r="O237" s="206"/>
      <c r="P237" s="206"/>
      <c r="Q237" s="206"/>
      <c r="R237" s="206"/>
      <c r="S237" s="206"/>
      <c r="T237" s="207"/>
      <c r="AT237" s="203" t="s">
        <v>148</v>
      </c>
      <c r="AU237" s="203" t="s">
        <v>87</v>
      </c>
      <c r="AV237" s="201" t="s">
        <v>85</v>
      </c>
      <c r="AW237" s="201" t="s">
        <v>34</v>
      </c>
      <c r="AX237" s="201" t="s">
        <v>78</v>
      </c>
      <c r="AY237" s="203" t="s">
        <v>139</v>
      </c>
    </row>
    <row r="238" spans="2:51" s="201" customFormat="1" ht="22.5">
      <c r="B238" s="202"/>
      <c r="D238" s="189" t="s">
        <v>148</v>
      </c>
      <c r="E238" s="203" t="s">
        <v>1</v>
      </c>
      <c r="F238" s="204" t="s">
        <v>323</v>
      </c>
      <c r="H238" s="203" t="s">
        <v>1</v>
      </c>
      <c r="I238" s="235"/>
      <c r="L238" s="202"/>
      <c r="M238" s="205"/>
      <c r="N238" s="206"/>
      <c r="O238" s="206"/>
      <c r="P238" s="206"/>
      <c r="Q238" s="206"/>
      <c r="R238" s="206"/>
      <c r="S238" s="206"/>
      <c r="T238" s="207"/>
      <c r="AT238" s="203" t="s">
        <v>148</v>
      </c>
      <c r="AU238" s="203" t="s">
        <v>87</v>
      </c>
      <c r="AV238" s="201" t="s">
        <v>85</v>
      </c>
      <c r="AW238" s="201" t="s">
        <v>34</v>
      </c>
      <c r="AX238" s="201" t="s">
        <v>78</v>
      </c>
      <c r="AY238" s="203" t="s">
        <v>139</v>
      </c>
    </row>
    <row r="239" spans="2:51" s="187" customFormat="1" ht="12">
      <c r="B239" s="188"/>
      <c r="D239" s="189" t="s">
        <v>148</v>
      </c>
      <c r="E239" s="190" t="s">
        <v>1</v>
      </c>
      <c r="F239" s="191" t="s">
        <v>1556</v>
      </c>
      <c r="H239" s="192">
        <f>(147.43+6.1)*1.1+27.9*1</f>
        <v>196.78300000000002</v>
      </c>
      <c r="I239" s="233"/>
      <c r="L239" s="188"/>
      <c r="M239" s="193"/>
      <c r="N239" s="194"/>
      <c r="O239" s="194"/>
      <c r="P239" s="194"/>
      <c r="Q239" s="194"/>
      <c r="R239" s="194"/>
      <c r="S239" s="194"/>
      <c r="T239" s="195"/>
      <c r="AT239" s="190" t="s">
        <v>148</v>
      </c>
      <c r="AU239" s="190" t="s">
        <v>87</v>
      </c>
      <c r="AV239" s="187" t="s">
        <v>87</v>
      </c>
      <c r="AW239" s="187" t="s">
        <v>34</v>
      </c>
      <c r="AX239" s="187" t="s">
        <v>85</v>
      </c>
      <c r="AY239" s="190" t="s">
        <v>139</v>
      </c>
    </row>
    <row r="240" spans="1:65" s="95" customFormat="1" ht="24.2" customHeight="1">
      <c r="A240" s="93"/>
      <c r="B240" s="92"/>
      <c r="C240" s="175">
        <v>22</v>
      </c>
      <c r="D240" s="175" t="s">
        <v>141</v>
      </c>
      <c r="E240" s="176" t="s">
        <v>1547</v>
      </c>
      <c r="F240" s="177" t="s">
        <v>1546</v>
      </c>
      <c r="G240" s="178" t="s">
        <v>144</v>
      </c>
      <c r="H240" s="179">
        <f>H236</f>
        <v>196.78300000000002</v>
      </c>
      <c r="I240" s="69"/>
      <c r="J240" s="180">
        <f>ROUND(I240*H240,2)</f>
        <v>0</v>
      </c>
      <c r="K240" s="177" t="s">
        <v>1</v>
      </c>
      <c r="L240" s="92"/>
      <c r="M240" s="181" t="s">
        <v>1</v>
      </c>
      <c r="N240" s="182" t="s">
        <v>44</v>
      </c>
      <c r="O240" s="183">
        <v>0.024</v>
      </c>
      <c r="P240" s="183">
        <f>O240*H240</f>
        <v>4.722792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R240" s="185" t="s">
        <v>146</v>
      </c>
      <c r="AT240" s="185" t="s">
        <v>141</v>
      </c>
      <c r="AU240" s="185" t="s">
        <v>87</v>
      </c>
      <c r="AY240" s="83" t="s">
        <v>139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83" t="s">
        <v>85</v>
      </c>
      <c r="BK240" s="186">
        <f>ROUND(I240*H240,2)</f>
        <v>0</v>
      </c>
      <c r="BL240" s="83" t="s">
        <v>146</v>
      </c>
      <c r="BM240" s="185" t="s">
        <v>1080</v>
      </c>
    </row>
    <row r="241" spans="2:51" s="201" customFormat="1" ht="12">
      <c r="B241" s="202"/>
      <c r="D241" s="189" t="s">
        <v>148</v>
      </c>
      <c r="E241" s="203" t="s">
        <v>1</v>
      </c>
      <c r="F241" s="204" t="s">
        <v>315</v>
      </c>
      <c r="H241" s="203" t="s">
        <v>1</v>
      </c>
      <c r="I241" s="235"/>
      <c r="L241" s="202"/>
      <c r="M241" s="205"/>
      <c r="N241" s="206"/>
      <c r="O241" s="206"/>
      <c r="P241" s="206"/>
      <c r="Q241" s="206"/>
      <c r="R241" s="206"/>
      <c r="S241" s="206"/>
      <c r="T241" s="207"/>
      <c r="AT241" s="203" t="s">
        <v>148</v>
      </c>
      <c r="AU241" s="203" t="s">
        <v>87</v>
      </c>
      <c r="AV241" s="201" t="s">
        <v>85</v>
      </c>
      <c r="AW241" s="201" t="s">
        <v>34</v>
      </c>
      <c r="AX241" s="201" t="s">
        <v>78</v>
      </c>
      <c r="AY241" s="203" t="s">
        <v>139</v>
      </c>
    </row>
    <row r="242" spans="1:65" s="95" customFormat="1" ht="49.15" customHeight="1">
      <c r="A242" s="93"/>
      <c r="B242" s="92"/>
      <c r="C242" s="175" t="s">
        <v>271</v>
      </c>
      <c r="D242" s="175" t="s">
        <v>141</v>
      </c>
      <c r="E242" s="176" t="s">
        <v>325</v>
      </c>
      <c r="F242" s="177" t="s">
        <v>1081</v>
      </c>
      <c r="G242" s="178" t="s">
        <v>144</v>
      </c>
      <c r="H242" s="179">
        <v>196.783</v>
      </c>
      <c r="I242" s="69"/>
      <c r="J242" s="180">
        <f>ROUND(I242*H242,2)</f>
        <v>0</v>
      </c>
      <c r="K242" s="177" t="s">
        <v>967</v>
      </c>
      <c r="L242" s="92"/>
      <c r="M242" s="181" t="s">
        <v>1</v>
      </c>
      <c r="N242" s="182" t="s">
        <v>44</v>
      </c>
      <c r="O242" s="183">
        <v>0.048</v>
      </c>
      <c r="P242" s="183">
        <f>O242*H242</f>
        <v>9.445584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R242" s="185" t="s">
        <v>146</v>
      </c>
      <c r="AT242" s="185" t="s">
        <v>141</v>
      </c>
      <c r="AU242" s="185" t="s">
        <v>87</v>
      </c>
      <c r="AY242" s="83" t="s">
        <v>139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83" t="s">
        <v>85</v>
      </c>
      <c r="BK242" s="186">
        <f>ROUND(I242*H242,2)</f>
        <v>0</v>
      </c>
      <c r="BL242" s="83" t="s">
        <v>146</v>
      </c>
      <c r="BM242" s="185" t="s">
        <v>1347</v>
      </c>
    </row>
    <row r="243" spans="2:51" s="201" customFormat="1" ht="12">
      <c r="B243" s="202"/>
      <c r="D243" s="189" t="s">
        <v>148</v>
      </c>
      <c r="E243" s="203" t="s">
        <v>1</v>
      </c>
      <c r="F243" s="204" t="s">
        <v>166</v>
      </c>
      <c r="H243" s="203" t="s">
        <v>1</v>
      </c>
      <c r="I243" s="235"/>
      <c r="L243" s="202"/>
      <c r="M243" s="205"/>
      <c r="N243" s="206"/>
      <c r="O243" s="206"/>
      <c r="P243" s="206"/>
      <c r="Q243" s="206"/>
      <c r="R243" s="206"/>
      <c r="S243" s="206"/>
      <c r="T243" s="207"/>
      <c r="AT243" s="203" t="s">
        <v>148</v>
      </c>
      <c r="AU243" s="203" t="s">
        <v>87</v>
      </c>
      <c r="AV243" s="201" t="s">
        <v>85</v>
      </c>
      <c r="AW243" s="201" t="s">
        <v>34</v>
      </c>
      <c r="AX243" s="201" t="s">
        <v>78</v>
      </c>
      <c r="AY243" s="203" t="s">
        <v>139</v>
      </c>
    </row>
    <row r="244" spans="2:51" s="201" customFormat="1" ht="12">
      <c r="B244" s="202"/>
      <c r="D244" s="189" t="s">
        <v>148</v>
      </c>
      <c r="E244" s="203" t="s">
        <v>1</v>
      </c>
      <c r="F244" s="204" t="s">
        <v>156</v>
      </c>
      <c r="H244" s="203" t="s">
        <v>1</v>
      </c>
      <c r="I244" s="235"/>
      <c r="L244" s="202"/>
      <c r="M244" s="205"/>
      <c r="N244" s="206"/>
      <c r="O244" s="206"/>
      <c r="P244" s="206"/>
      <c r="Q244" s="206"/>
      <c r="R244" s="206"/>
      <c r="S244" s="206"/>
      <c r="T244" s="207"/>
      <c r="AT244" s="203" t="s">
        <v>148</v>
      </c>
      <c r="AU244" s="203" t="s">
        <v>87</v>
      </c>
      <c r="AV244" s="201" t="s">
        <v>85</v>
      </c>
      <c r="AW244" s="201" t="s">
        <v>34</v>
      </c>
      <c r="AX244" s="201" t="s">
        <v>78</v>
      </c>
      <c r="AY244" s="203" t="s">
        <v>139</v>
      </c>
    </row>
    <row r="245" spans="2:51" s="187" customFormat="1" ht="12">
      <c r="B245" s="188"/>
      <c r="D245" s="189" t="s">
        <v>148</v>
      </c>
      <c r="E245" s="190" t="s">
        <v>1</v>
      </c>
      <c r="F245" s="191" t="s">
        <v>1308</v>
      </c>
      <c r="H245" s="192">
        <v>168.883</v>
      </c>
      <c r="I245" s="233"/>
      <c r="L245" s="188"/>
      <c r="M245" s="193"/>
      <c r="N245" s="194"/>
      <c r="O245" s="194"/>
      <c r="P245" s="194"/>
      <c r="Q245" s="194"/>
      <c r="R245" s="194"/>
      <c r="S245" s="194"/>
      <c r="T245" s="195"/>
      <c r="AT245" s="190" t="s">
        <v>148</v>
      </c>
      <c r="AU245" s="190" t="s">
        <v>87</v>
      </c>
      <c r="AV245" s="187" t="s">
        <v>87</v>
      </c>
      <c r="AW245" s="187" t="s">
        <v>34</v>
      </c>
      <c r="AX245" s="187" t="s">
        <v>78</v>
      </c>
      <c r="AY245" s="190" t="s">
        <v>139</v>
      </c>
    </row>
    <row r="246" spans="2:51" s="187" customFormat="1" ht="12">
      <c r="B246" s="188"/>
      <c r="D246" s="189" t="s">
        <v>148</v>
      </c>
      <c r="E246" s="190" t="s">
        <v>1</v>
      </c>
      <c r="F246" s="191" t="s">
        <v>1302</v>
      </c>
      <c r="H246" s="192">
        <v>27.9</v>
      </c>
      <c r="I246" s="233"/>
      <c r="L246" s="188"/>
      <c r="M246" s="193"/>
      <c r="N246" s="194"/>
      <c r="O246" s="194"/>
      <c r="P246" s="194"/>
      <c r="Q246" s="194"/>
      <c r="R246" s="194"/>
      <c r="S246" s="194"/>
      <c r="T246" s="195"/>
      <c r="AT246" s="190" t="s">
        <v>148</v>
      </c>
      <c r="AU246" s="190" t="s">
        <v>87</v>
      </c>
      <c r="AV246" s="187" t="s">
        <v>87</v>
      </c>
      <c r="AW246" s="187" t="s">
        <v>34</v>
      </c>
      <c r="AX246" s="187" t="s">
        <v>78</v>
      </c>
      <c r="AY246" s="190" t="s">
        <v>139</v>
      </c>
    </row>
    <row r="247" spans="2:51" s="208" customFormat="1" ht="12">
      <c r="B247" s="209"/>
      <c r="D247" s="189" t="s">
        <v>148</v>
      </c>
      <c r="E247" s="210" t="s">
        <v>1</v>
      </c>
      <c r="F247" s="211" t="s">
        <v>159</v>
      </c>
      <c r="H247" s="212">
        <v>196.783</v>
      </c>
      <c r="I247" s="236"/>
      <c r="L247" s="209"/>
      <c r="M247" s="213"/>
      <c r="N247" s="214"/>
      <c r="O247" s="214"/>
      <c r="P247" s="214"/>
      <c r="Q247" s="214"/>
      <c r="R247" s="214"/>
      <c r="S247" s="214"/>
      <c r="T247" s="215"/>
      <c r="AT247" s="210" t="s">
        <v>148</v>
      </c>
      <c r="AU247" s="210" t="s">
        <v>87</v>
      </c>
      <c r="AV247" s="208" t="s">
        <v>146</v>
      </c>
      <c r="AW247" s="208" t="s">
        <v>34</v>
      </c>
      <c r="AX247" s="208" t="s">
        <v>85</v>
      </c>
      <c r="AY247" s="210" t="s">
        <v>139</v>
      </c>
    </row>
    <row r="248" spans="1:65" s="95" customFormat="1" ht="24.2" customHeight="1">
      <c r="A248" s="93"/>
      <c r="B248" s="92"/>
      <c r="C248" s="175" t="s">
        <v>276</v>
      </c>
      <c r="D248" s="175" t="s">
        <v>141</v>
      </c>
      <c r="E248" s="176" t="s">
        <v>329</v>
      </c>
      <c r="F248" s="177" t="s">
        <v>330</v>
      </c>
      <c r="G248" s="178" t="s">
        <v>144</v>
      </c>
      <c r="H248" s="179">
        <v>196.783</v>
      </c>
      <c r="I248" s="69"/>
      <c r="J248" s="180">
        <f>ROUND(I248*H248,2)</f>
        <v>0</v>
      </c>
      <c r="K248" s="177" t="s">
        <v>967</v>
      </c>
      <c r="L248" s="92"/>
      <c r="M248" s="181" t="s">
        <v>1</v>
      </c>
      <c r="N248" s="182" t="s">
        <v>44</v>
      </c>
      <c r="O248" s="183">
        <v>0.004</v>
      </c>
      <c r="P248" s="183">
        <f>O248*H248</f>
        <v>0.7871319999999999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R248" s="185" t="s">
        <v>146</v>
      </c>
      <c r="AT248" s="185" t="s">
        <v>141</v>
      </c>
      <c r="AU248" s="185" t="s">
        <v>87</v>
      </c>
      <c r="AY248" s="83" t="s">
        <v>139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83" t="s">
        <v>85</v>
      </c>
      <c r="BK248" s="186">
        <f>ROUND(I248*H248,2)</f>
        <v>0</v>
      </c>
      <c r="BL248" s="83" t="s">
        <v>146</v>
      </c>
      <c r="BM248" s="185" t="s">
        <v>1348</v>
      </c>
    </row>
    <row r="249" spans="2:51" s="201" customFormat="1" ht="12">
      <c r="B249" s="202"/>
      <c r="D249" s="189" t="s">
        <v>148</v>
      </c>
      <c r="E249" s="203" t="s">
        <v>1</v>
      </c>
      <c r="F249" s="204" t="s">
        <v>166</v>
      </c>
      <c r="H249" s="203" t="s">
        <v>1</v>
      </c>
      <c r="I249" s="235"/>
      <c r="L249" s="202"/>
      <c r="M249" s="205"/>
      <c r="N249" s="206"/>
      <c r="O249" s="206"/>
      <c r="P249" s="206"/>
      <c r="Q249" s="206"/>
      <c r="R249" s="206"/>
      <c r="S249" s="206"/>
      <c r="T249" s="207"/>
      <c r="AT249" s="203" t="s">
        <v>148</v>
      </c>
      <c r="AU249" s="203" t="s">
        <v>87</v>
      </c>
      <c r="AV249" s="201" t="s">
        <v>85</v>
      </c>
      <c r="AW249" s="201" t="s">
        <v>34</v>
      </c>
      <c r="AX249" s="201" t="s">
        <v>78</v>
      </c>
      <c r="AY249" s="203" t="s">
        <v>139</v>
      </c>
    </row>
    <row r="250" spans="2:51" s="201" customFormat="1" ht="12">
      <c r="B250" s="202"/>
      <c r="D250" s="189" t="s">
        <v>148</v>
      </c>
      <c r="E250" s="203" t="s">
        <v>1</v>
      </c>
      <c r="F250" s="204" t="s">
        <v>156</v>
      </c>
      <c r="H250" s="203" t="s">
        <v>1</v>
      </c>
      <c r="I250" s="235"/>
      <c r="L250" s="202"/>
      <c r="M250" s="205"/>
      <c r="N250" s="206"/>
      <c r="O250" s="206"/>
      <c r="P250" s="206"/>
      <c r="Q250" s="206"/>
      <c r="R250" s="206"/>
      <c r="S250" s="206"/>
      <c r="T250" s="207"/>
      <c r="AT250" s="203" t="s">
        <v>148</v>
      </c>
      <c r="AU250" s="203" t="s">
        <v>87</v>
      </c>
      <c r="AV250" s="201" t="s">
        <v>85</v>
      </c>
      <c r="AW250" s="201" t="s">
        <v>34</v>
      </c>
      <c r="AX250" s="201" t="s">
        <v>78</v>
      </c>
      <c r="AY250" s="203" t="s">
        <v>139</v>
      </c>
    </row>
    <row r="251" spans="2:51" s="187" customFormat="1" ht="12">
      <c r="B251" s="188"/>
      <c r="D251" s="189" t="s">
        <v>148</v>
      </c>
      <c r="E251" s="190" t="s">
        <v>1</v>
      </c>
      <c r="F251" s="191" t="s">
        <v>1308</v>
      </c>
      <c r="H251" s="192">
        <v>168.883</v>
      </c>
      <c r="I251" s="233"/>
      <c r="L251" s="188"/>
      <c r="M251" s="193"/>
      <c r="N251" s="194"/>
      <c r="O251" s="194"/>
      <c r="P251" s="194"/>
      <c r="Q251" s="194"/>
      <c r="R251" s="194"/>
      <c r="S251" s="194"/>
      <c r="T251" s="195"/>
      <c r="AT251" s="190" t="s">
        <v>148</v>
      </c>
      <c r="AU251" s="190" t="s">
        <v>87</v>
      </c>
      <c r="AV251" s="187" t="s">
        <v>87</v>
      </c>
      <c r="AW251" s="187" t="s">
        <v>34</v>
      </c>
      <c r="AX251" s="187" t="s">
        <v>78</v>
      </c>
      <c r="AY251" s="190" t="s">
        <v>139</v>
      </c>
    </row>
    <row r="252" spans="2:51" s="187" customFormat="1" ht="12">
      <c r="B252" s="188"/>
      <c r="D252" s="189" t="s">
        <v>148</v>
      </c>
      <c r="E252" s="190" t="s">
        <v>1</v>
      </c>
      <c r="F252" s="191" t="s">
        <v>1302</v>
      </c>
      <c r="H252" s="192">
        <v>27.9</v>
      </c>
      <c r="I252" s="233"/>
      <c r="L252" s="188"/>
      <c r="M252" s="193"/>
      <c r="N252" s="194"/>
      <c r="O252" s="194"/>
      <c r="P252" s="194"/>
      <c r="Q252" s="194"/>
      <c r="R252" s="194"/>
      <c r="S252" s="194"/>
      <c r="T252" s="195"/>
      <c r="AT252" s="190" t="s">
        <v>148</v>
      </c>
      <c r="AU252" s="190" t="s">
        <v>87</v>
      </c>
      <c r="AV252" s="187" t="s">
        <v>87</v>
      </c>
      <c r="AW252" s="187" t="s">
        <v>34</v>
      </c>
      <c r="AX252" s="187" t="s">
        <v>78</v>
      </c>
      <c r="AY252" s="190" t="s">
        <v>139</v>
      </c>
    </row>
    <row r="253" spans="2:51" s="208" customFormat="1" ht="12">
      <c r="B253" s="209"/>
      <c r="D253" s="189" t="s">
        <v>148</v>
      </c>
      <c r="E253" s="210" t="s">
        <v>1</v>
      </c>
      <c r="F253" s="211" t="s">
        <v>159</v>
      </c>
      <c r="H253" s="212">
        <v>196.783</v>
      </c>
      <c r="I253" s="236"/>
      <c r="L253" s="209"/>
      <c r="M253" s="213"/>
      <c r="N253" s="214"/>
      <c r="O253" s="214"/>
      <c r="P253" s="214"/>
      <c r="Q253" s="214"/>
      <c r="R253" s="214"/>
      <c r="S253" s="214"/>
      <c r="T253" s="215"/>
      <c r="AT253" s="210" t="s">
        <v>148</v>
      </c>
      <c r="AU253" s="210" t="s">
        <v>87</v>
      </c>
      <c r="AV253" s="208" t="s">
        <v>146</v>
      </c>
      <c r="AW253" s="208" t="s">
        <v>34</v>
      </c>
      <c r="AX253" s="208" t="s">
        <v>85</v>
      </c>
      <c r="AY253" s="210" t="s">
        <v>139</v>
      </c>
    </row>
    <row r="254" spans="1:65" s="95" customFormat="1" ht="24.2" customHeight="1">
      <c r="A254" s="93"/>
      <c r="B254" s="92"/>
      <c r="C254" s="175" t="s">
        <v>282</v>
      </c>
      <c r="D254" s="175" t="s">
        <v>141</v>
      </c>
      <c r="E254" s="176" t="s">
        <v>333</v>
      </c>
      <c r="F254" s="177" t="s">
        <v>334</v>
      </c>
      <c r="G254" s="178" t="s">
        <v>144</v>
      </c>
      <c r="H254" s="179">
        <v>520.125</v>
      </c>
      <c r="I254" s="69"/>
      <c r="J254" s="180">
        <f>ROUND(I254*H254,2)</f>
        <v>0</v>
      </c>
      <c r="K254" s="177" t="s">
        <v>967</v>
      </c>
      <c r="L254" s="92"/>
      <c r="M254" s="181" t="s">
        <v>1</v>
      </c>
      <c r="N254" s="182" t="s">
        <v>44</v>
      </c>
      <c r="O254" s="183">
        <v>0.002</v>
      </c>
      <c r="P254" s="183">
        <f>O254*H254</f>
        <v>1.0402500000000001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R254" s="185" t="s">
        <v>146</v>
      </c>
      <c r="AT254" s="185" t="s">
        <v>141</v>
      </c>
      <c r="AU254" s="185" t="s">
        <v>87</v>
      </c>
      <c r="AY254" s="83" t="s">
        <v>139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83" t="s">
        <v>85</v>
      </c>
      <c r="BK254" s="186">
        <f>ROUND(I254*H254,2)</f>
        <v>0</v>
      </c>
      <c r="BL254" s="83" t="s">
        <v>146</v>
      </c>
      <c r="BM254" s="185" t="s">
        <v>1349</v>
      </c>
    </row>
    <row r="255" spans="2:51" s="201" customFormat="1" ht="12">
      <c r="B255" s="202"/>
      <c r="D255" s="189" t="s">
        <v>148</v>
      </c>
      <c r="E255" s="203" t="s">
        <v>1</v>
      </c>
      <c r="F255" s="204" t="s">
        <v>975</v>
      </c>
      <c r="H255" s="203" t="s">
        <v>1</v>
      </c>
      <c r="I255" s="235"/>
      <c r="L255" s="202"/>
      <c r="M255" s="205"/>
      <c r="N255" s="206"/>
      <c r="O255" s="206"/>
      <c r="P255" s="206"/>
      <c r="Q255" s="206"/>
      <c r="R255" s="206"/>
      <c r="S255" s="206"/>
      <c r="T255" s="207"/>
      <c r="AT255" s="203" t="s">
        <v>148</v>
      </c>
      <c r="AU255" s="203" t="s">
        <v>87</v>
      </c>
      <c r="AV255" s="201" t="s">
        <v>85</v>
      </c>
      <c r="AW255" s="201" t="s">
        <v>34</v>
      </c>
      <c r="AX255" s="201" t="s">
        <v>78</v>
      </c>
      <c r="AY255" s="203" t="s">
        <v>139</v>
      </c>
    </row>
    <row r="256" spans="2:51" s="201" customFormat="1" ht="12">
      <c r="B256" s="202"/>
      <c r="D256" s="189" t="s">
        <v>148</v>
      </c>
      <c r="E256" s="203" t="s">
        <v>1</v>
      </c>
      <c r="F256" s="204" t="s">
        <v>1304</v>
      </c>
      <c r="H256" s="203" t="s">
        <v>1</v>
      </c>
      <c r="I256" s="235"/>
      <c r="L256" s="202"/>
      <c r="M256" s="205"/>
      <c r="N256" s="206"/>
      <c r="O256" s="206"/>
      <c r="P256" s="206"/>
      <c r="Q256" s="206"/>
      <c r="R256" s="206"/>
      <c r="S256" s="206"/>
      <c r="T256" s="207"/>
      <c r="AT256" s="203" t="s">
        <v>148</v>
      </c>
      <c r="AU256" s="203" t="s">
        <v>87</v>
      </c>
      <c r="AV256" s="201" t="s">
        <v>85</v>
      </c>
      <c r="AW256" s="201" t="s">
        <v>34</v>
      </c>
      <c r="AX256" s="201" t="s">
        <v>78</v>
      </c>
      <c r="AY256" s="203" t="s">
        <v>139</v>
      </c>
    </row>
    <row r="257" spans="2:51" s="187" customFormat="1" ht="12">
      <c r="B257" s="188"/>
      <c r="D257" s="189" t="s">
        <v>148</v>
      </c>
      <c r="E257" s="190" t="s">
        <v>1</v>
      </c>
      <c r="F257" s="191" t="s">
        <v>977</v>
      </c>
      <c r="H257" s="192">
        <v>520.125</v>
      </c>
      <c r="I257" s="233"/>
      <c r="L257" s="188"/>
      <c r="M257" s="193"/>
      <c r="N257" s="194"/>
      <c r="O257" s="194"/>
      <c r="P257" s="194"/>
      <c r="Q257" s="194"/>
      <c r="R257" s="194"/>
      <c r="S257" s="194"/>
      <c r="T257" s="195"/>
      <c r="AT257" s="190" t="s">
        <v>148</v>
      </c>
      <c r="AU257" s="190" t="s">
        <v>87</v>
      </c>
      <c r="AV257" s="187" t="s">
        <v>87</v>
      </c>
      <c r="AW257" s="187" t="s">
        <v>34</v>
      </c>
      <c r="AX257" s="187" t="s">
        <v>85</v>
      </c>
      <c r="AY257" s="190" t="s">
        <v>139</v>
      </c>
    </row>
    <row r="258" spans="1:65" s="95" customFormat="1" ht="37.9" customHeight="1">
      <c r="A258" s="93"/>
      <c r="B258" s="92"/>
      <c r="C258" s="175" t="s">
        <v>289</v>
      </c>
      <c r="D258" s="175" t="s">
        <v>141</v>
      </c>
      <c r="E258" s="176" t="s">
        <v>338</v>
      </c>
      <c r="F258" s="177" t="s">
        <v>339</v>
      </c>
      <c r="G258" s="178" t="s">
        <v>144</v>
      </c>
      <c r="H258" s="179">
        <v>520.125</v>
      </c>
      <c r="I258" s="69"/>
      <c r="J258" s="180">
        <f>ROUND(I258*H258,2)</f>
        <v>0</v>
      </c>
      <c r="K258" s="177" t="s">
        <v>967</v>
      </c>
      <c r="L258" s="92"/>
      <c r="M258" s="181" t="s">
        <v>1</v>
      </c>
      <c r="N258" s="182" t="s">
        <v>44</v>
      </c>
      <c r="O258" s="183">
        <v>0.071</v>
      </c>
      <c r="P258" s="183">
        <f>O258*H258</f>
        <v>36.928875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R258" s="185" t="s">
        <v>146</v>
      </c>
      <c r="AT258" s="185" t="s">
        <v>141</v>
      </c>
      <c r="AU258" s="185" t="s">
        <v>87</v>
      </c>
      <c r="AY258" s="83" t="s">
        <v>139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83" t="s">
        <v>85</v>
      </c>
      <c r="BK258" s="186">
        <f>ROUND(I258*H258,2)</f>
        <v>0</v>
      </c>
      <c r="BL258" s="83" t="s">
        <v>146</v>
      </c>
      <c r="BM258" s="185" t="s">
        <v>1350</v>
      </c>
    </row>
    <row r="259" spans="2:51" s="201" customFormat="1" ht="12">
      <c r="B259" s="202"/>
      <c r="D259" s="189" t="s">
        <v>148</v>
      </c>
      <c r="E259" s="203" t="s">
        <v>1</v>
      </c>
      <c r="F259" s="204" t="s">
        <v>975</v>
      </c>
      <c r="H259" s="203" t="s">
        <v>1</v>
      </c>
      <c r="I259" s="235"/>
      <c r="L259" s="202"/>
      <c r="M259" s="205"/>
      <c r="N259" s="206"/>
      <c r="O259" s="206"/>
      <c r="P259" s="206"/>
      <c r="Q259" s="206"/>
      <c r="R259" s="206"/>
      <c r="S259" s="206"/>
      <c r="T259" s="207"/>
      <c r="AT259" s="203" t="s">
        <v>148</v>
      </c>
      <c r="AU259" s="203" t="s">
        <v>87</v>
      </c>
      <c r="AV259" s="201" t="s">
        <v>85</v>
      </c>
      <c r="AW259" s="201" t="s">
        <v>34</v>
      </c>
      <c r="AX259" s="201" t="s">
        <v>78</v>
      </c>
      <c r="AY259" s="203" t="s">
        <v>139</v>
      </c>
    </row>
    <row r="260" spans="2:51" s="201" customFormat="1" ht="12">
      <c r="B260" s="202"/>
      <c r="D260" s="189" t="s">
        <v>148</v>
      </c>
      <c r="E260" s="203" t="s">
        <v>1</v>
      </c>
      <c r="F260" s="204" t="s">
        <v>1304</v>
      </c>
      <c r="H260" s="203" t="s">
        <v>1</v>
      </c>
      <c r="I260" s="235"/>
      <c r="L260" s="202"/>
      <c r="M260" s="205"/>
      <c r="N260" s="206"/>
      <c r="O260" s="206"/>
      <c r="P260" s="206"/>
      <c r="Q260" s="206"/>
      <c r="R260" s="206"/>
      <c r="S260" s="206"/>
      <c r="T260" s="207"/>
      <c r="AT260" s="203" t="s">
        <v>148</v>
      </c>
      <c r="AU260" s="203" t="s">
        <v>87</v>
      </c>
      <c r="AV260" s="201" t="s">
        <v>85</v>
      </c>
      <c r="AW260" s="201" t="s">
        <v>34</v>
      </c>
      <c r="AX260" s="201" t="s">
        <v>78</v>
      </c>
      <c r="AY260" s="203" t="s">
        <v>139</v>
      </c>
    </row>
    <row r="261" spans="2:51" s="187" customFormat="1" ht="12">
      <c r="B261" s="188"/>
      <c r="D261" s="189" t="s">
        <v>148</v>
      </c>
      <c r="E261" s="190" t="s">
        <v>1</v>
      </c>
      <c r="F261" s="191" t="s">
        <v>977</v>
      </c>
      <c r="H261" s="192">
        <v>520.125</v>
      </c>
      <c r="I261" s="233"/>
      <c r="L261" s="188"/>
      <c r="M261" s="193"/>
      <c r="N261" s="194"/>
      <c r="O261" s="194"/>
      <c r="P261" s="194"/>
      <c r="Q261" s="194"/>
      <c r="R261" s="194"/>
      <c r="S261" s="194"/>
      <c r="T261" s="195"/>
      <c r="AT261" s="190" t="s">
        <v>148</v>
      </c>
      <c r="AU261" s="190" t="s">
        <v>87</v>
      </c>
      <c r="AV261" s="187" t="s">
        <v>87</v>
      </c>
      <c r="AW261" s="187" t="s">
        <v>34</v>
      </c>
      <c r="AX261" s="187" t="s">
        <v>85</v>
      </c>
      <c r="AY261" s="190" t="s">
        <v>139</v>
      </c>
    </row>
    <row r="262" spans="2:63" s="162" customFormat="1" ht="22.9" customHeight="1">
      <c r="B262" s="163"/>
      <c r="D262" s="164" t="s">
        <v>77</v>
      </c>
      <c r="E262" s="173" t="s">
        <v>187</v>
      </c>
      <c r="F262" s="173" t="s">
        <v>347</v>
      </c>
      <c r="I262" s="237"/>
      <c r="J262" s="174">
        <f>SUM(J263:J331)</f>
        <v>0</v>
      </c>
      <c r="L262" s="163"/>
      <c r="M262" s="167"/>
      <c r="N262" s="168"/>
      <c r="O262" s="168"/>
      <c r="P262" s="169">
        <f>SUM(P263:P331)</f>
        <v>257.07647000000003</v>
      </c>
      <c r="Q262" s="168"/>
      <c r="R262" s="169">
        <f>SUM(R263:R331)</f>
        <v>7.739397</v>
      </c>
      <c r="S262" s="168"/>
      <c r="T262" s="170">
        <f>SUM(T263:T331)</f>
        <v>3.7072599999999998</v>
      </c>
      <c r="AR262" s="164" t="s">
        <v>85</v>
      </c>
      <c r="AT262" s="171" t="s">
        <v>77</v>
      </c>
      <c r="AU262" s="171" t="s">
        <v>85</v>
      </c>
      <c r="AY262" s="164" t="s">
        <v>139</v>
      </c>
      <c r="BK262" s="172">
        <f>SUM(BK263:BK331)</f>
        <v>0</v>
      </c>
    </row>
    <row r="263" spans="1:65" s="95" customFormat="1" ht="24.2" customHeight="1">
      <c r="A263" s="93"/>
      <c r="B263" s="92"/>
      <c r="C263" s="175" t="s">
        <v>294</v>
      </c>
      <c r="D263" s="175" t="s">
        <v>141</v>
      </c>
      <c r="E263" s="176" t="s">
        <v>353</v>
      </c>
      <c r="F263" s="177" t="s">
        <v>354</v>
      </c>
      <c r="G263" s="178" t="s">
        <v>171</v>
      </c>
      <c r="H263" s="179">
        <v>6.1</v>
      </c>
      <c r="I263" s="69"/>
      <c r="J263" s="180">
        <f>ROUND(I263*H263,2)</f>
        <v>0</v>
      </c>
      <c r="K263" s="177" t="s">
        <v>967</v>
      </c>
      <c r="L263" s="92"/>
      <c r="M263" s="181" t="s">
        <v>1</v>
      </c>
      <c r="N263" s="182" t="s">
        <v>44</v>
      </c>
      <c r="O263" s="183">
        <v>0.446</v>
      </c>
      <c r="P263" s="183">
        <f>O263*H263</f>
        <v>2.7205999999999997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R263" s="185" t="s">
        <v>146</v>
      </c>
      <c r="AT263" s="185" t="s">
        <v>141</v>
      </c>
      <c r="AU263" s="185" t="s">
        <v>87</v>
      </c>
      <c r="AY263" s="83" t="s">
        <v>139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83" t="s">
        <v>85</v>
      </c>
      <c r="BK263" s="186">
        <f>ROUND(I263*H263,2)</f>
        <v>0</v>
      </c>
      <c r="BL263" s="83" t="s">
        <v>146</v>
      </c>
      <c r="BM263" s="185" t="s">
        <v>1351</v>
      </c>
    </row>
    <row r="264" spans="2:51" s="187" customFormat="1" ht="12">
      <c r="B264" s="188"/>
      <c r="D264" s="189" t="s">
        <v>148</v>
      </c>
      <c r="E264" s="190" t="s">
        <v>1</v>
      </c>
      <c r="F264" s="191" t="s">
        <v>1352</v>
      </c>
      <c r="H264" s="192">
        <v>6.1</v>
      </c>
      <c r="I264" s="233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0" t="s">
        <v>148</v>
      </c>
      <c r="AU264" s="190" t="s">
        <v>87</v>
      </c>
      <c r="AV264" s="187" t="s">
        <v>87</v>
      </c>
      <c r="AW264" s="187" t="s">
        <v>34</v>
      </c>
      <c r="AX264" s="187" t="s">
        <v>78</v>
      </c>
      <c r="AY264" s="190" t="s">
        <v>139</v>
      </c>
    </row>
    <row r="265" spans="2:51" s="208" customFormat="1" ht="12">
      <c r="B265" s="209"/>
      <c r="D265" s="189" t="s">
        <v>148</v>
      </c>
      <c r="E265" s="210" t="s">
        <v>1</v>
      </c>
      <c r="F265" s="211" t="s">
        <v>159</v>
      </c>
      <c r="H265" s="212">
        <v>6.1</v>
      </c>
      <c r="I265" s="236"/>
      <c r="L265" s="209"/>
      <c r="M265" s="213"/>
      <c r="N265" s="214"/>
      <c r="O265" s="214"/>
      <c r="P265" s="214"/>
      <c r="Q265" s="214"/>
      <c r="R265" s="214"/>
      <c r="S265" s="214"/>
      <c r="T265" s="215"/>
      <c r="AT265" s="210" t="s">
        <v>148</v>
      </c>
      <c r="AU265" s="210" t="s">
        <v>87</v>
      </c>
      <c r="AV265" s="208" t="s">
        <v>146</v>
      </c>
      <c r="AW265" s="208" t="s">
        <v>34</v>
      </c>
      <c r="AX265" s="208" t="s">
        <v>85</v>
      </c>
      <c r="AY265" s="210" t="s">
        <v>139</v>
      </c>
    </row>
    <row r="266" spans="1:65" s="95" customFormat="1" ht="14.45" customHeight="1">
      <c r="A266" s="93"/>
      <c r="B266" s="92"/>
      <c r="C266" s="217" t="s">
        <v>299</v>
      </c>
      <c r="D266" s="217" t="s">
        <v>251</v>
      </c>
      <c r="E266" s="218" t="s">
        <v>1353</v>
      </c>
      <c r="F266" s="219" t="s">
        <v>1354</v>
      </c>
      <c r="G266" s="220" t="s">
        <v>171</v>
      </c>
      <c r="H266" s="221">
        <v>6.1</v>
      </c>
      <c r="I266" s="70"/>
      <c r="J266" s="222">
        <f aca="true" t="shared" si="0" ref="J266:J277">ROUND(I266*H266,2)</f>
        <v>0</v>
      </c>
      <c r="K266" s="219" t="s">
        <v>967</v>
      </c>
      <c r="L266" s="223"/>
      <c r="M266" s="224" t="s">
        <v>1</v>
      </c>
      <c r="N266" s="225" t="s">
        <v>44</v>
      </c>
      <c r="O266" s="183">
        <v>0</v>
      </c>
      <c r="P266" s="183">
        <f aca="true" t="shared" si="1" ref="P266:P277">O266*H266</f>
        <v>0</v>
      </c>
      <c r="Q266" s="183">
        <v>0.0177</v>
      </c>
      <c r="R266" s="183">
        <f aca="true" t="shared" si="2" ref="R266:R277">Q266*H266</f>
        <v>0.10797</v>
      </c>
      <c r="S266" s="183">
        <v>0</v>
      </c>
      <c r="T266" s="184">
        <f aca="true" t="shared" si="3" ref="T266:T277">S266*H266</f>
        <v>0</v>
      </c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R266" s="185" t="s">
        <v>187</v>
      </c>
      <c r="AT266" s="185" t="s">
        <v>251</v>
      </c>
      <c r="AU266" s="185" t="s">
        <v>87</v>
      </c>
      <c r="AY266" s="83" t="s">
        <v>139</v>
      </c>
      <c r="BE266" s="186">
        <f aca="true" t="shared" si="4" ref="BE266:BE277">IF(N266="základní",J266,0)</f>
        <v>0</v>
      </c>
      <c r="BF266" s="186">
        <f aca="true" t="shared" si="5" ref="BF266:BF277">IF(N266="snížená",J266,0)</f>
        <v>0</v>
      </c>
      <c r="BG266" s="186">
        <f aca="true" t="shared" si="6" ref="BG266:BG277">IF(N266="zákl. přenesená",J266,0)</f>
        <v>0</v>
      </c>
      <c r="BH266" s="186">
        <f aca="true" t="shared" si="7" ref="BH266:BH277">IF(N266="sníž. přenesená",J266,0)</f>
        <v>0</v>
      </c>
      <c r="BI266" s="186">
        <f aca="true" t="shared" si="8" ref="BI266:BI277">IF(N266="nulová",J266,0)</f>
        <v>0</v>
      </c>
      <c r="BJ266" s="83" t="s">
        <v>85</v>
      </c>
      <c r="BK266" s="186">
        <f aca="true" t="shared" si="9" ref="BK266:BK277">ROUND(I266*H266,2)</f>
        <v>0</v>
      </c>
      <c r="BL266" s="83" t="s">
        <v>146</v>
      </c>
      <c r="BM266" s="185" t="s">
        <v>1355</v>
      </c>
    </row>
    <row r="267" spans="1:65" s="95" customFormat="1" ht="24.2" customHeight="1">
      <c r="A267" s="93"/>
      <c r="B267" s="92"/>
      <c r="C267" s="175" t="s">
        <v>303</v>
      </c>
      <c r="D267" s="175" t="s">
        <v>141</v>
      </c>
      <c r="E267" s="176" t="s">
        <v>1356</v>
      </c>
      <c r="F267" s="177" t="s">
        <v>1357</v>
      </c>
      <c r="G267" s="178" t="s">
        <v>171</v>
      </c>
      <c r="H267" s="179">
        <v>147.43</v>
      </c>
      <c r="I267" s="69"/>
      <c r="J267" s="180">
        <f t="shared" si="0"/>
        <v>0</v>
      </c>
      <c r="K267" s="177" t="s">
        <v>967</v>
      </c>
      <c r="L267" s="92"/>
      <c r="M267" s="181" t="s">
        <v>1</v>
      </c>
      <c r="N267" s="182" t="s">
        <v>44</v>
      </c>
      <c r="O267" s="183">
        <v>0.448</v>
      </c>
      <c r="P267" s="183">
        <f t="shared" si="1"/>
        <v>66.04864</v>
      </c>
      <c r="Q267" s="183">
        <v>0</v>
      </c>
      <c r="R267" s="183">
        <f t="shared" si="2"/>
        <v>0</v>
      </c>
      <c r="S267" s="183">
        <v>0</v>
      </c>
      <c r="T267" s="184">
        <f t="shared" si="3"/>
        <v>0</v>
      </c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R267" s="185" t="s">
        <v>146</v>
      </c>
      <c r="AT267" s="185" t="s">
        <v>141</v>
      </c>
      <c r="AU267" s="185" t="s">
        <v>87</v>
      </c>
      <c r="AY267" s="83" t="s">
        <v>139</v>
      </c>
      <c r="BE267" s="186">
        <f t="shared" si="4"/>
        <v>0</v>
      </c>
      <c r="BF267" s="186">
        <f t="shared" si="5"/>
        <v>0</v>
      </c>
      <c r="BG267" s="186">
        <f t="shared" si="6"/>
        <v>0</v>
      </c>
      <c r="BH267" s="186">
        <f t="shared" si="7"/>
        <v>0</v>
      </c>
      <c r="BI267" s="186">
        <f t="shared" si="8"/>
        <v>0</v>
      </c>
      <c r="BJ267" s="83" t="s">
        <v>85</v>
      </c>
      <c r="BK267" s="186">
        <f t="shared" si="9"/>
        <v>0</v>
      </c>
      <c r="BL267" s="83" t="s">
        <v>146</v>
      </c>
      <c r="BM267" s="185" t="s">
        <v>1358</v>
      </c>
    </row>
    <row r="268" spans="1:65" s="95" customFormat="1" ht="14.45" customHeight="1">
      <c r="A268" s="93"/>
      <c r="B268" s="92"/>
      <c r="C268" s="217" t="s">
        <v>312</v>
      </c>
      <c r="D268" s="217" t="s">
        <v>251</v>
      </c>
      <c r="E268" s="218" t="s">
        <v>1359</v>
      </c>
      <c r="F268" s="219" t="s">
        <v>1360</v>
      </c>
      <c r="G268" s="220" t="s">
        <v>171</v>
      </c>
      <c r="H268" s="221">
        <v>147.43</v>
      </c>
      <c r="I268" s="70"/>
      <c r="J268" s="222">
        <f t="shared" si="0"/>
        <v>0</v>
      </c>
      <c r="K268" s="219" t="s">
        <v>967</v>
      </c>
      <c r="L268" s="223"/>
      <c r="M268" s="224" t="s">
        <v>1</v>
      </c>
      <c r="N268" s="225" t="s">
        <v>44</v>
      </c>
      <c r="O268" s="183">
        <v>0</v>
      </c>
      <c r="P268" s="183">
        <f t="shared" si="1"/>
        <v>0</v>
      </c>
      <c r="Q268" s="183">
        <v>0.0215</v>
      </c>
      <c r="R268" s="183">
        <f t="shared" si="2"/>
        <v>3.169745</v>
      </c>
      <c r="S268" s="183">
        <v>0</v>
      </c>
      <c r="T268" s="184">
        <f t="shared" si="3"/>
        <v>0</v>
      </c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R268" s="185" t="s">
        <v>187</v>
      </c>
      <c r="AT268" s="185" t="s">
        <v>251</v>
      </c>
      <c r="AU268" s="185" t="s">
        <v>87</v>
      </c>
      <c r="AY268" s="83" t="s">
        <v>139</v>
      </c>
      <c r="BE268" s="186">
        <f t="shared" si="4"/>
        <v>0</v>
      </c>
      <c r="BF268" s="186">
        <f t="shared" si="5"/>
        <v>0</v>
      </c>
      <c r="BG268" s="186">
        <f t="shared" si="6"/>
        <v>0</v>
      </c>
      <c r="BH268" s="186">
        <f t="shared" si="7"/>
        <v>0</v>
      </c>
      <c r="BI268" s="186">
        <f t="shared" si="8"/>
        <v>0</v>
      </c>
      <c r="BJ268" s="83" t="s">
        <v>85</v>
      </c>
      <c r="BK268" s="186">
        <f t="shared" si="9"/>
        <v>0</v>
      </c>
      <c r="BL268" s="83" t="s">
        <v>146</v>
      </c>
      <c r="BM268" s="185" t="s">
        <v>1361</v>
      </c>
    </row>
    <row r="269" spans="1:65" s="95" customFormat="1" ht="49.15" customHeight="1">
      <c r="A269" s="93"/>
      <c r="B269" s="92"/>
      <c r="C269" s="175" t="s">
        <v>317</v>
      </c>
      <c r="D269" s="175" t="s">
        <v>141</v>
      </c>
      <c r="E269" s="176" t="s">
        <v>363</v>
      </c>
      <c r="F269" s="177" t="s">
        <v>364</v>
      </c>
      <c r="G269" s="178" t="s">
        <v>297</v>
      </c>
      <c r="H269" s="179">
        <v>1</v>
      </c>
      <c r="I269" s="69"/>
      <c r="J269" s="180">
        <f t="shared" si="0"/>
        <v>0</v>
      </c>
      <c r="K269" s="177" t="s">
        <v>967</v>
      </c>
      <c r="L269" s="92"/>
      <c r="M269" s="181" t="s">
        <v>1</v>
      </c>
      <c r="N269" s="182" t="s">
        <v>44</v>
      </c>
      <c r="O269" s="183">
        <v>1.527</v>
      </c>
      <c r="P269" s="183">
        <f t="shared" si="1"/>
        <v>1.527</v>
      </c>
      <c r="Q269" s="183">
        <v>0</v>
      </c>
      <c r="R269" s="183">
        <f t="shared" si="2"/>
        <v>0</v>
      </c>
      <c r="S269" s="183">
        <v>0</v>
      </c>
      <c r="T269" s="184">
        <f t="shared" si="3"/>
        <v>0</v>
      </c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R269" s="185" t="s">
        <v>146</v>
      </c>
      <c r="AT269" s="185" t="s">
        <v>141</v>
      </c>
      <c r="AU269" s="185" t="s">
        <v>87</v>
      </c>
      <c r="AY269" s="83" t="s">
        <v>139</v>
      </c>
      <c r="BE269" s="186">
        <f t="shared" si="4"/>
        <v>0</v>
      </c>
      <c r="BF269" s="186">
        <f t="shared" si="5"/>
        <v>0</v>
      </c>
      <c r="BG269" s="186">
        <f t="shared" si="6"/>
        <v>0</v>
      </c>
      <c r="BH269" s="186">
        <f t="shared" si="7"/>
        <v>0</v>
      </c>
      <c r="BI269" s="186">
        <f t="shared" si="8"/>
        <v>0</v>
      </c>
      <c r="BJ269" s="83" t="s">
        <v>85</v>
      </c>
      <c r="BK269" s="186">
        <f t="shared" si="9"/>
        <v>0</v>
      </c>
      <c r="BL269" s="83" t="s">
        <v>146</v>
      </c>
      <c r="BM269" s="185" t="s">
        <v>1362</v>
      </c>
    </row>
    <row r="270" spans="1:65" s="95" customFormat="1" ht="24.2" customHeight="1">
      <c r="A270" s="93"/>
      <c r="B270" s="92"/>
      <c r="C270" s="217" t="s">
        <v>318</v>
      </c>
      <c r="D270" s="217" t="s">
        <v>251</v>
      </c>
      <c r="E270" s="218" t="s">
        <v>368</v>
      </c>
      <c r="F270" s="219" t="s">
        <v>369</v>
      </c>
      <c r="G270" s="220" t="s">
        <v>297</v>
      </c>
      <c r="H270" s="221">
        <v>1</v>
      </c>
      <c r="I270" s="70"/>
      <c r="J270" s="222">
        <f t="shared" si="0"/>
        <v>0</v>
      </c>
      <c r="K270" s="219" t="s">
        <v>967</v>
      </c>
      <c r="L270" s="223"/>
      <c r="M270" s="224" t="s">
        <v>1</v>
      </c>
      <c r="N270" s="225" t="s">
        <v>44</v>
      </c>
      <c r="O270" s="183">
        <v>0</v>
      </c>
      <c r="P270" s="183">
        <f t="shared" si="1"/>
        <v>0</v>
      </c>
      <c r="Q270" s="183">
        <v>0.0087</v>
      </c>
      <c r="R270" s="183">
        <f t="shared" si="2"/>
        <v>0.0087</v>
      </c>
      <c r="S270" s="183">
        <v>0</v>
      </c>
      <c r="T270" s="184">
        <f t="shared" si="3"/>
        <v>0</v>
      </c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R270" s="185" t="s">
        <v>187</v>
      </c>
      <c r="AT270" s="185" t="s">
        <v>251</v>
      </c>
      <c r="AU270" s="185" t="s">
        <v>87</v>
      </c>
      <c r="AY270" s="83" t="s">
        <v>139</v>
      </c>
      <c r="BE270" s="186">
        <f t="shared" si="4"/>
        <v>0</v>
      </c>
      <c r="BF270" s="186">
        <f t="shared" si="5"/>
        <v>0</v>
      </c>
      <c r="BG270" s="186">
        <f t="shared" si="6"/>
        <v>0</v>
      </c>
      <c r="BH270" s="186">
        <f t="shared" si="7"/>
        <v>0</v>
      </c>
      <c r="BI270" s="186">
        <f t="shared" si="8"/>
        <v>0</v>
      </c>
      <c r="BJ270" s="83" t="s">
        <v>85</v>
      </c>
      <c r="BK270" s="186">
        <f t="shared" si="9"/>
        <v>0</v>
      </c>
      <c r="BL270" s="83" t="s">
        <v>146</v>
      </c>
      <c r="BM270" s="185" t="s">
        <v>1363</v>
      </c>
    </row>
    <row r="271" spans="1:65" s="95" customFormat="1" ht="37.9" customHeight="1">
      <c r="A271" s="93"/>
      <c r="B271" s="92"/>
      <c r="C271" s="175" t="s">
        <v>322</v>
      </c>
      <c r="D271" s="175" t="s">
        <v>141</v>
      </c>
      <c r="E271" s="176" t="s">
        <v>380</v>
      </c>
      <c r="F271" s="177" t="s">
        <v>381</v>
      </c>
      <c r="G271" s="178" t="s">
        <v>297</v>
      </c>
      <c r="H271" s="179">
        <v>2</v>
      </c>
      <c r="I271" s="69"/>
      <c r="J271" s="180">
        <f t="shared" si="0"/>
        <v>0</v>
      </c>
      <c r="K271" s="177" t="s">
        <v>967</v>
      </c>
      <c r="L271" s="92"/>
      <c r="M271" s="181" t="s">
        <v>1</v>
      </c>
      <c r="N271" s="182" t="s">
        <v>44</v>
      </c>
      <c r="O271" s="183">
        <v>0.759</v>
      </c>
      <c r="P271" s="183">
        <f t="shared" si="1"/>
        <v>1.518</v>
      </c>
      <c r="Q271" s="183">
        <v>0.00167</v>
      </c>
      <c r="R271" s="183">
        <f t="shared" si="2"/>
        <v>0.00334</v>
      </c>
      <c r="S271" s="183">
        <v>0</v>
      </c>
      <c r="T271" s="184">
        <f t="shared" si="3"/>
        <v>0</v>
      </c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R271" s="185" t="s">
        <v>146</v>
      </c>
      <c r="AT271" s="185" t="s">
        <v>141</v>
      </c>
      <c r="AU271" s="185" t="s">
        <v>87</v>
      </c>
      <c r="AY271" s="83" t="s">
        <v>139</v>
      </c>
      <c r="BE271" s="186">
        <f t="shared" si="4"/>
        <v>0</v>
      </c>
      <c r="BF271" s="186">
        <f t="shared" si="5"/>
        <v>0</v>
      </c>
      <c r="BG271" s="186">
        <f t="shared" si="6"/>
        <v>0</v>
      </c>
      <c r="BH271" s="186">
        <f t="shared" si="7"/>
        <v>0</v>
      </c>
      <c r="BI271" s="186">
        <f t="shared" si="8"/>
        <v>0</v>
      </c>
      <c r="BJ271" s="83" t="s">
        <v>85</v>
      </c>
      <c r="BK271" s="186">
        <f t="shared" si="9"/>
        <v>0</v>
      </c>
      <c r="BL271" s="83" t="s">
        <v>146</v>
      </c>
      <c r="BM271" s="185" t="s">
        <v>1364</v>
      </c>
    </row>
    <row r="272" spans="1:65" s="95" customFormat="1" ht="24.2" customHeight="1">
      <c r="A272" s="93"/>
      <c r="B272" s="92"/>
      <c r="C272" s="217" t="s">
        <v>324</v>
      </c>
      <c r="D272" s="217" t="s">
        <v>251</v>
      </c>
      <c r="E272" s="218" t="s">
        <v>385</v>
      </c>
      <c r="F272" s="219" t="s">
        <v>386</v>
      </c>
      <c r="G272" s="220" t="s">
        <v>297</v>
      </c>
      <c r="H272" s="221">
        <v>2</v>
      </c>
      <c r="I272" s="70"/>
      <c r="J272" s="222">
        <f t="shared" si="0"/>
        <v>0</v>
      </c>
      <c r="K272" s="219" t="s">
        <v>1</v>
      </c>
      <c r="L272" s="223"/>
      <c r="M272" s="224" t="s">
        <v>1</v>
      </c>
      <c r="N272" s="225" t="s">
        <v>44</v>
      </c>
      <c r="O272" s="183">
        <v>0</v>
      </c>
      <c r="P272" s="183">
        <f t="shared" si="1"/>
        <v>0</v>
      </c>
      <c r="Q272" s="183">
        <v>0.0163</v>
      </c>
      <c r="R272" s="183">
        <f t="shared" si="2"/>
        <v>0.0326</v>
      </c>
      <c r="S272" s="183">
        <v>0</v>
      </c>
      <c r="T272" s="184">
        <f t="shared" si="3"/>
        <v>0</v>
      </c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R272" s="185" t="s">
        <v>187</v>
      </c>
      <c r="AT272" s="185" t="s">
        <v>251</v>
      </c>
      <c r="AU272" s="185" t="s">
        <v>87</v>
      </c>
      <c r="AY272" s="83" t="s">
        <v>139</v>
      </c>
      <c r="BE272" s="186">
        <f t="shared" si="4"/>
        <v>0</v>
      </c>
      <c r="BF272" s="186">
        <f t="shared" si="5"/>
        <v>0</v>
      </c>
      <c r="BG272" s="186">
        <f t="shared" si="6"/>
        <v>0</v>
      </c>
      <c r="BH272" s="186">
        <f t="shared" si="7"/>
        <v>0</v>
      </c>
      <c r="BI272" s="186">
        <f t="shared" si="8"/>
        <v>0</v>
      </c>
      <c r="BJ272" s="83" t="s">
        <v>85</v>
      </c>
      <c r="BK272" s="186">
        <f t="shared" si="9"/>
        <v>0</v>
      </c>
      <c r="BL272" s="83" t="s">
        <v>146</v>
      </c>
      <c r="BM272" s="185" t="s">
        <v>1365</v>
      </c>
    </row>
    <row r="273" spans="1:65" s="95" customFormat="1" ht="37.9" customHeight="1">
      <c r="A273" s="93"/>
      <c r="B273" s="92"/>
      <c r="C273" s="175" t="s">
        <v>328</v>
      </c>
      <c r="D273" s="175" t="s">
        <v>141</v>
      </c>
      <c r="E273" s="176" t="s">
        <v>1366</v>
      </c>
      <c r="F273" s="177" t="s">
        <v>1367</v>
      </c>
      <c r="G273" s="178" t="s">
        <v>297</v>
      </c>
      <c r="H273" s="179">
        <v>2</v>
      </c>
      <c r="I273" s="69"/>
      <c r="J273" s="180">
        <f t="shared" si="0"/>
        <v>0</v>
      </c>
      <c r="K273" s="177" t="s">
        <v>967</v>
      </c>
      <c r="L273" s="92"/>
      <c r="M273" s="181" t="s">
        <v>1</v>
      </c>
      <c r="N273" s="182" t="s">
        <v>44</v>
      </c>
      <c r="O273" s="183">
        <v>1.094</v>
      </c>
      <c r="P273" s="183">
        <f t="shared" si="1"/>
        <v>2.188</v>
      </c>
      <c r="Q273" s="183">
        <v>0.00171</v>
      </c>
      <c r="R273" s="183">
        <f t="shared" si="2"/>
        <v>0.00342</v>
      </c>
      <c r="S273" s="183">
        <v>0</v>
      </c>
      <c r="T273" s="184">
        <f t="shared" si="3"/>
        <v>0</v>
      </c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R273" s="185" t="s">
        <v>146</v>
      </c>
      <c r="AT273" s="185" t="s">
        <v>141</v>
      </c>
      <c r="AU273" s="185" t="s">
        <v>87</v>
      </c>
      <c r="AY273" s="83" t="s">
        <v>139</v>
      </c>
      <c r="BE273" s="186">
        <f t="shared" si="4"/>
        <v>0</v>
      </c>
      <c r="BF273" s="186">
        <f t="shared" si="5"/>
        <v>0</v>
      </c>
      <c r="BG273" s="186">
        <f t="shared" si="6"/>
        <v>0</v>
      </c>
      <c r="BH273" s="186">
        <f t="shared" si="7"/>
        <v>0</v>
      </c>
      <c r="BI273" s="186">
        <f t="shared" si="8"/>
        <v>0</v>
      </c>
      <c r="BJ273" s="83" t="s">
        <v>85</v>
      </c>
      <c r="BK273" s="186">
        <f t="shared" si="9"/>
        <v>0</v>
      </c>
      <c r="BL273" s="83" t="s">
        <v>146</v>
      </c>
      <c r="BM273" s="185" t="s">
        <v>1368</v>
      </c>
    </row>
    <row r="274" spans="1:65" s="95" customFormat="1" ht="14.45" customHeight="1">
      <c r="A274" s="93"/>
      <c r="B274" s="92"/>
      <c r="C274" s="217" t="s">
        <v>332</v>
      </c>
      <c r="D274" s="217" t="s">
        <v>251</v>
      </c>
      <c r="E274" s="218" t="s">
        <v>1369</v>
      </c>
      <c r="F274" s="219" t="s">
        <v>1370</v>
      </c>
      <c r="G274" s="220" t="s">
        <v>297</v>
      </c>
      <c r="H274" s="221">
        <v>1</v>
      </c>
      <c r="I274" s="70"/>
      <c r="J274" s="222">
        <f t="shared" si="0"/>
        <v>0</v>
      </c>
      <c r="K274" s="219" t="s">
        <v>967</v>
      </c>
      <c r="L274" s="223"/>
      <c r="M274" s="224" t="s">
        <v>1</v>
      </c>
      <c r="N274" s="225" t="s">
        <v>44</v>
      </c>
      <c r="O274" s="183">
        <v>0</v>
      </c>
      <c r="P274" s="183">
        <f t="shared" si="1"/>
        <v>0</v>
      </c>
      <c r="Q274" s="183">
        <v>0.0201</v>
      </c>
      <c r="R274" s="183">
        <f t="shared" si="2"/>
        <v>0.0201</v>
      </c>
      <c r="S274" s="183">
        <v>0</v>
      </c>
      <c r="T274" s="184">
        <f t="shared" si="3"/>
        <v>0</v>
      </c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R274" s="185" t="s">
        <v>187</v>
      </c>
      <c r="AT274" s="185" t="s">
        <v>251</v>
      </c>
      <c r="AU274" s="185" t="s">
        <v>87</v>
      </c>
      <c r="AY274" s="83" t="s">
        <v>139</v>
      </c>
      <c r="BE274" s="186">
        <f t="shared" si="4"/>
        <v>0</v>
      </c>
      <c r="BF274" s="186">
        <f t="shared" si="5"/>
        <v>0</v>
      </c>
      <c r="BG274" s="186">
        <f t="shared" si="6"/>
        <v>0</v>
      </c>
      <c r="BH274" s="186">
        <f t="shared" si="7"/>
        <v>0</v>
      </c>
      <c r="BI274" s="186">
        <f t="shared" si="8"/>
        <v>0</v>
      </c>
      <c r="BJ274" s="83" t="s">
        <v>85</v>
      </c>
      <c r="BK274" s="186">
        <f t="shared" si="9"/>
        <v>0</v>
      </c>
      <c r="BL274" s="83" t="s">
        <v>146</v>
      </c>
      <c r="BM274" s="185" t="s">
        <v>1371</v>
      </c>
    </row>
    <row r="275" spans="1:65" s="95" customFormat="1" ht="24.2" customHeight="1">
      <c r="A275" s="93"/>
      <c r="B275" s="92"/>
      <c r="C275" s="217" t="s">
        <v>337</v>
      </c>
      <c r="D275" s="217" t="s">
        <v>251</v>
      </c>
      <c r="E275" s="218" t="s">
        <v>1372</v>
      </c>
      <c r="F275" s="219" t="s">
        <v>1373</v>
      </c>
      <c r="G275" s="220" t="s">
        <v>297</v>
      </c>
      <c r="H275" s="221">
        <v>1</v>
      </c>
      <c r="I275" s="70"/>
      <c r="J275" s="222">
        <f t="shared" si="0"/>
        <v>0</v>
      </c>
      <c r="K275" s="219" t="s">
        <v>967</v>
      </c>
      <c r="L275" s="223"/>
      <c r="M275" s="224" t="s">
        <v>1</v>
      </c>
      <c r="N275" s="225" t="s">
        <v>44</v>
      </c>
      <c r="O275" s="183">
        <v>0</v>
      </c>
      <c r="P275" s="183">
        <f t="shared" si="1"/>
        <v>0</v>
      </c>
      <c r="Q275" s="183">
        <v>0.0153</v>
      </c>
      <c r="R275" s="183">
        <f t="shared" si="2"/>
        <v>0.0153</v>
      </c>
      <c r="S275" s="183">
        <v>0</v>
      </c>
      <c r="T275" s="184">
        <f t="shared" si="3"/>
        <v>0</v>
      </c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R275" s="185" t="s">
        <v>187</v>
      </c>
      <c r="AT275" s="185" t="s">
        <v>251</v>
      </c>
      <c r="AU275" s="185" t="s">
        <v>87</v>
      </c>
      <c r="AY275" s="83" t="s">
        <v>139</v>
      </c>
      <c r="BE275" s="186">
        <f t="shared" si="4"/>
        <v>0</v>
      </c>
      <c r="BF275" s="186">
        <f t="shared" si="5"/>
        <v>0</v>
      </c>
      <c r="BG275" s="186">
        <f t="shared" si="6"/>
        <v>0</v>
      </c>
      <c r="BH275" s="186">
        <f t="shared" si="7"/>
        <v>0</v>
      </c>
      <c r="BI275" s="186">
        <f t="shared" si="8"/>
        <v>0</v>
      </c>
      <c r="BJ275" s="83" t="s">
        <v>85</v>
      </c>
      <c r="BK275" s="186">
        <f t="shared" si="9"/>
        <v>0</v>
      </c>
      <c r="BL275" s="83" t="s">
        <v>146</v>
      </c>
      <c r="BM275" s="185" t="s">
        <v>1374</v>
      </c>
    </row>
    <row r="276" spans="1:65" s="95" customFormat="1" ht="49.15" customHeight="1">
      <c r="A276" s="93"/>
      <c r="B276" s="92"/>
      <c r="C276" s="175" t="s">
        <v>342</v>
      </c>
      <c r="D276" s="175" t="s">
        <v>141</v>
      </c>
      <c r="E276" s="176" t="s">
        <v>1375</v>
      </c>
      <c r="F276" s="177" t="s">
        <v>1376</v>
      </c>
      <c r="G276" s="178" t="s">
        <v>297</v>
      </c>
      <c r="H276" s="179">
        <v>3</v>
      </c>
      <c r="I276" s="69"/>
      <c r="J276" s="180">
        <f t="shared" si="0"/>
        <v>0</v>
      </c>
      <c r="K276" s="177" t="s">
        <v>967</v>
      </c>
      <c r="L276" s="92"/>
      <c r="M276" s="181" t="s">
        <v>1</v>
      </c>
      <c r="N276" s="182" t="s">
        <v>44</v>
      </c>
      <c r="O276" s="183">
        <v>0.4</v>
      </c>
      <c r="P276" s="183">
        <f t="shared" si="1"/>
        <v>1.2000000000000002</v>
      </c>
      <c r="Q276" s="183">
        <v>0.00021</v>
      </c>
      <c r="R276" s="183">
        <f t="shared" si="2"/>
        <v>0.00063</v>
      </c>
      <c r="S276" s="183">
        <v>0</v>
      </c>
      <c r="T276" s="184">
        <f t="shared" si="3"/>
        <v>0</v>
      </c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R276" s="185" t="s">
        <v>146</v>
      </c>
      <c r="AT276" s="185" t="s">
        <v>141</v>
      </c>
      <c r="AU276" s="185" t="s">
        <v>87</v>
      </c>
      <c r="AY276" s="83" t="s">
        <v>139</v>
      </c>
      <c r="BE276" s="186">
        <f t="shared" si="4"/>
        <v>0</v>
      </c>
      <c r="BF276" s="186">
        <f t="shared" si="5"/>
        <v>0</v>
      </c>
      <c r="BG276" s="186">
        <f t="shared" si="6"/>
        <v>0</v>
      </c>
      <c r="BH276" s="186">
        <f t="shared" si="7"/>
        <v>0</v>
      </c>
      <c r="BI276" s="186">
        <f t="shared" si="8"/>
        <v>0</v>
      </c>
      <c r="BJ276" s="83" t="s">
        <v>85</v>
      </c>
      <c r="BK276" s="186">
        <f t="shared" si="9"/>
        <v>0</v>
      </c>
      <c r="BL276" s="83" t="s">
        <v>146</v>
      </c>
      <c r="BM276" s="185" t="s">
        <v>1377</v>
      </c>
    </row>
    <row r="277" spans="1:65" s="95" customFormat="1" ht="14.45" customHeight="1">
      <c r="A277" s="93"/>
      <c r="B277" s="92"/>
      <c r="C277" s="217" t="s">
        <v>348</v>
      </c>
      <c r="D277" s="217" t="s">
        <v>251</v>
      </c>
      <c r="E277" s="218" t="s">
        <v>1378</v>
      </c>
      <c r="F277" s="219" t="s">
        <v>1379</v>
      </c>
      <c r="G277" s="220" t="s">
        <v>297</v>
      </c>
      <c r="H277" s="221">
        <v>3</v>
      </c>
      <c r="I277" s="70"/>
      <c r="J277" s="222">
        <f t="shared" si="0"/>
        <v>0</v>
      </c>
      <c r="K277" s="219" t="s">
        <v>1</v>
      </c>
      <c r="L277" s="223"/>
      <c r="M277" s="224" t="s">
        <v>1</v>
      </c>
      <c r="N277" s="225" t="s">
        <v>44</v>
      </c>
      <c r="O277" s="183">
        <v>0</v>
      </c>
      <c r="P277" s="183">
        <f t="shared" si="1"/>
        <v>0</v>
      </c>
      <c r="Q277" s="183">
        <v>0.0069</v>
      </c>
      <c r="R277" s="183">
        <f t="shared" si="2"/>
        <v>0.0207</v>
      </c>
      <c r="S277" s="183">
        <v>0</v>
      </c>
      <c r="T277" s="184">
        <f t="shared" si="3"/>
        <v>0</v>
      </c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R277" s="185" t="s">
        <v>187</v>
      </c>
      <c r="AT277" s="185" t="s">
        <v>251</v>
      </c>
      <c r="AU277" s="185" t="s">
        <v>87</v>
      </c>
      <c r="AY277" s="83" t="s">
        <v>139</v>
      </c>
      <c r="BE277" s="186">
        <f t="shared" si="4"/>
        <v>0</v>
      </c>
      <c r="BF277" s="186">
        <f t="shared" si="5"/>
        <v>0</v>
      </c>
      <c r="BG277" s="186">
        <f t="shared" si="6"/>
        <v>0</v>
      </c>
      <c r="BH277" s="186">
        <f t="shared" si="7"/>
        <v>0</v>
      </c>
      <c r="BI277" s="186">
        <f t="shared" si="8"/>
        <v>0</v>
      </c>
      <c r="BJ277" s="83" t="s">
        <v>85</v>
      </c>
      <c r="BK277" s="186">
        <f t="shared" si="9"/>
        <v>0</v>
      </c>
      <c r="BL277" s="83" t="s">
        <v>146</v>
      </c>
      <c r="BM277" s="185" t="s">
        <v>1380</v>
      </c>
    </row>
    <row r="278" spans="2:51" s="187" customFormat="1" ht="12">
      <c r="B278" s="188"/>
      <c r="D278" s="189" t="s">
        <v>148</v>
      </c>
      <c r="E278" s="190" t="s">
        <v>1</v>
      </c>
      <c r="F278" s="191" t="s">
        <v>1381</v>
      </c>
      <c r="H278" s="192">
        <v>3</v>
      </c>
      <c r="I278" s="233"/>
      <c r="L278" s="188"/>
      <c r="M278" s="193"/>
      <c r="N278" s="194"/>
      <c r="O278" s="194"/>
      <c r="P278" s="194"/>
      <c r="Q278" s="194"/>
      <c r="R278" s="194"/>
      <c r="S278" s="194"/>
      <c r="T278" s="195"/>
      <c r="AT278" s="190" t="s">
        <v>148</v>
      </c>
      <c r="AU278" s="190" t="s">
        <v>87</v>
      </c>
      <c r="AV278" s="187" t="s">
        <v>87</v>
      </c>
      <c r="AW278" s="187" t="s">
        <v>34</v>
      </c>
      <c r="AX278" s="187" t="s">
        <v>85</v>
      </c>
      <c r="AY278" s="190" t="s">
        <v>139</v>
      </c>
    </row>
    <row r="279" spans="1:65" s="95" customFormat="1" ht="49.15" customHeight="1">
      <c r="A279" s="93"/>
      <c r="B279" s="92"/>
      <c r="C279" s="175" t="s">
        <v>352</v>
      </c>
      <c r="D279" s="175" t="s">
        <v>141</v>
      </c>
      <c r="E279" s="176" t="s">
        <v>401</v>
      </c>
      <c r="F279" s="177" t="s">
        <v>402</v>
      </c>
      <c r="G279" s="178" t="s">
        <v>297</v>
      </c>
      <c r="H279" s="179">
        <v>3</v>
      </c>
      <c r="I279" s="69"/>
      <c r="J279" s="180">
        <f aca="true" t="shared" si="10" ref="J279:J291">ROUND(I279*H279,2)</f>
        <v>0</v>
      </c>
      <c r="K279" s="177" t="s">
        <v>967</v>
      </c>
      <c r="L279" s="92"/>
      <c r="M279" s="181" t="s">
        <v>1</v>
      </c>
      <c r="N279" s="182" t="s">
        <v>44</v>
      </c>
      <c r="O279" s="183">
        <v>0.583</v>
      </c>
      <c r="P279" s="183">
        <f aca="true" t="shared" si="11" ref="P279:P291">O279*H279</f>
        <v>1.7489999999999999</v>
      </c>
      <c r="Q279" s="183">
        <v>0.0001</v>
      </c>
      <c r="R279" s="183">
        <f aca="true" t="shared" si="12" ref="R279:R291">Q279*H279</f>
        <v>0.00030000000000000003</v>
      </c>
      <c r="S279" s="183">
        <v>0</v>
      </c>
      <c r="T279" s="184">
        <f aca="true" t="shared" si="13" ref="T279:T291">S279*H279</f>
        <v>0</v>
      </c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R279" s="185" t="s">
        <v>146</v>
      </c>
      <c r="AT279" s="185" t="s">
        <v>141</v>
      </c>
      <c r="AU279" s="185" t="s">
        <v>87</v>
      </c>
      <c r="AY279" s="83" t="s">
        <v>139</v>
      </c>
      <c r="BE279" s="186">
        <f aca="true" t="shared" si="14" ref="BE279:BE291">IF(N279="základní",J279,0)</f>
        <v>0</v>
      </c>
      <c r="BF279" s="186">
        <f aca="true" t="shared" si="15" ref="BF279:BF291">IF(N279="snížená",J279,0)</f>
        <v>0</v>
      </c>
      <c r="BG279" s="186">
        <f aca="true" t="shared" si="16" ref="BG279:BG291">IF(N279="zákl. přenesená",J279,0)</f>
        <v>0</v>
      </c>
      <c r="BH279" s="186">
        <f aca="true" t="shared" si="17" ref="BH279:BH291">IF(N279="sníž. přenesená",J279,0)</f>
        <v>0</v>
      </c>
      <c r="BI279" s="186">
        <f aca="true" t="shared" si="18" ref="BI279:BI291">IF(N279="nulová",J279,0)</f>
        <v>0</v>
      </c>
      <c r="BJ279" s="83" t="s">
        <v>85</v>
      </c>
      <c r="BK279" s="186">
        <f aca="true" t="shared" si="19" ref="BK279:BK291">ROUND(I279*H279,2)</f>
        <v>0</v>
      </c>
      <c r="BL279" s="83" t="s">
        <v>146</v>
      </c>
      <c r="BM279" s="185" t="s">
        <v>1382</v>
      </c>
    </row>
    <row r="280" spans="1:65" s="95" customFormat="1" ht="24.2" customHeight="1">
      <c r="A280" s="93"/>
      <c r="B280" s="92"/>
      <c r="C280" s="217" t="s">
        <v>357</v>
      </c>
      <c r="D280" s="217" t="s">
        <v>251</v>
      </c>
      <c r="E280" s="218" t="s">
        <v>405</v>
      </c>
      <c r="F280" s="219" t="s">
        <v>406</v>
      </c>
      <c r="G280" s="220" t="s">
        <v>297</v>
      </c>
      <c r="H280" s="221">
        <v>3</v>
      </c>
      <c r="I280" s="70"/>
      <c r="J280" s="222">
        <f t="shared" si="10"/>
        <v>0</v>
      </c>
      <c r="K280" s="219" t="s">
        <v>967</v>
      </c>
      <c r="L280" s="223"/>
      <c r="M280" s="224" t="s">
        <v>1</v>
      </c>
      <c r="N280" s="225" t="s">
        <v>44</v>
      </c>
      <c r="O280" s="183">
        <v>0</v>
      </c>
      <c r="P280" s="183">
        <f t="shared" si="11"/>
        <v>0</v>
      </c>
      <c r="Q280" s="183">
        <v>0.0055</v>
      </c>
      <c r="R280" s="183">
        <f t="shared" si="12"/>
        <v>0.0165</v>
      </c>
      <c r="S280" s="183">
        <v>0</v>
      </c>
      <c r="T280" s="184">
        <f t="shared" si="13"/>
        <v>0</v>
      </c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R280" s="185" t="s">
        <v>187</v>
      </c>
      <c r="AT280" s="185" t="s">
        <v>251</v>
      </c>
      <c r="AU280" s="185" t="s">
        <v>87</v>
      </c>
      <c r="AY280" s="83" t="s">
        <v>139</v>
      </c>
      <c r="BE280" s="186">
        <f t="shared" si="14"/>
        <v>0</v>
      </c>
      <c r="BF280" s="186">
        <f t="shared" si="15"/>
        <v>0</v>
      </c>
      <c r="BG280" s="186">
        <f t="shared" si="16"/>
        <v>0</v>
      </c>
      <c r="BH280" s="186">
        <f t="shared" si="17"/>
        <v>0</v>
      </c>
      <c r="BI280" s="186">
        <f t="shared" si="18"/>
        <v>0</v>
      </c>
      <c r="BJ280" s="83" t="s">
        <v>85</v>
      </c>
      <c r="BK280" s="186">
        <f t="shared" si="19"/>
        <v>0</v>
      </c>
      <c r="BL280" s="83" t="s">
        <v>146</v>
      </c>
      <c r="BM280" s="185" t="s">
        <v>1383</v>
      </c>
    </row>
    <row r="281" spans="1:65" s="95" customFormat="1" ht="49.15" customHeight="1">
      <c r="A281" s="93"/>
      <c r="B281" s="92"/>
      <c r="C281" s="175" t="s">
        <v>362</v>
      </c>
      <c r="D281" s="175" t="s">
        <v>141</v>
      </c>
      <c r="E281" s="176" t="s">
        <v>1384</v>
      </c>
      <c r="F281" s="177" t="s">
        <v>1385</v>
      </c>
      <c r="G281" s="178" t="s">
        <v>297</v>
      </c>
      <c r="H281" s="179">
        <v>1</v>
      </c>
      <c r="I281" s="69"/>
      <c r="J281" s="180">
        <f t="shared" si="10"/>
        <v>0</v>
      </c>
      <c r="K281" s="177" t="s">
        <v>967</v>
      </c>
      <c r="L281" s="92"/>
      <c r="M281" s="181" t="s">
        <v>1</v>
      </c>
      <c r="N281" s="182" t="s">
        <v>44</v>
      </c>
      <c r="O281" s="183">
        <v>1.592</v>
      </c>
      <c r="P281" s="183">
        <f t="shared" si="11"/>
        <v>1.592</v>
      </c>
      <c r="Q281" s="183">
        <v>0</v>
      </c>
      <c r="R281" s="183">
        <f t="shared" si="12"/>
        <v>0</v>
      </c>
      <c r="S281" s="183">
        <v>0</v>
      </c>
      <c r="T281" s="184">
        <f t="shared" si="13"/>
        <v>0</v>
      </c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R281" s="185" t="s">
        <v>146</v>
      </c>
      <c r="AT281" s="185" t="s">
        <v>141</v>
      </c>
      <c r="AU281" s="185" t="s">
        <v>87</v>
      </c>
      <c r="AY281" s="83" t="s">
        <v>139</v>
      </c>
      <c r="BE281" s="186">
        <f t="shared" si="14"/>
        <v>0</v>
      </c>
      <c r="BF281" s="186">
        <f t="shared" si="15"/>
        <v>0</v>
      </c>
      <c r="BG281" s="186">
        <f t="shared" si="16"/>
        <v>0</v>
      </c>
      <c r="BH281" s="186">
        <f t="shared" si="17"/>
        <v>0</v>
      </c>
      <c r="BI281" s="186">
        <f t="shared" si="18"/>
        <v>0</v>
      </c>
      <c r="BJ281" s="83" t="s">
        <v>85</v>
      </c>
      <c r="BK281" s="186">
        <f t="shared" si="19"/>
        <v>0</v>
      </c>
      <c r="BL281" s="83" t="s">
        <v>146</v>
      </c>
      <c r="BM281" s="185" t="s">
        <v>1386</v>
      </c>
    </row>
    <row r="282" spans="1:65" s="95" customFormat="1" ht="24.2" customHeight="1">
      <c r="A282" s="93"/>
      <c r="B282" s="92"/>
      <c r="C282" s="217" t="s">
        <v>367</v>
      </c>
      <c r="D282" s="217" t="s">
        <v>251</v>
      </c>
      <c r="E282" s="218" t="s">
        <v>1387</v>
      </c>
      <c r="F282" s="219" t="s">
        <v>1388</v>
      </c>
      <c r="G282" s="220" t="s">
        <v>297</v>
      </c>
      <c r="H282" s="221">
        <v>1</v>
      </c>
      <c r="I282" s="70"/>
      <c r="J282" s="222">
        <f t="shared" si="10"/>
        <v>0</v>
      </c>
      <c r="K282" s="219" t="s">
        <v>967</v>
      </c>
      <c r="L282" s="223"/>
      <c r="M282" s="224" t="s">
        <v>1</v>
      </c>
      <c r="N282" s="225" t="s">
        <v>44</v>
      </c>
      <c r="O282" s="183">
        <v>0</v>
      </c>
      <c r="P282" s="183">
        <f t="shared" si="11"/>
        <v>0</v>
      </c>
      <c r="Q282" s="183">
        <v>0.0092</v>
      </c>
      <c r="R282" s="183">
        <f t="shared" si="12"/>
        <v>0.0092</v>
      </c>
      <c r="S282" s="183">
        <v>0</v>
      </c>
      <c r="T282" s="184">
        <f t="shared" si="13"/>
        <v>0</v>
      </c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R282" s="185" t="s">
        <v>187</v>
      </c>
      <c r="AT282" s="185" t="s">
        <v>251</v>
      </c>
      <c r="AU282" s="185" t="s">
        <v>87</v>
      </c>
      <c r="AY282" s="83" t="s">
        <v>139</v>
      </c>
      <c r="BE282" s="186">
        <f t="shared" si="14"/>
        <v>0</v>
      </c>
      <c r="BF282" s="186">
        <f t="shared" si="15"/>
        <v>0</v>
      </c>
      <c r="BG282" s="186">
        <f t="shared" si="16"/>
        <v>0</v>
      </c>
      <c r="BH282" s="186">
        <f t="shared" si="17"/>
        <v>0</v>
      </c>
      <c r="BI282" s="186">
        <f t="shared" si="18"/>
        <v>0</v>
      </c>
      <c r="BJ282" s="83" t="s">
        <v>85</v>
      </c>
      <c r="BK282" s="186">
        <f t="shared" si="19"/>
        <v>0</v>
      </c>
      <c r="BL282" s="83" t="s">
        <v>146</v>
      </c>
      <c r="BM282" s="185" t="s">
        <v>1389</v>
      </c>
    </row>
    <row r="283" spans="1:65" s="95" customFormat="1" ht="49.15" customHeight="1">
      <c r="A283" s="93"/>
      <c r="B283" s="92"/>
      <c r="C283" s="175" t="s">
        <v>371</v>
      </c>
      <c r="D283" s="175" t="s">
        <v>141</v>
      </c>
      <c r="E283" s="176" t="s">
        <v>1390</v>
      </c>
      <c r="F283" s="177" t="s">
        <v>1391</v>
      </c>
      <c r="G283" s="178" t="s">
        <v>297</v>
      </c>
      <c r="H283" s="179">
        <v>2</v>
      </c>
      <c r="I283" s="69"/>
      <c r="J283" s="180">
        <f t="shared" si="10"/>
        <v>0</v>
      </c>
      <c r="K283" s="177" t="s">
        <v>967</v>
      </c>
      <c r="L283" s="92"/>
      <c r="M283" s="181" t="s">
        <v>1</v>
      </c>
      <c r="N283" s="182" t="s">
        <v>44</v>
      </c>
      <c r="O283" s="183">
        <v>0.625</v>
      </c>
      <c r="P283" s="183">
        <f t="shared" si="11"/>
        <v>1.25</v>
      </c>
      <c r="Q283" s="183">
        <v>0.0001</v>
      </c>
      <c r="R283" s="183">
        <f t="shared" si="12"/>
        <v>0.0002</v>
      </c>
      <c r="S283" s="183">
        <v>0</v>
      </c>
      <c r="T283" s="184">
        <f t="shared" si="13"/>
        <v>0</v>
      </c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R283" s="185" t="s">
        <v>146</v>
      </c>
      <c r="AT283" s="185" t="s">
        <v>141</v>
      </c>
      <c r="AU283" s="185" t="s">
        <v>87</v>
      </c>
      <c r="AY283" s="83" t="s">
        <v>139</v>
      </c>
      <c r="BE283" s="186">
        <f t="shared" si="14"/>
        <v>0</v>
      </c>
      <c r="BF283" s="186">
        <f t="shared" si="15"/>
        <v>0</v>
      </c>
      <c r="BG283" s="186">
        <f t="shared" si="16"/>
        <v>0</v>
      </c>
      <c r="BH283" s="186">
        <f t="shared" si="17"/>
        <v>0</v>
      </c>
      <c r="BI283" s="186">
        <f t="shared" si="18"/>
        <v>0</v>
      </c>
      <c r="BJ283" s="83" t="s">
        <v>85</v>
      </c>
      <c r="BK283" s="186">
        <f t="shared" si="19"/>
        <v>0</v>
      </c>
      <c r="BL283" s="83" t="s">
        <v>146</v>
      </c>
      <c r="BM283" s="185" t="s">
        <v>1392</v>
      </c>
    </row>
    <row r="284" spans="1:65" s="95" customFormat="1" ht="24.2" customHeight="1">
      <c r="A284" s="93"/>
      <c r="B284" s="92"/>
      <c r="C284" s="217" t="s">
        <v>375</v>
      </c>
      <c r="D284" s="217" t="s">
        <v>251</v>
      </c>
      <c r="E284" s="218" t="s">
        <v>1393</v>
      </c>
      <c r="F284" s="219" t="s">
        <v>1394</v>
      </c>
      <c r="G284" s="220" t="s">
        <v>297</v>
      </c>
      <c r="H284" s="221">
        <v>2</v>
      </c>
      <c r="I284" s="70"/>
      <c r="J284" s="222">
        <f t="shared" si="10"/>
        <v>0</v>
      </c>
      <c r="K284" s="219" t="s">
        <v>967</v>
      </c>
      <c r="L284" s="223"/>
      <c r="M284" s="224" t="s">
        <v>1</v>
      </c>
      <c r="N284" s="225" t="s">
        <v>44</v>
      </c>
      <c r="O284" s="183">
        <v>0</v>
      </c>
      <c r="P284" s="183">
        <f t="shared" si="11"/>
        <v>0</v>
      </c>
      <c r="Q284" s="183">
        <v>0.0067</v>
      </c>
      <c r="R284" s="183">
        <f t="shared" si="12"/>
        <v>0.0134</v>
      </c>
      <c r="S284" s="183">
        <v>0</v>
      </c>
      <c r="T284" s="184">
        <f t="shared" si="13"/>
        <v>0</v>
      </c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R284" s="185" t="s">
        <v>187</v>
      </c>
      <c r="AT284" s="185" t="s">
        <v>251</v>
      </c>
      <c r="AU284" s="185" t="s">
        <v>87</v>
      </c>
      <c r="AY284" s="83" t="s">
        <v>139</v>
      </c>
      <c r="BE284" s="186">
        <f t="shared" si="14"/>
        <v>0</v>
      </c>
      <c r="BF284" s="186">
        <f t="shared" si="15"/>
        <v>0</v>
      </c>
      <c r="BG284" s="186">
        <f t="shared" si="16"/>
        <v>0</v>
      </c>
      <c r="BH284" s="186">
        <f t="shared" si="17"/>
        <v>0</v>
      </c>
      <c r="BI284" s="186">
        <f t="shared" si="18"/>
        <v>0</v>
      </c>
      <c r="BJ284" s="83" t="s">
        <v>85</v>
      </c>
      <c r="BK284" s="186">
        <f t="shared" si="19"/>
        <v>0</v>
      </c>
      <c r="BL284" s="83" t="s">
        <v>146</v>
      </c>
      <c r="BM284" s="185" t="s">
        <v>1395</v>
      </c>
    </row>
    <row r="285" spans="1:65" s="95" customFormat="1" ht="37.9" customHeight="1">
      <c r="A285" s="93"/>
      <c r="B285" s="92"/>
      <c r="C285" s="175" t="s">
        <v>379</v>
      </c>
      <c r="D285" s="175" t="s">
        <v>141</v>
      </c>
      <c r="E285" s="176" t="s">
        <v>876</v>
      </c>
      <c r="F285" s="177" t="s">
        <v>877</v>
      </c>
      <c r="G285" s="178" t="s">
        <v>297</v>
      </c>
      <c r="H285" s="179">
        <v>2</v>
      </c>
      <c r="I285" s="69"/>
      <c r="J285" s="180">
        <f t="shared" si="10"/>
        <v>0</v>
      </c>
      <c r="K285" s="177" t="s">
        <v>967</v>
      </c>
      <c r="L285" s="92"/>
      <c r="M285" s="181" t="s">
        <v>1</v>
      </c>
      <c r="N285" s="182" t="s">
        <v>44</v>
      </c>
      <c r="O285" s="183">
        <v>0.856</v>
      </c>
      <c r="P285" s="183">
        <f t="shared" si="11"/>
        <v>1.712</v>
      </c>
      <c r="Q285" s="183">
        <v>0.00167</v>
      </c>
      <c r="R285" s="183">
        <f t="shared" si="12"/>
        <v>0.00334</v>
      </c>
      <c r="S285" s="183">
        <v>0</v>
      </c>
      <c r="T285" s="184">
        <f t="shared" si="13"/>
        <v>0</v>
      </c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R285" s="185" t="s">
        <v>146</v>
      </c>
      <c r="AT285" s="185" t="s">
        <v>141</v>
      </c>
      <c r="AU285" s="185" t="s">
        <v>87</v>
      </c>
      <c r="AY285" s="83" t="s">
        <v>139</v>
      </c>
      <c r="BE285" s="186">
        <f t="shared" si="14"/>
        <v>0</v>
      </c>
      <c r="BF285" s="186">
        <f t="shared" si="15"/>
        <v>0</v>
      </c>
      <c r="BG285" s="186">
        <f t="shared" si="16"/>
        <v>0</v>
      </c>
      <c r="BH285" s="186">
        <f t="shared" si="17"/>
        <v>0</v>
      </c>
      <c r="BI285" s="186">
        <f t="shared" si="18"/>
        <v>0</v>
      </c>
      <c r="BJ285" s="83" t="s">
        <v>85</v>
      </c>
      <c r="BK285" s="186">
        <f t="shared" si="19"/>
        <v>0</v>
      </c>
      <c r="BL285" s="83" t="s">
        <v>146</v>
      </c>
      <c r="BM285" s="185" t="s">
        <v>1396</v>
      </c>
    </row>
    <row r="286" spans="1:65" s="95" customFormat="1" ht="14.45" customHeight="1">
      <c r="A286" s="93"/>
      <c r="B286" s="92"/>
      <c r="C286" s="217" t="s">
        <v>384</v>
      </c>
      <c r="D286" s="217" t="s">
        <v>251</v>
      </c>
      <c r="E286" s="218" t="s">
        <v>1397</v>
      </c>
      <c r="F286" s="219" t="s">
        <v>1398</v>
      </c>
      <c r="G286" s="220" t="s">
        <v>297</v>
      </c>
      <c r="H286" s="221">
        <v>1</v>
      </c>
      <c r="I286" s="70"/>
      <c r="J286" s="222">
        <f t="shared" si="10"/>
        <v>0</v>
      </c>
      <c r="K286" s="219" t="s">
        <v>1</v>
      </c>
      <c r="L286" s="223"/>
      <c r="M286" s="224" t="s">
        <v>1</v>
      </c>
      <c r="N286" s="225" t="s">
        <v>44</v>
      </c>
      <c r="O286" s="183">
        <v>0</v>
      </c>
      <c r="P286" s="183">
        <f t="shared" si="11"/>
        <v>0</v>
      </c>
      <c r="Q286" s="183">
        <v>0.0095</v>
      </c>
      <c r="R286" s="183">
        <f t="shared" si="12"/>
        <v>0.0095</v>
      </c>
      <c r="S286" s="183">
        <v>0</v>
      </c>
      <c r="T286" s="184">
        <f t="shared" si="13"/>
        <v>0</v>
      </c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R286" s="185" t="s">
        <v>187</v>
      </c>
      <c r="AT286" s="185" t="s">
        <v>251</v>
      </c>
      <c r="AU286" s="185" t="s">
        <v>87</v>
      </c>
      <c r="AY286" s="83" t="s">
        <v>139</v>
      </c>
      <c r="BE286" s="186">
        <f t="shared" si="14"/>
        <v>0</v>
      </c>
      <c r="BF286" s="186">
        <f t="shared" si="15"/>
        <v>0</v>
      </c>
      <c r="BG286" s="186">
        <f t="shared" si="16"/>
        <v>0</v>
      </c>
      <c r="BH286" s="186">
        <f t="shared" si="17"/>
        <v>0</v>
      </c>
      <c r="BI286" s="186">
        <f t="shared" si="18"/>
        <v>0</v>
      </c>
      <c r="BJ286" s="83" t="s">
        <v>85</v>
      </c>
      <c r="BK286" s="186">
        <f t="shared" si="19"/>
        <v>0</v>
      </c>
      <c r="BL286" s="83" t="s">
        <v>146</v>
      </c>
      <c r="BM286" s="185" t="s">
        <v>1399</v>
      </c>
    </row>
    <row r="287" spans="1:65" s="95" customFormat="1" ht="49.15" customHeight="1">
      <c r="A287" s="93"/>
      <c r="B287" s="92"/>
      <c r="C287" s="175" t="s">
        <v>392</v>
      </c>
      <c r="D287" s="175" t="s">
        <v>141</v>
      </c>
      <c r="E287" s="176" t="s">
        <v>1400</v>
      </c>
      <c r="F287" s="177" t="s">
        <v>1401</v>
      </c>
      <c r="G287" s="178" t="s">
        <v>297</v>
      </c>
      <c r="H287" s="179">
        <v>1</v>
      </c>
      <c r="I287" s="69"/>
      <c r="J287" s="180">
        <f t="shared" si="10"/>
        <v>0</v>
      </c>
      <c r="K287" s="177" t="s">
        <v>967</v>
      </c>
      <c r="L287" s="92"/>
      <c r="M287" s="181" t="s">
        <v>1</v>
      </c>
      <c r="N287" s="182" t="s">
        <v>44</v>
      </c>
      <c r="O287" s="183">
        <v>0.833</v>
      </c>
      <c r="P287" s="183">
        <f t="shared" si="11"/>
        <v>0.833</v>
      </c>
      <c r="Q287" s="183">
        <v>0.00021</v>
      </c>
      <c r="R287" s="183">
        <f t="shared" si="12"/>
        <v>0.00021</v>
      </c>
      <c r="S287" s="183">
        <v>0</v>
      </c>
      <c r="T287" s="184">
        <f t="shared" si="13"/>
        <v>0</v>
      </c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R287" s="185" t="s">
        <v>146</v>
      </c>
      <c r="AT287" s="185" t="s">
        <v>141</v>
      </c>
      <c r="AU287" s="185" t="s">
        <v>87</v>
      </c>
      <c r="AY287" s="83" t="s">
        <v>139</v>
      </c>
      <c r="BE287" s="186">
        <f t="shared" si="14"/>
        <v>0</v>
      </c>
      <c r="BF287" s="186">
        <f t="shared" si="15"/>
        <v>0</v>
      </c>
      <c r="BG287" s="186">
        <f t="shared" si="16"/>
        <v>0</v>
      </c>
      <c r="BH287" s="186">
        <f t="shared" si="17"/>
        <v>0</v>
      </c>
      <c r="BI287" s="186">
        <f t="shared" si="18"/>
        <v>0</v>
      </c>
      <c r="BJ287" s="83" t="s">
        <v>85</v>
      </c>
      <c r="BK287" s="186">
        <f t="shared" si="19"/>
        <v>0</v>
      </c>
      <c r="BL287" s="83" t="s">
        <v>146</v>
      </c>
      <c r="BM287" s="185" t="s">
        <v>1402</v>
      </c>
    </row>
    <row r="288" spans="1:65" s="95" customFormat="1" ht="24.2" customHeight="1">
      <c r="A288" s="93"/>
      <c r="B288" s="92"/>
      <c r="C288" s="217" t="s">
        <v>396</v>
      </c>
      <c r="D288" s="217" t="s">
        <v>251</v>
      </c>
      <c r="E288" s="218" t="s">
        <v>1403</v>
      </c>
      <c r="F288" s="219" t="s">
        <v>1404</v>
      </c>
      <c r="G288" s="220" t="s">
        <v>297</v>
      </c>
      <c r="H288" s="221">
        <v>1</v>
      </c>
      <c r="I288" s="70"/>
      <c r="J288" s="222">
        <f t="shared" si="10"/>
        <v>0</v>
      </c>
      <c r="K288" s="219" t="s">
        <v>967</v>
      </c>
      <c r="L288" s="223"/>
      <c r="M288" s="224" t="s">
        <v>1</v>
      </c>
      <c r="N288" s="225" t="s">
        <v>44</v>
      </c>
      <c r="O288" s="183">
        <v>0</v>
      </c>
      <c r="P288" s="183">
        <f t="shared" si="11"/>
        <v>0</v>
      </c>
      <c r="Q288" s="183">
        <v>0.011</v>
      </c>
      <c r="R288" s="183">
        <f t="shared" si="12"/>
        <v>0.011</v>
      </c>
      <c r="S288" s="183">
        <v>0</v>
      </c>
      <c r="T288" s="184">
        <f t="shared" si="13"/>
        <v>0</v>
      </c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R288" s="185" t="s">
        <v>187</v>
      </c>
      <c r="AT288" s="185" t="s">
        <v>251</v>
      </c>
      <c r="AU288" s="185" t="s">
        <v>87</v>
      </c>
      <c r="AY288" s="83" t="s">
        <v>139</v>
      </c>
      <c r="BE288" s="186">
        <f t="shared" si="14"/>
        <v>0</v>
      </c>
      <c r="BF288" s="186">
        <f t="shared" si="15"/>
        <v>0</v>
      </c>
      <c r="BG288" s="186">
        <f t="shared" si="16"/>
        <v>0</v>
      </c>
      <c r="BH288" s="186">
        <f t="shared" si="17"/>
        <v>0</v>
      </c>
      <c r="BI288" s="186">
        <f t="shared" si="18"/>
        <v>0</v>
      </c>
      <c r="BJ288" s="83" t="s">
        <v>85</v>
      </c>
      <c r="BK288" s="186">
        <f t="shared" si="19"/>
        <v>0</v>
      </c>
      <c r="BL288" s="83" t="s">
        <v>146</v>
      </c>
      <c r="BM288" s="185" t="s">
        <v>1405</v>
      </c>
    </row>
    <row r="289" spans="1:65" s="95" customFormat="1" ht="37.9" customHeight="1">
      <c r="A289" s="93"/>
      <c r="B289" s="92"/>
      <c r="C289" s="175" t="s">
        <v>400</v>
      </c>
      <c r="D289" s="175" t="s">
        <v>141</v>
      </c>
      <c r="E289" s="176" t="s">
        <v>417</v>
      </c>
      <c r="F289" s="177" t="s">
        <v>418</v>
      </c>
      <c r="G289" s="178" t="s">
        <v>171</v>
      </c>
      <c r="H289" s="179">
        <v>27.9</v>
      </c>
      <c r="I289" s="69"/>
      <c r="J289" s="180">
        <f t="shared" si="10"/>
        <v>0</v>
      </c>
      <c r="K289" s="177" t="s">
        <v>967</v>
      </c>
      <c r="L289" s="92"/>
      <c r="M289" s="181" t="s">
        <v>1</v>
      </c>
      <c r="N289" s="182" t="s">
        <v>44</v>
      </c>
      <c r="O289" s="183">
        <v>0.171</v>
      </c>
      <c r="P289" s="183">
        <f t="shared" si="11"/>
        <v>4.7709</v>
      </c>
      <c r="Q289" s="183">
        <v>0</v>
      </c>
      <c r="R289" s="183">
        <f t="shared" si="12"/>
        <v>0</v>
      </c>
      <c r="S289" s="183">
        <v>0</v>
      </c>
      <c r="T289" s="184">
        <f t="shared" si="13"/>
        <v>0</v>
      </c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R289" s="185" t="s">
        <v>146</v>
      </c>
      <c r="AT289" s="185" t="s">
        <v>141</v>
      </c>
      <c r="AU289" s="185" t="s">
        <v>87</v>
      </c>
      <c r="AY289" s="83" t="s">
        <v>139</v>
      </c>
      <c r="BE289" s="186">
        <f t="shared" si="14"/>
        <v>0</v>
      </c>
      <c r="BF289" s="186">
        <f t="shared" si="15"/>
        <v>0</v>
      </c>
      <c r="BG289" s="186">
        <f t="shared" si="16"/>
        <v>0</v>
      </c>
      <c r="BH289" s="186">
        <f t="shared" si="17"/>
        <v>0</v>
      </c>
      <c r="BI289" s="186">
        <f t="shared" si="18"/>
        <v>0</v>
      </c>
      <c r="BJ289" s="83" t="s">
        <v>85</v>
      </c>
      <c r="BK289" s="186">
        <f t="shared" si="19"/>
        <v>0</v>
      </c>
      <c r="BL289" s="83" t="s">
        <v>146</v>
      </c>
      <c r="BM289" s="185" t="s">
        <v>1406</v>
      </c>
    </row>
    <row r="290" spans="1:65" s="95" customFormat="1" ht="24.2" customHeight="1">
      <c r="A290" s="93"/>
      <c r="B290" s="92"/>
      <c r="C290" s="217" t="s">
        <v>404</v>
      </c>
      <c r="D290" s="217" t="s">
        <v>251</v>
      </c>
      <c r="E290" s="218" t="s">
        <v>1407</v>
      </c>
      <c r="F290" s="219" t="s">
        <v>1408</v>
      </c>
      <c r="G290" s="220" t="s">
        <v>171</v>
      </c>
      <c r="H290" s="221">
        <v>27.9</v>
      </c>
      <c r="I290" s="70"/>
      <c r="J290" s="222">
        <f t="shared" si="10"/>
        <v>0</v>
      </c>
      <c r="K290" s="219" t="s">
        <v>967</v>
      </c>
      <c r="L290" s="223"/>
      <c r="M290" s="224" t="s">
        <v>1</v>
      </c>
      <c r="N290" s="225" t="s">
        <v>44</v>
      </c>
      <c r="O290" s="183">
        <v>0</v>
      </c>
      <c r="P290" s="183">
        <f t="shared" si="11"/>
        <v>0</v>
      </c>
      <c r="Q290" s="183">
        <v>0.00028</v>
      </c>
      <c r="R290" s="183">
        <f t="shared" si="12"/>
        <v>0.007811999999999999</v>
      </c>
      <c r="S290" s="183">
        <v>0</v>
      </c>
      <c r="T290" s="184">
        <f t="shared" si="13"/>
        <v>0</v>
      </c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R290" s="185" t="s">
        <v>187</v>
      </c>
      <c r="AT290" s="185" t="s">
        <v>251</v>
      </c>
      <c r="AU290" s="185" t="s">
        <v>87</v>
      </c>
      <c r="AY290" s="83" t="s">
        <v>139</v>
      </c>
      <c r="BE290" s="186">
        <f t="shared" si="14"/>
        <v>0</v>
      </c>
      <c r="BF290" s="186">
        <f t="shared" si="15"/>
        <v>0</v>
      </c>
      <c r="BG290" s="186">
        <f t="shared" si="16"/>
        <v>0</v>
      </c>
      <c r="BH290" s="186">
        <f t="shared" si="17"/>
        <v>0</v>
      </c>
      <c r="BI290" s="186">
        <f t="shared" si="18"/>
        <v>0</v>
      </c>
      <c r="BJ290" s="83" t="s">
        <v>85</v>
      </c>
      <c r="BK290" s="186">
        <f t="shared" si="19"/>
        <v>0</v>
      </c>
      <c r="BL290" s="83" t="s">
        <v>146</v>
      </c>
      <c r="BM290" s="185" t="s">
        <v>1409</v>
      </c>
    </row>
    <row r="291" spans="1:65" s="95" customFormat="1" ht="37.9" customHeight="1">
      <c r="A291" s="93"/>
      <c r="B291" s="92"/>
      <c r="C291" s="175" t="s">
        <v>408</v>
      </c>
      <c r="D291" s="175" t="s">
        <v>141</v>
      </c>
      <c r="E291" s="176" t="s">
        <v>426</v>
      </c>
      <c r="F291" s="177" t="s">
        <v>427</v>
      </c>
      <c r="G291" s="178" t="s">
        <v>171</v>
      </c>
      <c r="H291" s="179">
        <v>12</v>
      </c>
      <c r="I291" s="69"/>
      <c r="J291" s="180">
        <f t="shared" si="10"/>
        <v>0</v>
      </c>
      <c r="K291" s="177" t="s">
        <v>145</v>
      </c>
      <c r="L291" s="92"/>
      <c r="M291" s="181" t="s">
        <v>1</v>
      </c>
      <c r="N291" s="182" t="s">
        <v>44</v>
      </c>
      <c r="O291" s="183">
        <v>0.248</v>
      </c>
      <c r="P291" s="183">
        <f t="shared" si="11"/>
        <v>2.976</v>
      </c>
      <c r="Q291" s="183">
        <v>0</v>
      </c>
      <c r="R291" s="183">
        <f t="shared" si="12"/>
        <v>0</v>
      </c>
      <c r="S291" s="183">
        <v>0</v>
      </c>
      <c r="T291" s="184">
        <f t="shared" si="13"/>
        <v>0</v>
      </c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R291" s="185" t="s">
        <v>146</v>
      </c>
      <c r="AT291" s="185" t="s">
        <v>141</v>
      </c>
      <c r="AU291" s="185" t="s">
        <v>87</v>
      </c>
      <c r="AY291" s="83" t="s">
        <v>139</v>
      </c>
      <c r="BE291" s="186">
        <f t="shared" si="14"/>
        <v>0</v>
      </c>
      <c r="BF291" s="186">
        <f t="shared" si="15"/>
        <v>0</v>
      </c>
      <c r="BG291" s="186">
        <f t="shared" si="16"/>
        <v>0</v>
      </c>
      <c r="BH291" s="186">
        <f t="shared" si="17"/>
        <v>0</v>
      </c>
      <c r="BI291" s="186">
        <f t="shared" si="18"/>
        <v>0</v>
      </c>
      <c r="BJ291" s="83" t="s">
        <v>85</v>
      </c>
      <c r="BK291" s="186">
        <f t="shared" si="19"/>
        <v>0</v>
      </c>
      <c r="BL291" s="83" t="s">
        <v>146</v>
      </c>
      <c r="BM291" s="185" t="s">
        <v>1410</v>
      </c>
    </row>
    <row r="292" spans="2:51" s="201" customFormat="1" ht="12">
      <c r="B292" s="202"/>
      <c r="D292" s="189" t="s">
        <v>148</v>
      </c>
      <c r="E292" s="203" t="s">
        <v>1</v>
      </c>
      <c r="F292" s="204" t="s">
        <v>1411</v>
      </c>
      <c r="H292" s="203" t="s">
        <v>1</v>
      </c>
      <c r="I292" s="235"/>
      <c r="L292" s="202"/>
      <c r="M292" s="205"/>
      <c r="N292" s="206"/>
      <c r="O292" s="206"/>
      <c r="P292" s="206"/>
      <c r="Q292" s="206"/>
      <c r="R292" s="206"/>
      <c r="S292" s="206"/>
      <c r="T292" s="207"/>
      <c r="AT292" s="203" t="s">
        <v>148</v>
      </c>
      <c r="AU292" s="203" t="s">
        <v>87</v>
      </c>
      <c r="AV292" s="201" t="s">
        <v>85</v>
      </c>
      <c r="AW292" s="201" t="s">
        <v>34</v>
      </c>
      <c r="AX292" s="201" t="s">
        <v>78</v>
      </c>
      <c r="AY292" s="203" t="s">
        <v>139</v>
      </c>
    </row>
    <row r="293" spans="2:51" s="187" customFormat="1" ht="12">
      <c r="B293" s="188"/>
      <c r="D293" s="189" t="s">
        <v>148</v>
      </c>
      <c r="E293" s="190" t="s">
        <v>1</v>
      </c>
      <c r="F293" s="191" t="s">
        <v>1412</v>
      </c>
      <c r="H293" s="192">
        <v>12</v>
      </c>
      <c r="I293" s="233"/>
      <c r="L293" s="188"/>
      <c r="M293" s="193"/>
      <c r="N293" s="194"/>
      <c r="O293" s="194"/>
      <c r="P293" s="194"/>
      <c r="Q293" s="194"/>
      <c r="R293" s="194"/>
      <c r="S293" s="194"/>
      <c r="T293" s="195"/>
      <c r="AT293" s="190" t="s">
        <v>148</v>
      </c>
      <c r="AU293" s="190" t="s">
        <v>87</v>
      </c>
      <c r="AV293" s="187" t="s">
        <v>87</v>
      </c>
      <c r="AW293" s="187" t="s">
        <v>34</v>
      </c>
      <c r="AX293" s="187" t="s">
        <v>85</v>
      </c>
      <c r="AY293" s="190" t="s">
        <v>139</v>
      </c>
    </row>
    <row r="294" spans="1:65" s="95" customFormat="1" ht="24.2" customHeight="1">
      <c r="A294" s="93"/>
      <c r="B294" s="92"/>
      <c r="C294" s="217" t="s">
        <v>412</v>
      </c>
      <c r="D294" s="217" t="s">
        <v>251</v>
      </c>
      <c r="E294" s="218" t="s">
        <v>432</v>
      </c>
      <c r="F294" s="219" t="s">
        <v>433</v>
      </c>
      <c r="G294" s="220" t="s">
        <v>171</v>
      </c>
      <c r="H294" s="221">
        <v>12</v>
      </c>
      <c r="I294" s="70"/>
      <c r="J294" s="222">
        <f>ROUND(I294*H294,2)</f>
        <v>0</v>
      </c>
      <c r="K294" s="219" t="s">
        <v>145</v>
      </c>
      <c r="L294" s="223"/>
      <c r="M294" s="224" t="s">
        <v>1</v>
      </c>
      <c r="N294" s="225" t="s">
        <v>44</v>
      </c>
      <c r="O294" s="183">
        <v>0</v>
      </c>
      <c r="P294" s="183">
        <f>O294*H294</f>
        <v>0</v>
      </c>
      <c r="Q294" s="183">
        <v>0.0015</v>
      </c>
      <c r="R294" s="183">
        <f>Q294*H294</f>
        <v>0.018000000000000002</v>
      </c>
      <c r="S294" s="183">
        <v>0</v>
      </c>
      <c r="T294" s="184">
        <f>S294*H294</f>
        <v>0</v>
      </c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R294" s="185" t="s">
        <v>187</v>
      </c>
      <c r="AT294" s="185" t="s">
        <v>251</v>
      </c>
      <c r="AU294" s="185" t="s">
        <v>87</v>
      </c>
      <c r="AY294" s="83" t="s">
        <v>139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83" t="s">
        <v>85</v>
      </c>
      <c r="BK294" s="186">
        <f>ROUND(I294*H294,2)</f>
        <v>0</v>
      </c>
      <c r="BL294" s="83" t="s">
        <v>146</v>
      </c>
      <c r="BM294" s="185" t="s">
        <v>1413</v>
      </c>
    </row>
    <row r="295" spans="1:65" s="95" customFormat="1" ht="24.2" customHeight="1">
      <c r="A295" s="93"/>
      <c r="B295" s="92"/>
      <c r="C295" s="175" t="s">
        <v>416</v>
      </c>
      <c r="D295" s="175" t="s">
        <v>141</v>
      </c>
      <c r="E295" s="176" t="s">
        <v>443</v>
      </c>
      <c r="F295" s="177" t="s">
        <v>1414</v>
      </c>
      <c r="G295" s="178" t="s">
        <v>194</v>
      </c>
      <c r="H295" s="179">
        <v>1.8</v>
      </c>
      <c r="I295" s="69"/>
      <c r="J295" s="180">
        <f>ROUND(I295*H295,2)</f>
        <v>0</v>
      </c>
      <c r="K295" s="177" t="s">
        <v>967</v>
      </c>
      <c r="L295" s="92"/>
      <c r="M295" s="181" t="s">
        <v>1</v>
      </c>
      <c r="N295" s="182" t="s">
        <v>44</v>
      </c>
      <c r="O295" s="183">
        <v>3.81</v>
      </c>
      <c r="P295" s="183">
        <f>O295*H295</f>
        <v>6.8580000000000005</v>
      </c>
      <c r="Q295" s="183">
        <v>0</v>
      </c>
      <c r="R295" s="183">
        <f>Q295*H295</f>
        <v>0</v>
      </c>
      <c r="S295" s="183">
        <v>1.92</v>
      </c>
      <c r="T295" s="184">
        <f>S295*H295</f>
        <v>3.456</v>
      </c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R295" s="185" t="s">
        <v>146</v>
      </c>
      <c r="AT295" s="185" t="s">
        <v>141</v>
      </c>
      <c r="AU295" s="185" t="s">
        <v>87</v>
      </c>
      <c r="AY295" s="83" t="s">
        <v>139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83" t="s">
        <v>85</v>
      </c>
      <c r="BK295" s="186">
        <f>ROUND(I295*H295,2)</f>
        <v>0</v>
      </c>
      <c r="BL295" s="83" t="s">
        <v>146</v>
      </c>
      <c r="BM295" s="185" t="s">
        <v>1415</v>
      </c>
    </row>
    <row r="296" spans="1:47" s="95" customFormat="1" ht="19.5">
      <c r="A296" s="93"/>
      <c r="B296" s="92"/>
      <c r="C296" s="93"/>
      <c r="D296" s="189" t="s">
        <v>153</v>
      </c>
      <c r="E296" s="93"/>
      <c r="F296" s="196" t="s">
        <v>446</v>
      </c>
      <c r="G296" s="93"/>
      <c r="H296" s="93"/>
      <c r="I296" s="234"/>
      <c r="J296" s="93"/>
      <c r="K296" s="93"/>
      <c r="L296" s="92"/>
      <c r="M296" s="197"/>
      <c r="N296" s="198"/>
      <c r="O296" s="199"/>
      <c r="P296" s="199"/>
      <c r="Q296" s="199"/>
      <c r="R296" s="199"/>
      <c r="S296" s="199"/>
      <c r="T296" s="200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T296" s="83" t="s">
        <v>153</v>
      </c>
      <c r="AU296" s="83" t="s">
        <v>87</v>
      </c>
    </row>
    <row r="297" spans="2:51" s="201" customFormat="1" ht="12">
      <c r="B297" s="202"/>
      <c r="D297" s="189" t="s">
        <v>148</v>
      </c>
      <c r="E297" s="203" t="s">
        <v>1</v>
      </c>
      <c r="F297" s="204" t="s">
        <v>1416</v>
      </c>
      <c r="H297" s="203" t="s">
        <v>1</v>
      </c>
      <c r="I297" s="235"/>
      <c r="L297" s="202"/>
      <c r="M297" s="205"/>
      <c r="N297" s="206"/>
      <c r="O297" s="206"/>
      <c r="P297" s="206"/>
      <c r="Q297" s="206"/>
      <c r="R297" s="206"/>
      <c r="S297" s="206"/>
      <c r="T297" s="207"/>
      <c r="AT297" s="203" t="s">
        <v>148</v>
      </c>
      <c r="AU297" s="203" t="s">
        <v>87</v>
      </c>
      <c r="AV297" s="201" t="s">
        <v>85</v>
      </c>
      <c r="AW297" s="201" t="s">
        <v>34</v>
      </c>
      <c r="AX297" s="201" t="s">
        <v>78</v>
      </c>
      <c r="AY297" s="203" t="s">
        <v>139</v>
      </c>
    </row>
    <row r="298" spans="2:51" s="187" customFormat="1" ht="12">
      <c r="B298" s="188"/>
      <c r="D298" s="189" t="s">
        <v>148</v>
      </c>
      <c r="E298" s="190" t="s">
        <v>1</v>
      </c>
      <c r="F298" s="191" t="s">
        <v>1417</v>
      </c>
      <c r="H298" s="192">
        <v>1.8</v>
      </c>
      <c r="I298" s="233"/>
      <c r="L298" s="188"/>
      <c r="M298" s="193"/>
      <c r="N298" s="194"/>
      <c r="O298" s="194"/>
      <c r="P298" s="194"/>
      <c r="Q298" s="194"/>
      <c r="R298" s="194"/>
      <c r="S298" s="194"/>
      <c r="T298" s="195"/>
      <c r="AT298" s="190" t="s">
        <v>148</v>
      </c>
      <c r="AU298" s="190" t="s">
        <v>87</v>
      </c>
      <c r="AV298" s="187" t="s">
        <v>87</v>
      </c>
      <c r="AW298" s="187" t="s">
        <v>34</v>
      </c>
      <c r="AX298" s="187" t="s">
        <v>85</v>
      </c>
      <c r="AY298" s="190" t="s">
        <v>139</v>
      </c>
    </row>
    <row r="299" spans="1:65" s="95" customFormat="1" ht="24.2" customHeight="1">
      <c r="A299" s="93"/>
      <c r="B299" s="92"/>
      <c r="C299" s="175" t="s">
        <v>421</v>
      </c>
      <c r="D299" s="175" t="s">
        <v>141</v>
      </c>
      <c r="E299" s="176" t="s">
        <v>450</v>
      </c>
      <c r="F299" s="177" t="s">
        <v>451</v>
      </c>
      <c r="G299" s="178" t="s">
        <v>297</v>
      </c>
      <c r="H299" s="179">
        <v>12</v>
      </c>
      <c r="I299" s="69"/>
      <c r="J299" s="180">
        <f aca="true" t="shared" si="20" ref="J299:J318">ROUND(I299*H299,2)</f>
        <v>0</v>
      </c>
      <c r="K299" s="177" t="s">
        <v>967</v>
      </c>
      <c r="L299" s="92"/>
      <c r="M299" s="181" t="s">
        <v>1</v>
      </c>
      <c r="N299" s="182" t="s">
        <v>44</v>
      </c>
      <c r="O299" s="183">
        <v>0.432</v>
      </c>
      <c r="P299" s="183">
        <f aca="true" t="shared" si="21" ref="P299:P318">O299*H299</f>
        <v>5.184</v>
      </c>
      <c r="Q299" s="183">
        <v>2E-05</v>
      </c>
      <c r="R299" s="183">
        <f aca="true" t="shared" si="22" ref="R299:R318">Q299*H299</f>
        <v>0.00024000000000000003</v>
      </c>
      <c r="S299" s="183">
        <v>0</v>
      </c>
      <c r="T299" s="184">
        <f aca="true" t="shared" si="23" ref="T299:T318">S299*H299</f>
        <v>0</v>
      </c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R299" s="185" t="s">
        <v>146</v>
      </c>
      <c r="AT299" s="185" t="s">
        <v>141</v>
      </c>
      <c r="AU299" s="185" t="s">
        <v>87</v>
      </c>
      <c r="AY299" s="83" t="s">
        <v>139</v>
      </c>
      <c r="BE299" s="186">
        <f aca="true" t="shared" si="24" ref="BE299:BE318">IF(N299="základní",J299,0)</f>
        <v>0</v>
      </c>
      <c r="BF299" s="186">
        <f aca="true" t="shared" si="25" ref="BF299:BF318">IF(N299="snížená",J299,0)</f>
        <v>0</v>
      </c>
      <c r="BG299" s="186">
        <f aca="true" t="shared" si="26" ref="BG299:BG318">IF(N299="zákl. přenesená",J299,0)</f>
        <v>0</v>
      </c>
      <c r="BH299" s="186">
        <f aca="true" t="shared" si="27" ref="BH299:BH318">IF(N299="sníž. přenesená",J299,0)</f>
        <v>0</v>
      </c>
      <c r="BI299" s="186">
        <f aca="true" t="shared" si="28" ref="BI299:BI318">IF(N299="nulová",J299,0)</f>
        <v>0</v>
      </c>
      <c r="BJ299" s="83" t="s">
        <v>85</v>
      </c>
      <c r="BK299" s="186">
        <f aca="true" t="shared" si="29" ref="BK299:BK318">ROUND(I299*H299,2)</f>
        <v>0</v>
      </c>
      <c r="BL299" s="83" t="s">
        <v>146</v>
      </c>
      <c r="BM299" s="185" t="s">
        <v>1418</v>
      </c>
    </row>
    <row r="300" spans="1:65" s="95" customFormat="1" ht="14.45" customHeight="1">
      <c r="A300" s="93"/>
      <c r="B300" s="92"/>
      <c r="C300" s="217" t="s">
        <v>425</v>
      </c>
      <c r="D300" s="217" t="s">
        <v>251</v>
      </c>
      <c r="E300" s="218" t="s">
        <v>454</v>
      </c>
      <c r="F300" s="228" t="s">
        <v>455</v>
      </c>
      <c r="G300" s="220" t="s">
        <v>297</v>
      </c>
      <c r="H300" s="221">
        <v>12</v>
      </c>
      <c r="I300" s="70"/>
      <c r="J300" s="222">
        <f t="shared" si="20"/>
        <v>0</v>
      </c>
      <c r="K300" s="219" t="s">
        <v>1</v>
      </c>
      <c r="L300" s="223"/>
      <c r="M300" s="224" t="s">
        <v>1</v>
      </c>
      <c r="N300" s="225" t="s">
        <v>44</v>
      </c>
      <c r="O300" s="183">
        <v>0</v>
      </c>
      <c r="P300" s="183">
        <f t="shared" si="21"/>
        <v>0</v>
      </c>
      <c r="Q300" s="183">
        <v>0.00364</v>
      </c>
      <c r="R300" s="183">
        <f t="shared" si="22"/>
        <v>0.04368</v>
      </c>
      <c r="S300" s="183">
        <v>0</v>
      </c>
      <c r="T300" s="184">
        <f t="shared" si="23"/>
        <v>0</v>
      </c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R300" s="185" t="s">
        <v>187</v>
      </c>
      <c r="AT300" s="185" t="s">
        <v>251</v>
      </c>
      <c r="AU300" s="185" t="s">
        <v>87</v>
      </c>
      <c r="AY300" s="83" t="s">
        <v>139</v>
      </c>
      <c r="BE300" s="186">
        <f t="shared" si="24"/>
        <v>0</v>
      </c>
      <c r="BF300" s="186">
        <f t="shared" si="25"/>
        <v>0</v>
      </c>
      <c r="BG300" s="186">
        <f t="shared" si="26"/>
        <v>0</v>
      </c>
      <c r="BH300" s="186">
        <f t="shared" si="27"/>
        <v>0</v>
      </c>
      <c r="BI300" s="186">
        <f t="shared" si="28"/>
        <v>0</v>
      </c>
      <c r="BJ300" s="83" t="s">
        <v>85</v>
      </c>
      <c r="BK300" s="186">
        <f t="shared" si="29"/>
        <v>0</v>
      </c>
      <c r="BL300" s="83" t="s">
        <v>146</v>
      </c>
      <c r="BM300" s="185" t="s">
        <v>1419</v>
      </c>
    </row>
    <row r="301" spans="1:65" s="95" customFormat="1" ht="27.75" customHeight="1">
      <c r="A301" s="93"/>
      <c r="B301" s="92"/>
      <c r="C301" s="217" t="s">
        <v>431</v>
      </c>
      <c r="D301" s="217" t="s">
        <v>251</v>
      </c>
      <c r="E301" s="218" t="s">
        <v>458</v>
      </c>
      <c r="F301" s="228" t="s">
        <v>459</v>
      </c>
      <c r="G301" s="220" t="s">
        <v>460</v>
      </c>
      <c r="H301" s="221">
        <v>12</v>
      </c>
      <c r="I301" s="70"/>
      <c r="J301" s="222">
        <f t="shared" si="20"/>
        <v>0</v>
      </c>
      <c r="K301" s="219" t="s">
        <v>1</v>
      </c>
      <c r="L301" s="223"/>
      <c r="M301" s="224" t="s">
        <v>1</v>
      </c>
      <c r="N301" s="225" t="s">
        <v>44</v>
      </c>
      <c r="O301" s="183">
        <v>0</v>
      </c>
      <c r="P301" s="183">
        <f t="shared" si="21"/>
        <v>0</v>
      </c>
      <c r="Q301" s="183">
        <v>0.0033</v>
      </c>
      <c r="R301" s="183">
        <f t="shared" si="22"/>
        <v>0.039599999999999996</v>
      </c>
      <c r="S301" s="183">
        <v>0</v>
      </c>
      <c r="T301" s="184">
        <f t="shared" si="23"/>
        <v>0</v>
      </c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R301" s="185" t="s">
        <v>187</v>
      </c>
      <c r="AT301" s="185" t="s">
        <v>251</v>
      </c>
      <c r="AU301" s="185" t="s">
        <v>87</v>
      </c>
      <c r="AY301" s="83" t="s">
        <v>139</v>
      </c>
      <c r="BE301" s="186">
        <f t="shared" si="24"/>
        <v>0</v>
      </c>
      <c r="BF301" s="186">
        <f t="shared" si="25"/>
        <v>0</v>
      </c>
      <c r="BG301" s="186">
        <f t="shared" si="26"/>
        <v>0</v>
      </c>
      <c r="BH301" s="186">
        <f t="shared" si="27"/>
        <v>0</v>
      </c>
      <c r="BI301" s="186">
        <f t="shared" si="28"/>
        <v>0</v>
      </c>
      <c r="BJ301" s="83" t="s">
        <v>85</v>
      </c>
      <c r="BK301" s="186">
        <f t="shared" si="29"/>
        <v>0</v>
      </c>
      <c r="BL301" s="83" t="s">
        <v>146</v>
      </c>
      <c r="BM301" s="185" t="s">
        <v>1420</v>
      </c>
    </row>
    <row r="302" spans="1:65" s="95" customFormat="1" ht="24.2" customHeight="1">
      <c r="A302" s="93"/>
      <c r="B302" s="92"/>
      <c r="C302" s="175" t="s">
        <v>435</v>
      </c>
      <c r="D302" s="175" t="s">
        <v>141</v>
      </c>
      <c r="E302" s="176" t="s">
        <v>463</v>
      </c>
      <c r="F302" s="177" t="s">
        <v>464</v>
      </c>
      <c r="G302" s="178" t="s">
        <v>297</v>
      </c>
      <c r="H302" s="179">
        <v>12</v>
      </c>
      <c r="I302" s="69"/>
      <c r="J302" s="180">
        <f t="shared" si="20"/>
        <v>0</v>
      </c>
      <c r="K302" s="177" t="s">
        <v>1</v>
      </c>
      <c r="L302" s="92"/>
      <c r="M302" s="181" t="s">
        <v>1</v>
      </c>
      <c r="N302" s="182" t="s">
        <v>44</v>
      </c>
      <c r="O302" s="183">
        <v>0.432</v>
      </c>
      <c r="P302" s="183">
        <f t="shared" si="21"/>
        <v>5.184</v>
      </c>
      <c r="Q302" s="183">
        <v>2E-05</v>
      </c>
      <c r="R302" s="183">
        <f t="shared" si="22"/>
        <v>0.00024000000000000003</v>
      </c>
      <c r="S302" s="183">
        <v>0</v>
      </c>
      <c r="T302" s="184">
        <f t="shared" si="23"/>
        <v>0</v>
      </c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R302" s="185" t="s">
        <v>146</v>
      </c>
      <c r="AT302" s="185" t="s">
        <v>141</v>
      </c>
      <c r="AU302" s="185" t="s">
        <v>87</v>
      </c>
      <c r="AY302" s="83" t="s">
        <v>139</v>
      </c>
      <c r="BE302" s="186">
        <f t="shared" si="24"/>
        <v>0</v>
      </c>
      <c r="BF302" s="186">
        <f t="shared" si="25"/>
        <v>0</v>
      </c>
      <c r="BG302" s="186">
        <f t="shared" si="26"/>
        <v>0</v>
      </c>
      <c r="BH302" s="186">
        <f t="shared" si="27"/>
        <v>0</v>
      </c>
      <c r="BI302" s="186">
        <f t="shared" si="28"/>
        <v>0</v>
      </c>
      <c r="BJ302" s="83" t="s">
        <v>85</v>
      </c>
      <c r="BK302" s="186">
        <f t="shared" si="29"/>
        <v>0</v>
      </c>
      <c r="BL302" s="83" t="s">
        <v>146</v>
      </c>
      <c r="BM302" s="185" t="s">
        <v>1421</v>
      </c>
    </row>
    <row r="303" spans="1:65" s="95" customFormat="1" ht="14.45" customHeight="1">
      <c r="A303" s="93"/>
      <c r="B303" s="92"/>
      <c r="C303" s="217" t="s">
        <v>442</v>
      </c>
      <c r="D303" s="217" t="s">
        <v>251</v>
      </c>
      <c r="E303" s="218" t="s">
        <v>467</v>
      </c>
      <c r="F303" s="219" t="s">
        <v>468</v>
      </c>
      <c r="G303" s="220" t="s">
        <v>438</v>
      </c>
      <c r="H303" s="221">
        <v>12</v>
      </c>
      <c r="I303" s="70"/>
      <c r="J303" s="222">
        <f t="shared" si="20"/>
        <v>0</v>
      </c>
      <c r="K303" s="219" t="s">
        <v>1</v>
      </c>
      <c r="L303" s="223"/>
      <c r="M303" s="224" t="s">
        <v>1</v>
      </c>
      <c r="N303" s="225" t="s">
        <v>44</v>
      </c>
      <c r="O303" s="183">
        <v>0</v>
      </c>
      <c r="P303" s="183">
        <f t="shared" si="21"/>
        <v>0</v>
      </c>
      <c r="Q303" s="183">
        <v>0.00043</v>
      </c>
      <c r="R303" s="183">
        <f t="shared" si="22"/>
        <v>0.00516</v>
      </c>
      <c r="S303" s="183">
        <v>0</v>
      </c>
      <c r="T303" s="184">
        <f t="shared" si="23"/>
        <v>0</v>
      </c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R303" s="185" t="s">
        <v>187</v>
      </c>
      <c r="AT303" s="185" t="s">
        <v>251</v>
      </c>
      <c r="AU303" s="185" t="s">
        <v>87</v>
      </c>
      <c r="AY303" s="83" t="s">
        <v>139</v>
      </c>
      <c r="BE303" s="186">
        <f t="shared" si="24"/>
        <v>0</v>
      </c>
      <c r="BF303" s="186">
        <f t="shared" si="25"/>
        <v>0</v>
      </c>
      <c r="BG303" s="186">
        <f t="shared" si="26"/>
        <v>0</v>
      </c>
      <c r="BH303" s="186">
        <f t="shared" si="27"/>
        <v>0</v>
      </c>
      <c r="BI303" s="186">
        <f t="shared" si="28"/>
        <v>0</v>
      </c>
      <c r="BJ303" s="83" t="s">
        <v>85</v>
      </c>
      <c r="BK303" s="186">
        <f t="shared" si="29"/>
        <v>0</v>
      </c>
      <c r="BL303" s="83" t="s">
        <v>146</v>
      </c>
      <c r="BM303" s="185" t="s">
        <v>1422</v>
      </c>
    </row>
    <row r="304" spans="1:65" s="95" customFormat="1" ht="22.5" customHeight="1">
      <c r="A304" s="93"/>
      <c r="B304" s="92"/>
      <c r="C304" s="217" t="s">
        <v>1557</v>
      </c>
      <c r="D304" s="217" t="s">
        <v>251</v>
      </c>
      <c r="E304" s="218"/>
      <c r="F304" s="219" t="s">
        <v>1558</v>
      </c>
      <c r="G304" s="220" t="s">
        <v>438</v>
      </c>
      <c r="H304" s="221">
        <v>36</v>
      </c>
      <c r="I304" s="70"/>
      <c r="J304" s="222">
        <f aca="true" t="shared" si="30" ref="J304">ROUND(I304*H304,2)</f>
        <v>0</v>
      </c>
      <c r="K304" s="219" t="s">
        <v>1</v>
      </c>
      <c r="L304" s="223"/>
      <c r="M304" s="224" t="s">
        <v>1</v>
      </c>
      <c r="N304" s="225" t="s">
        <v>44</v>
      </c>
      <c r="O304" s="183">
        <v>0</v>
      </c>
      <c r="P304" s="183">
        <f aca="true" t="shared" si="31" ref="P304">O304*H304</f>
        <v>0</v>
      </c>
      <c r="Q304" s="183">
        <v>0.00043</v>
      </c>
      <c r="R304" s="183">
        <f aca="true" t="shared" si="32" ref="R304">Q304*H304</f>
        <v>0.015479999999999999</v>
      </c>
      <c r="S304" s="183">
        <v>0</v>
      </c>
      <c r="T304" s="184">
        <f aca="true" t="shared" si="33" ref="T304">S304*H304</f>
        <v>0</v>
      </c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R304" s="185" t="s">
        <v>187</v>
      </c>
      <c r="AT304" s="185" t="s">
        <v>251</v>
      </c>
      <c r="AU304" s="185" t="s">
        <v>87</v>
      </c>
      <c r="AY304" s="83" t="s">
        <v>139</v>
      </c>
      <c r="BE304" s="186">
        <f aca="true" t="shared" si="34" ref="BE304">IF(N304="základní",J304,0)</f>
        <v>0</v>
      </c>
      <c r="BF304" s="186">
        <f aca="true" t="shared" si="35" ref="BF304">IF(N304="snížená",J304,0)</f>
        <v>0</v>
      </c>
      <c r="BG304" s="186">
        <f aca="true" t="shared" si="36" ref="BG304">IF(N304="zákl. přenesená",J304,0)</f>
        <v>0</v>
      </c>
      <c r="BH304" s="186">
        <f aca="true" t="shared" si="37" ref="BH304">IF(N304="sníž. přenesená",J304,0)</f>
        <v>0</v>
      </c>
      <c r="BI304" s="186">
        <f aca="true" t="shared" si="38" ref="BI304">IF(N304="nulová",J304,0)</f>
        <v>0</v>
      </c>
      <c r="BJ304" s="83" t="s">
        <v>85</v>
      </c>
      <c r="BK304" s="186">
        <f aca="true" t="shared" si="39" ref="BK304">ROUND(I304*H304,2)</f>
        <v>0</v>
      </c>
      <c r="BL304" s="83" t="s">
        <v>146</v>
      </c>
      <c r="BM304" s="185" t="s">
        <v>1422</v>
      </c>
    </row>
    <row r="305" spans="1:65" s="95" customFormat="1" ht="37.9" customHeight="1">
      <c r="A305" s="93"/>
      <c r="B305" s="92"/>
      <c r="C305" s="175" t="s">
        <v>449</v>
      </c>
      <c r="D305" s="175" t="s">
        <v>141</v>
      </c>
      <c r="E305" s="176" t="s">
        <v>471</v>
      </c>
      <c r="F305" s="177" t="s">
        <v>472</v>
      </c>
      <c r="G305" s="178" t="s">
        <v>297</v>
      </c>
      <c r="H305" s="179">
        <v>12</v>
      </c>
      <c r="I305" s="69"/>
      <c r="J305" s="180">
        <f t="shared" si="20"/>
        <v>0</v>
      </c>
      <c r="K305" s="177" t="s">
        <v>967</v>
      </c>
      <c r="L305" s="92"/>
      <c r="M305" s="181" t="s">
        <v>1</v>
      </c>
      <c r="N305" s="182" t="s">
        <v>44</v>
      </c>
      <c r="O305" s="183">
        <v>1.359</v>
      </c>
      <c r="P305" s="183">
        <f t="shared" si="21"/>
        <v>16.308</v>
      </c>
      <c r="Q305" s="183">
        <v>0</v>
      </c>
      <c r="R305" s="183">
        <f t="shared" si="22"/>
        <v>0</v>
      </c>
      <c r="S305" s="183">
        <v>0.00768</v>
      </c>
      <c r="T305" s="184">
        <f t="shared" si="23"/>
        <v>0.09216</v>
      </c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R305" s="185" t="s">
        <v>146</v>
      </c>
      <c r="AT305" s="185" t="s">
        <v>141</v>
      </c>
      <c r="AU305" s="185" t="s">
        <v>87</v>
      </c>
      <c r="AY305" s="83" t="s">
        <v>139</v>
      </c>
      <c r="BE305" s="186">
        <f t="shared" si="24"/>
        <v>0</v>
      </c>
      <c r="BF305" s="186">
        <f t="shared" si="25"/>
        <v>0</v>
      </c>
      <c r="BG305" s="186">
        <f t="shared" si="26"/>
        <v>0</v>
      </c>
      <c r="BH305" s="186">
        <f t="shared" si="27"/>
        <v>0</v>
      </c>
      <c r="BI305" s="186">
        <f t="shared" si="28"/>
        <v>0</v>
      </c>
      <c r="BJ305" s="83" t="s">
        <v>85</v>
      </c>
      <c r="BK305" s="186">
        <f t="shared" si="29"/>
        <v>0</v>
      </c>
      <c r="BL305" s="83" t="s">
        <v>146</v>
      </c>
      <c r="BM305" s="185" t="s">
        <v>1423</v>
      </c>
    </row>
    <row r="306" spans="1:65" s="95" customFormat="1" ht="49.15" customHeight="1">
      <c r="A306" s="93"/>
      <c r="B306" s="92"/>
      <c r="C306" s="175" t="s">
        <v>453</v>
      </c>
      <c r="D306" s="175" t="s">
        <v>141</v>
      </c>
      <c r="E306" s="176" t="s">
        <v>476</v>
      </c>
      <c r="F306" s="177" t="s">
        <v>477</v>
      </c>
      <c r="G306" s="178" t="s">
        <v>297</v>
      </c>
      <c r="H306" s="179">
        <v>6</v>
      </c>
      <c r="I306" s="69"/>
      <c r="J306" s="180">
        <f t="shared" si="20"/>
        <v>0</v>
      </c>
      <c r="K306" s="177" t="s">
        <v>967</v>
      </c>
      <c r="L306" s="92"/>
      <c r="M306" s="181" t="s">
        <v>1</v>
      </c>
      <c r="N306" s="182" t="s">
        <v>44</v>
      </c>
      <c r="O306" s="183">
        <v>1.554</v>
      </c>
      <c r="P306" s="183">
        <f t="shared" si="21"/>
        <v>9.324</v>
      </c>
      <c r="Q306" s="183">
        <v>0.00162</v>
      </c>
      <c r="R306" s="183">
        <f t="shared" si="22"/>
        <v>0.00972</v>
      </c>
      <c r="S306" s="183">
        <v>0</v>
      </c>
      <c r="T306" s="184">
        <f t="shared" si="23"/>
        <v>0</v>
      </c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R306" s="185" t="s">
        <v>146</v>
      </c>
      <c r="AT306" s="185" t="s">
        <v>141</v>
      </c>
      <c r="AU306" s="185" t="s">
        <v>87</v>
      </c>
      <c r="AY306" s="83" t="s">
        <v>139</v>
      </c>
      <c r="BE306" s="186">
        <f t="shared" si="24"/>
        <v>0</v>
      </c>
      <c r="BF306" s="186">
        <f t="shared" si="25"/>
        <v>0</v>
      </c>
      <c r="BG306" s="186">
        <f t="shared" si="26"/>
        <v>0</v>
      </c>
      <c r="BH306" s="186">
        <f t="shared" si="27"/>
        <v>0</v>
      </c>
      <c r="BI306" s="186">
        <f t="shared" si="28"/>
        <v>0</v>
      </c>
      <c r="BJ306" s="83" t="s">
        <v>85</v>
      </c>
      <c r="BK306" s="186">
        <f t="shared" si="29"/>
        <v>0</v>
      </c>
      <c r="BL306" s="83" t="s">
        <v>146</v>
      </c>
      <c r="BM306" s="185" t="s">
        <v>1424</v>
      </c>
    </row>
    <row r="307" spans="1:65" s="95" customFormat="1" ht="24.2" customHeight="1">
      <c r="A307" s="93"/>
      <c r="B307" s="92"/>
      <c r="C307" s="217" t="s">
        <v>457</v>
      </c>
      <c r="D307" s="217" t="s">
        <v>251</v>
      </c>
      <c r="E307" s="218" t="s">
        <v>1425</v>
      </c>
      <c r="F307" s="228" t="s">
        <v>1426</v>
      </c>
      <c r="G307" s="220" t="s">
        <v>297</v>
      </c>
      <c r="H307" s="221">
        <v>6</v>
      </c>
      <c r="I307" s="70"/>
      <c r="J307" s="222">
        <f t="shared" si="20"/>
        <v>0</v>
      </c>
      <c r="K307" s="219" t="s">
        <v>967</v>
      </c>
      <c r="L307" s="223"/>
      <c r="M307" s="224" t="s">
        <v>1</v>
      </c>
      <c r="N307" s="225" t="s">
        <v>44</v>
      </c>
      <c r="O307" s="183">
        <v>0</v>
      </c>
      <c r="P307" s="183">
        <f t="shared" si="21"/>
        <v>0</v>
      </c>
      <c r="Q307" s="183">
        <v>0.01555</v>
      </c>
      <c r="R307" s="183">
        <f t="shared" si="22"/>
        <v>0.0933</v>
      </c>
      <c r="S307" s="183">
        <v>0</v>
      </c>
      <c r="T307" s="184">
        <f t="shared" si="23"/>
        <v>0</v>
      </c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R307" s="185" t="s">
        <v>187</v>
      </c>
      <c r="AT307" s="185" t="s">
        <v>251</v>
      </c>
      <c r="AU307" s="185" t="s">
        <v>87</v>
      </c>
      <c r="AY307" s="83" t="s">
        <v>139</v>
      </c>
      <c r="BE307" s="186">
        <f t="shared" si="24"/>
        <v>0</v>
      </c>
      <c r="BF307" s="186">
        <f t="shared" si="25"/>
        <v>0</v>
      </c>
      <c r="BG307" s="186">
        <f t="shared" si="26"/>
        <v>0</v>
      </c>
      <c r="BH307" s="186">
        <f t="shared" si="27"/>
        <v>0</v>
      </c>
      <c r="BI307" s="186">
        <f t="shared" si="28"/>
        <v>0</v>
      </c>
      <c r="BJ307" s="83" t="s">
        <v>85</v>
      </c>
      <c r="BK307" s="186">
        <f t="shared" si="29"/>
        <v>0</v>
      </c>
      <c r="BL307" s="83" t="s">
        <v>146</v>
      </c>
      <c r="BM307" s="185" t="s">
        <v>1427</v>
      </c>
    </row>
    <row r="308" spans="1:65" s="95" customFormat="1" ht="24.2" customHeight="1">
      <c r="A308" s="93"/>
      <c r="B308" s="92"/>
      <c r="C308" s="217" t="s">
        <v>462</v>
      </c>
      <c r="D308" s="217" t="s">
        <v>251</v>
      </c>
      <c r="E308" s="218" t="s">
        <v>480</v>
      </c>
      <c r="F308" s="228" t="s">
        <v>481</v>
      </c>
      <c r="G308" s="220" t="s">
        <v>297</v>
      </c>
      <c r="H308" s="221">
        <v>6</v>
      </c>
      <c r="I308" s="70"/>
      <c r="J308" s="222">
        <f t="shared" si="20"/>
        <v>0</v>
      </c>
      <c r="K308" s="219" t="s">
        <v>1</v>
      </c>
      <c r="L308" s="223"/>
      <c r="M308" s="224" t="s">
        <v>1</v>
      </c>
      <c r="N308" s="225" t="s">
        <v>44</v>
      </c>
      <c r="O308" s="183">
        <v>0</v>
      </c>
      <c r="P308" s="183">
        <f t="shared" si="21"/>
        <v>0</v>
      </c>
      <c r="Q308" s="183">
        <v>0.00654</v>
      </c>
      <c r="R308" s="183">
        <f t="shared" si="22"/>
        <v>0.03924</v>
      </c>
      <c r="S308" s="183">
        <v>0</v>
      </c>
      <c r="T308" s="184">
        <f t="shared" si="23"/>
        <v>0</v>
      </c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R308" s="185" t="s">
        <v>187</v>
      </c>
      <c r="AT308" s="185" t="s">
        <v>251</v>
      </c>
      <c r="AU308" s="185" t="s">
        <v>87</v>
      </c>
      <c r="AY308" s="83" t="s">
        <v>139</v>
      </c>
      <c r="BE308" s="186">
        <f t="shared" si="24"/>
        <v>0</v>
      </c>
      <c r="BF308" s="186">
        <f t="shared" si="25"/>
        <v>0</v>
      </c>
      <c r="BG308" s="186">
        <f t="shared" si="26"/>
        <v>0</v>
      </c>
      <c r="BH308" s="186">
        <f t="shared" si="27"/>
        <v>0</v>
      </c>
      <c r="BI308" s="186">
        <f t="shared" si="28"/>
        <v>0</v>
      </c>
      <c r="BJ308" s="83" t="s">
        <v>85</v>
      </c>
      <c r="BK308" s="186">
        <f t="shared" si="29"/>
        <v>0</v>
      </c>
      <c r="BL308" s="83" t="s">
        <v>146</v>
      </c>
      <c r="BM308" s="185" t="s">
        <v>1428</v>
      </c>
    </row>
    <row r="309" spans="1:65" s="95" customFormat="1" ht="37.9" customHeight="1">
      <c r="A309" s="93"/>
      <c r="B309" s="92"/>
      <c r="C309" s="175" t="s">
        <v>466</v>
      </c>
      <c r="D309" s="175" t="s">
        <v>141</v>
      </c>
      <c r="E309" s="176" t="s">
        <v>488</v>
      </c>
      <c r="F309" s="177" t="s">
        <v>489</v>
      </c>
      <c r="G309" s="178" t="s">
        <v>297</v>
      </c>
      <c r="H309" s="179">
        <v>5</v>
      </c>
      <c r="I309" s="69"/>
      <c r="J309" s="180">
        <f t="shared" si="20"/>
        <v>0</v>
      </c>
      <c r="K309" s="177" t="s">
        <v>967</v>
      </c>
      <c r="L309" s="92"/>
      <c r="M309" s="181" t="s">
        <v>1</v>
      </c>
      <c r="N309" s="182" t="s">
        <v>44</v>
      </c>
      <c r="O309" s="183">
        <v>1.787</v>
      </c>
      <c r="P309" s="183">
        <f t="shared" si="21"/>
        <v>8.934999999999999</v>
      </c>
      <c r="Q309" s="183">
        <v>0</v>
      </c>
      <c r="R309" s="183">
        <f t="shared" si="22"/>
        <v>0</v>
      </c>
      <c r="S309" s="183">
        <v>0.0173</v>
      </c>
      <c r="T309" s="184">
        <f t="shared" si="23"/>
        <v>0.0865</v>
      </c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R309" s="185" t="s">
        <v>146</v>
      </c>
      <c r="AT309" s="185" t="s">
        <v>141</v>
      </c>
      <c r="AU309" s="185" t="s">
        <v>87</v>
      </c>
      <c r="AY309" s="83" t="s">
        <v>139</v>
      </c>
      <c r="BE309" s="186">
        <f t="shared" si="24"/>
        <v>0</v>
      </c>
      <c r="BF309" s="186">
        <f t="shared" si="25"/>
        <v>0</v>
      </c>
      <c r="BG309" s="186">
        <f t="shared" si="26"/>
        <v>0</v>
      </c>
      <c r="BH309" s="186">
        <f t="shared" si="27"/>
        <v>0</v>
      </c>
      <c r="BI309" s="186">
        <f t="shared" si="28"/>
        <v>0</v>
      </c>
      <c r="BJ309" s="83" t="s">
        <v>85</v>
      </c>
      <c r="BK309" s="186">
        <f t="shared" si="29"/>
        <v>0</v>
      </c>
      <c r="BL309" s="83" t="s">
        <v>146</v>
      </c>
      <c r="BM309" s="185" t="s">
        <v>1429</v>
      </c>
    </row>
    <row r="310" spans="1:65" s="95" customFormat="1" ht="24.2" customHeight="1">
      <c r="A310" s="93"/>
      <c r="B310" s="92"/>
      <c r="C310" s="175" t="s">
        <v>470</v>
      </c>
      <c r="D310" s="175" t="s">
        <v>141</v>
      </c>
      <c r="E310" s="176" t="s">
        <v>502</v>
      </c>
      <c r="F310" s="177" t="s">
        <v>503</v>
      </c>
      <c r="G310" s="178" t="s">
        <v>297</v>
      </c>
      <c r="H310" s="179">
        <v>2</v>
      </c>
      <c r="I310" s="69"/>
      <c r="J310" s="180">
        <f t="shared" si="20"/>
        <v>0</v>
      </c>
      <c r="K310" s="177" t="s">
        <v>967</v>
      </c>
      <c r="L310" s="92"/>
      <c r="M310" s="181" t="s">
        <v>1</v>
      </c>
      <c r="N310" s="182" t="s">
        <v>44</v>
      </c>
      <c r="O310" s="183">
        <v>0.708</v>
      </c>
      <c r="P310" s="183">
        <f t="shared" si="21"/>
        <v>1.416</v>
      </c>
      <c r="Q310" s="183">
        <v>0.00034</v>
      </c>
      <c r="R310" s="183">
        <f t="shared" si="22"/>
        <v>0.00068</v>
      </c>
      <c r="S310" s="183">
        <v>0</v>
      </c>
      <c r="T310" s="184">
        <f t="shared" si="23"/>
        <v>0</v>
      </c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R310" s="185" t="s">
        <v>146</v>
      </c>
      <c r="AT310" s="185" t="s">
        <v>141</v>
      </c>
      <c r="AU310" s="185" t="s">
        <v>87</v>
      </c>
      <c r="AY310" s="83" t="s">
        <v>139</v>
      </c>
      <c r="BE310" s="186">
        <f t="shared" si="24"/>
        <v>0</v>
      </c>
      <c r="BF310" s="186">
        <f t="shared" si="25"/>
        <v>0</v>
      </c>
      <c r="BG310" s="186">
        <f t="shared" si="26"/>
        <v>0</v>
      </c>
      <c r="BH310" s="186">
        <f t="shared" si="27"/>
        <v>0</v>
      </c>
      <c r="BI310" s="186">
        <f t="shared" si="28"/>
        <v>0</v>
      </c>
      <c r="BJ310" s="83" t="s">
        <v>85</v>
      </c>
      <c r="BK310" s="186">
        <f t="shared" si="29"/>
        <v>0</v>
      </c>
      <c r="BL310" s="83" t="s">
        <v>146</v>
      </c>
      <c r="BM310" s="185" t="s">
        <v>1430</v>
      </c>
    </row>
    <row r="311" spans="1:65" s="95" customFormat="1" ht="24.2" customHeight="1">
      <c r="A311" s="93"/>
      <c r="B311" s="92"/>
      <c r="C311" s="217" t="s">
        <v>475</v>
      </c>
      <c r="D311" s="217" t="s">
        <v>251</v>
      </c>
      <c r="E311" s="218" t="s">
        <v>509</v>
      </c>
      <c r="F311" s="228" t="s">
        <v>1431</v>
      </c>
      <c r="G311" s="220" t="s">
        <v>297</v>
      </c>
      <c r="H311" s="221">
        <v>2</v>
      </c>
      <c r="I311" s="70"/>
      <c r="J311" s="222">
        <f t="shared" si="20"/>
        <v>0</v>
      </c>
      <c r="K311" s="219" t="s">
        <v>504</v>
      </c>
      <c r="L311" s="223"/>
      <c r="M311" s="224" t="s">
        <v>1</v>
      </c>
      <c r="N311" s="225" t="s">
        <v>44</v>
      </c>
      <c r="O311" s="183">
        <v>0</v>
      </c>
      <c r="P311" s="183">
        <f t="shared" si="21"/>
        <v>0</v>
      </c>
      <c r="Q311" s="183">
        <v>0.0325</v>
      </c>
      <c r="R311" s="183">
        <f t="shared" si="22"/>
        <v>0.065</v>
      </c>
      <c r="S311" s="183">
        <v>0</v>
      </c>
      <c r="T311" s="184">
        <f t="shared" si="23"/>
        <v>0</v>
      </c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R311" s="185" t="s">
        <v>187</v>
      </c>
      <c r="AT311" s="185" t="s">
        <v>251</v>
      </c>
      <c r="AU311" s="185" t="s">
        <v>87</v>
      </c>
      <c r="AY311" s="83" t="s">
        <v>139</v>
      </c>
      <c r="BE311" s="186">
        <f t="shared" si="24"/>
        <v>0</v>
      </c>
      <c r="BF311" s="186">
        <f t="shared" si="25"/>
        <v>0</v>
      </c>
      <c r="BG311" s="186">
        <f t="shared" si="26"/>
        <v>0</v>
      </c>
      <c r="BH311" s="186">
        <f t="shared" si="27"/>
        <v>0</v>
      </c>
      <c r="BI311" s="186">
        <f t="shared" si="28"/>
        <v>0</v>
      </c>
      <c r="BJ311" s="83" t="s">
        <v>85</v>
      </c>
      <c r="BK311" s="186">
        <f t="shared" si="29"/>
        <v>0</v>
      </c>
      <c r="BL311" s="83" t="s">
        <v>146</v>
      </c>
      <c r="BM311" s="185" t="s">
        <v>1432</v>
      </c>
    </row>
    <row r="312" spans="1:65" s="95" customFormat="1" ht="49.15" customHeight="1">
      <c r="A312" s="93"/>
      <c r="B312" s="92"/>
      <c r="C312" s="175" t="s">
        <v>479</v>
      </c>
      <c r="D312" s="175" t="s">
        <v>141</v>
      </c>
      <c r="E312" s="176" t="s">
        <v>1433</v>
      </c>
      <c r="F312" s="177" t="s">
        <v>1434</v>
      </c>
      <c r="G312" s="178" t="s">
        <v>297</v>
      </c>
      <c r="H312" s="179">
        <v>1</v>
      </c>
      <c r="I312" s="69"/>
      <c r="J312" s="180">
        <f t="shared" si="20"/>
        <v>0</v>
      </c>
      <c r="K312" s="177" t="s">
        <v>967</v>
      </c>
      <c r="L312" s="92"/>
      <c r="M312" s="181" t="s">
        <v>1</v>
      </c>
      <c r="N312" s="182" t="s">
        <v>44</v>
      </c>
      <c r="O312" s="183">
        <v>1.866</v>
      </c>
      <c r="P312" s="183">
        <f t="shared" si="21"/>
        <v>1.866</v>
      </c>
      <c r="Q312" s="183">
        <v>0.00165</v>
      </c>
      <c r="R312" s="183">
        <f t="shared" si="22"/>
        <v>0.00165</v>
      </c>
      <c r="S312" s="183">
        <v>0</v>
      </c>
      <c r="T312" s="184">
        <f t="shared" si="23"/>
        <v>0</v>
      </c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R312" s="185" t="s">
        <v>146</v>
      </c>
      <c r="AT312" s="185" t="s">
        <v>141</v>
      </c>
      <c r="AU312" s="185" t="s">
        <v>87</v>
      </c>
      <c r="AY312" s="83" t="s">
        <v>139</v>
      </c>
      <c r="BE312" s="186">
        <f t="shared" si="24"/>
        <v>0</v>
      </c>
      <c r="BF312" s="186">
        <f t="shared" si="25"/>
        <v>0</v>
      </c>
      <c r="BG312" s="186">
        <f t="shared" si="26"/>
        <v>0</v>
      </c>
      <c r="BH312" s="186">
        <f t="shared" si="27"/>
        <v>0</v>
      </c>
      <c r="BI312" s="186">
        <f t="shared" si="28"/>
        <v>0</v>
      </c>
      <c r="BJ312" s="83" t="s">
        <v>85</v>
      </c>
      <c r="BK312" s="186">
        <f t="shared" si="29"/>
        <v>0</v>
      </c>
      <c r="BL312" s="83" t="s">
        <v>146</v>
      </c>
      <c r="BM312" s="185" t="s">
        <v>1435</v>
      </c>
    </row>
    <row r="313" spans="1:65" s="95" customFormat="1" ht="24.2" customHeight="1">
      <c r="A313" s="93"/>
      <c r="B313" s="92"/>
      <c r="C313" s="217" t="s">
        <v>483</v>
      </c>
      <c r="D313" s="217" t="s">
        <v>251</v>
      </c>
      <c r="E313" s="218" t="s">
        <v>1436</v>
      </c>
      <c r="F313" s="228" t="s">
        <v>1437</v>
      </c>
      <c r="G313" s="220" t="s">
        <v>297</v>
      </c>
      <c r="H313" s="221">
        <v>1</v>
      </c>
      <c r="I313" s="70"/>
      <c r="J313" s="222">
        <f t="shared" si="20"/>
        <v>0</v>
      </c>
      <c r="K313" s="219" t="s">
        <v>967</v>
      </c>
      <c r="L313" s="223"/>
      <c r="M313" s="224" t="s">
        <v>1</v>
      </c>
      <c r="N313" s="225" t="s">
        <v>44</v>
      </c>
      <c r="O313" s="183">
        <v>0</v>
      </c>
      <c r="P313" s="183">
        <f t="shared" si="21"/>
        <v>0</v>
      </c>
      <c r="Q313" s="183">
        <v>0.019</v>
      </c>
      <c r="R313" s="183">
        <f t="shared" si="22"/>
        <v>0.019</v>
      </c>
      <c r="S313" s="183">
        <v>0</v>
      </c>
      <c r="T313" s="184">
        <f t="shared" si="23"/>
        <v>0</v>
      </c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R313" s="185" t="s">
        <v>187</v>
      </c>
      <c r="AT313" s="185" t="s">
        <v>251</v>
      </c>
      <c r="AU313" s="185" t="s">
        <v>87</v>
      </c>
      <c r="AY313" s="83" t="s">
        <v>139</v>
      </c>
      <c r="BE313" s="186">
        <f t="shared" si="24"/>
        <v>0</v>
      </c>
      <c r="BF313" s="186">
        <f t="shared" si="25"/>
        <v>0</v>
      </c>
      <c r="BG313" s="186">
        <f t="shared" si="26"/>
        <v>0</v>
      </c>
      <c r="BH313" s="186">
        <f t="shared" si="27"/>
        <v>0</v>
      </c>
      <c r="BI313" s="186">
        <f t="shared" si="28"/>
        <v>0</v>
      </c>
      <c r="BJ313" s="83" t="s">
        <v>85</v>
      </c>
      <c r="BK313" s="186">
        <f t="shared" si="29"/>
        <v>0</v>
      </c>
      <c r="BL313" s="83" t="s">
        <v>146</v>
      </c>
      <c r="BM313" s="185" t="s">
        <v>1438</v>
      </c>
    </row>
    <row r="314" spans="1:65" s="95" customFormat="1" ht="24.2" customHeight="1">
      <c r="A314" s="93"/>
      <c r="B314" s="92"/>
      <c r="C314" s="217" t="s">
        <v>487</v>
      </c>
      <c r="D314" s="217" t="s">
        <v>251</v>
      </c>
      <c r="E314" s="218" t="s">
        <v>1439</v>
      </c>
      <c r="F314" s="228" t="s">
        <v>1440</v>
      </c>
      <c r="G314" s="220" t="s">
        <v>297</v>
      </c>
      <c r="H314" s="221">
        <v>1</v>
      </c>
      <c r="I314" s="70"/>
      <c r="J314" s="222">
        <f t="shared" si="20"/>
        <v>0</v>
      </c>
      <c r="K314" s="219" t="s">
        <v>1</v>
      </c>
      <c r="L314" s="223"/>
      <c r="M314" s="224" t="s">
        <v>1</v>
      </c>
      <c r="N314" s="225" t="s">
        <v>44</v>
      </c>
      <c r="O314" s="183">
        <v>0</v>
      </c>
      <c r="P314" s="183">
        <f t="shared" si="21"/>
        <v>0</v>
      </c>
      <c r="Q314" s="183">
        <v>0.00654</v>
      </c>
      <c r="R314" s="183">
        <f t="shared" si="22"/>
        <v>0.00654</v>
      </c>
      <c r="S314" s="183">
        <v>0</v>
      </c>
      <c r="T314" s="184">
        <f t="shared" si="23"/>
        <v>0</v>
      </c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R314" s="185" t="s">
        <v>187</v>
      </c>
      <c r="AT314" s="185" t="s">
        <v>251</v>
      </c>
      <c r="AU314" s="185" t="s">
        <v>87</v>
      </c>
      <c r="AY314" s="83" t="s">
        <v>139</v>
      </c>
      <c r="BE314" s="186">
        <f t="shared" si="24"/>
        <v>0</v>
      </c>
      <c r="BF314" s="186">
        <f t="shared" si="25"/>
        <v>0</v>
      </c>
      <c r="BG314" s="186">
        <f t="shared" si="26"/>
        <v>0</v>
      </c>
      <c r="BH314" s="186">
        <f t="shared" si="27"/>
        <v>0</v>
      </c>
      <c r="BI314" s="186">
        <f t="shared" si="28"/>
        <v>0</v>
      </c>
      <c r="BJ314" s="83" t="s">
        <v>85</v>
      </c>
      <c r="BK314" s="186">
        <f t="shared" si="29"/>
        <v>0</v>
      </c>
      <c r="BL314" s="83" t="s">
        <v>146</v>
      </c>
      <c r="BM314" s="185" t="s">
        <v>1441</v>
      </c>
    </row>
    <row r="315" spans="1:65" s="95" customFormat="1" ht="37.9" customHeight="1">
      <c r="A315" s="93"/>
      <c r="B315" s="92"/>
      <c r="C315" s="175" t="s">
        <v>493</v>
      </c>
      <c r="D315" s="175" t="s">
        <v>141</v>
      </c>
      <c r="E315" s="176" t="s">
        <v>1442</v>
      </c>
      <c r="F315" s="177" t="s">
        <v>1443</v>
      </c>
      <c r="G315" s="178" t="s">
        <v>297</v>
      </c>
      <c r="H315" s="179">
        <v>1</v>
      </c>
      <c r="I315" s="69"/>
      <c r="J315" s="180">
        <f t="shared" si="20"/>
        <v>0</v>
      </c>
      <c r="K315" s="177" t="s">
        <v>967</v>
      </c>
      <c r="L315" s="92"/>
      <c r="M315" s="181" t="s">
        <v>1</v>
      </c>
      <c r="N315" s="182" t="s">
        <v>44</v>
      </c>
      <c r="O315" s="183">
        <v>2.146</v>
      </c>
      <c r="P315" s="183">
        <f t="shared" si="21"/>
        <v>2.146</v>
      </c>
      <c r="Q315" s="183">
        <v>0</v>
      </c>
      <c r="R315" s="183">
        <f t="shared" si="22"/>
        <v>0</v>
      </c>
      <c r="S315" s="183">
        <v>0.0226</v>
      </c>
      <c r="T315" s="184">
        <f t="shared" si="23"/>
        <v>0.0226</v>
      </c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R315" s="185" t="s">
        <v>146</v>
      </c>
      <c r="AT315" s="185" t="s">
        <v>141</v>
      </c>
      <c r="AU315" s="185" t="s">
        <v>87</v>
      </c>
      <c r="AY315" s="83" t="s">
        <v>139</v>
      </c>
      <c r="BE315" s="186">
        <f t="shared" si="24"/>
        <v>0</v>
      </c>
      <c r="BF315" s="186">
        <f t="shared" si="25"/>
        <v>0</v>
      </c>
      <c r="BG315" s="186">
        <f t="shared" si="26"/>
        <v>0</v>
      </c>
      <c r="BH315" s="186">
        <f t="shared" si="27"/>
        <v>0</v>
      </c>
      <c r="BI315" s="186">
        <f t="shared" si="28"/>
        <v>0</v>
      </c>
      <c r="BJ315" s="83" t="s">
        <v>85</v>
      </c>
      <c r="BK315" s="186">
        <f t="shared" si="29"/>
        <v>0</v>
      </c>
      <c r="BL315" s="83" t="s">
        <v>146</v>
      </c>
      <c r="BM315" s="185" t="s">
        <v>1444</v>
      </c>
    </row>
    <row r="316" spans="1:65" s="95" customFormat="1" ht="37.9" customHeight="1">
      <c r="A316" s="93"/>
      <c r="B316" s="92"/>
      <c r="C316" s="175" t="s">
        <v>497</v>
      </c>
      <c r="D316" s="175" t="s">
        <v>141</v>
      </c>
      <c r="E316" s="176" t="s">
        <v>1445</v>
      </c>
      <c r="F316" s="177" t="s">
        <v>1446</v>
      </c>
      <c r="G316" s="178" t="s">
        <v>297</v>
      </c>
      <c r="H316" s="179">
        <v>12</v>
      </c>
      <c r="I316" s="69"/>
      <c r="J316" s="180">
        <f t="shared" si="20"/>
        <v>0</v>
      </c>
      <c r="K316" s="177" t="s">
        <v>967</v>
      </c>
      <c r="L316" s="92"/>
      <c r="M316" s="181" t="s">
        <v>1</v>
      </c>
      <c r="N316" s="182" t="s">
        <v>44</v>
      </c>
      <c r="O316" s="183">
        <v>3.51</v>
      </c>
      <c r="P316" s="183">
        <f t="shared" si="21"/>
        <v>42.12</v>
      </c>
      <c r="Q316" s="183">
        <v>0</v>
      </c>
      <c r="R316" s="183">
        <f t="shared" si="22"/>
        <v>0</v>
      </c>
      <c r="S316" s="183">
        <v>0</v>
      </c>
      <c r="T316" s="184">
        <f t="shared" si="23"/>
        <v>0</v>
      </c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R316" s="185" t="s">
        <v>146</v>
      </c>
      <c r="AT316" s="185" t="s">
        <v>141</v>
      </c>
      <c r="AU316" s="185" t="s">
        <v>87</v>
      </c>
      <c r="AY316" s="83" t="s">
        <v>139</v>
      </c>
      <c r="BE316" s="186">
        <f t="shared" si="24"/>
        <v>0</v>
      </c>
      <c r="BF316" s="186">
        <f t="shared" si="25"/>
        <v>0</v>
      </c>
      <c r="BG316" s="186">
        <f t="shared" si="26"/>
        <v>0</v>
      </c>
      <c r="BH316" s="186">
        <f t="shared" si="27"/>
        <v>0</v>
      </c>
      <c r="BI316" s="186">
        <f t="shared" si="28"/>
        <v>0</v>
      </c>
      <c r="BJ316" s="83" t="s">
        <v>85</v>
      </c>
      <c r="BK316" s="186">
        <f t="shared" si="29"/>
        <v>0</v>
      </c>
      <c r="BL316" s="83" t="s">
        <v>146</v>
      </c>
      <c r="BM316" s="185" t="s">
        <v>1447</v>
      </c>
    </row>
    <row r="317" spans="1:65" s="95" customFormat="1" ht="24.2" customHeight="1">
      <c r="A317" s="93"/>
      <c r="B317" s="92"/>
      <c r="C317" s="217" t="s">
        <v>501</v>
      </c>
      <c r="D317" s="217" t="s">
        <v>251</v>
      </c>
      <c r="E317" s="218" t="s">
        <v>1448</v>
      </c>
      <c r="F317" s="228" t="s">
        <v>1449</v>
      </c>
      <c r="G317" s="220" t="s">
        <v>297</v>
      </c>
      <c r="H317" s="221">
        <v>12</v>
      </c>
      <c r="I317" s="70"/>
      <c r="J317" s="222">
        <f t="shared" si="20"/>
        <v>0</v>
      </c>
      <c r="K317" s="219" t="s">
        <v>967</v>
      </c>
      <c r="L317" s="223"/>
      <c r="M317" s="224" t="s">
        <v>1</v>
      </c>
      <c r="N317" s="225" t="s">
        <v>44</v>
      </c>
      <c r="O317" s="183">
        <v>0</v>
      </c>
      <c r="P317" s="183">
        <f t="shared" si="21"/>
        <v>0</v>
      </c>
      <c r="Q317" s="183">
        <v>0.0019</v>
      </c>
      <c r="R317" s="183">
        <f t="shared" si="22"/>
        <v>0.0228</v>
      </c>
      <c r="S317" s="183">
        <v>0</v>
      </c>
      <c r="T317" s="184">
        <f t="shared" si="23"/>
        <v>0</v>
      </c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R317" s="185" t="s">
        <v>187</v>
      </c>
      <c r="AT317" s="185" t="s">
        <v>251</v>
      </c>
      <c r="AU317" s="185" t="s">
        <v>87</v>
      </c>
      <c r="AY317" s="83" t="s">
        <v>139</v>
      </c>
      <c r="BE317" s="186">
        <f t="shared" si="24"/>
        <v>0</v>
      </c>
      <c r="BF317" s="186">
        <f t="shared" si="25"/>
        <v>0</v>
      </c>
      <c r="BG317" s="186">
        <f t="shared" si="26"/>
        <v>0</v>
      </c>
      <c r="BH317" s="186">
        <f t="shared" si="27"/>
        <v>0</v>
      </c>
      <c r="BI317" s="186">
        <f t="shared" si="28"/>
        <v>0</v>
      </c>
      <c r="BJ317" s="83" t="s">
        <v>85</v>
      </c>
      <c r="BK317" s="186">
        <f t="shared" si="29"/>
        <v>0</v>
      </c>
      <c r="BL317" s="83" t="s">
        <v>146</v>
      </c>
      <c r="BM317" s="185" t="s">
        <v>1450</v>
      </c>
    </row>
    <row r="318" spans="1:65" s="95" customFormat="1" ht="14.45" customHeight="1">
      <c r="A318" s="93"/>
      <c r="B318" s="92"/>
      <c r="C318" s="175" t="s">
        <v>508</v>
      </c>
      <c r="D318" s="175" t="s">
        <v>141</v>
      </c>
      <c r="E318" s="176" t="s">
        <v>1451</v>
      </c>
      <c r="F318" s="177" t="s">
        <v>1452</v>
      </c>
      <c r="G318" s="178" t="s">
        <v>171</v>
      </c>
      <c r="H318" s="179">
        <v>150.71</v>
      </c>
      <c r="I318" s="69"/>
      <c r="J318" s="180">
        <f t="shared" si="20"/>
        <v>0</v>
      </c>
      <c r="K318" s="177" t="s">
        <v>967</v>
      </c>
      <c r="L318" s="92"/>
      <c r="M318" s="181" t="s">
        <v>1</v>
      </c>
      <c r="N318" s="182" t="s">
        <v>44</v>
      </c>
      <c r="O318" s="183">
        <v>0.044</v>
      </c>
      <c r="P318" s="183">
        <f t="shared" si="21"/>
        <v>6.63124</v>
      </c>
      <c r="Q318" s="183">
        <v>0</v>
      </c>
      <c r="R318" s="183">
        <f t="shared" si="22"/>
        <v>0</v>
      </c>
      <c r="S318" s="183">
        <v>0</v>
      </c>
      <c r="T318" s="184">
        <f t="shared" si="23"/>
        <v>0</v>
      </c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R318" s="185" t="s">
        <v>146</v>
      </c>
      <c r="AT318" s="185" t="s">
        <v>141</v>
      </c>
      <c r="AU318" s="185" t="s">
        <v>87</v>
      </c>
      <c r="AY318" s="83" t="s">
        <v>139</v>
      </c>
      <c r="BE318" s="186">
        <f t="shared" si="24"/>
        <v>0</v>
      </c>
      <c r="BF318" s="186">
        <f t="shared" si="25"/>
        <v>0</v>
      </c>
      <c r="BG318" s="186">
        <f t="shared" si="26"/>
        <v>0</v>
      </c>
      <c r="BH318" s="186">
        <f t="shared" si="27"/>
        <v>0</v>
      </c>
      <c r="BI318" s="186">
        <f t="shared" si="28"/>
        <v>0</v>
      </c>
      <c r="BJ318" s="83" t="s">
        <v>85</v>
      </c>
      <c r="BK318" s="186">
        <f t="shared" si="29"/>
        <v>0</v>
      </c>
      <c r="BL318" s="83" t="s">
        <v>146</v>
      </c>
      <c r="BM318" s="185" t="s">
        <v>1453</v>
      </c>
    </row>
    <row r="319" spans="2:51" s="187" customFormat="1" ht="12">
      <c r="B319" s="188"/>
      <c r="D319" s="189" t="s">
        <v>148</v>
      </c>
      <c r="E319" s="190" t="s">
        <v>1</v>
      </c>
      <c r="F319" s="191" t="s">
        <v>1454</v>
      </c>
      <c r="H319" s="192">
        <v>150.71</v>
      </c>
      <c r="I319" s="233"/>
      <c r="L319" s="188"/>
      <c r="M319" s="193"/>
      <c r="N319" s="194"/>
      <c r="O319" s="194"/>
      <c r="P319" s="194"/>
      <c r="Q319" s="194"/>
      <c r="R319" s="194"/>
      <c r="S319" s="194"/>
      <c r="T319" s="195"/>
      <c r="AT319" s="190" t="s">
        <v>148</v>
      </c>
      <c r="AU319" s="190" t="s">
        <v>87</v>
      </c>
      <c r="AV319" s="187" t="s">
        <v>87</v>
      </c>
      <c r="AW319" s="187" t="s">
        <v>34</v>
      </c>
      <c r="AX319" s="187" t="s">
        <v>85</v>
      </c>
      <c r="AY319" s="190" t="s">
        <v>139</v>
      </c>
    </row>
    <row r="320" spans="1:65" s="95" customFormat="1" ht="24.2" customHeight="1">
      <c r="A320" s="93"/>
      <c r="B320" s="92"/>
      <c r="C320" s="175" t="s">
        <v>512</v>
      </c>
      <c r="D320" s="175" t="s">
        <v>141</v>
      </c>
      <c r="E320" s="176" t="s">
        <v>521</v>
      </c>
      <c r="F320" s="177" t="s">
        <v>522</v>
      </c>
      <c r="G320" s="178" t="s">
        <v>171</v>
      </c>
      <c r="H320" s="179">
        <v>150.71</v>
      </c>
      <c r="I320" s="69"/>
      <c r="J320" s="180">
        <f>ROUND(I320*H320,2)</f>
        <v>0</v>
      </c>
      <c r="K320" s="177" t="s">
        <v>967</v>
      </c>
      <c r="L320" s="92"/>
      <c r="M320" s="181" t="s">
        <v>1</v>
      </c>
      <c r="N320" s="182" t="s">
        <v>44</v>
      </c>
      <c r="O320" s="183">
        <v>0.079</v>
      </c>
      <c r="P320" s="183">
        <f>O320*H320</f>
        <v>11.90609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R320" s="185" t="s">
        <v>146</v>
      </c>
      <c r="AT320" s="185" t="s">
        <v>141</v>
      </c>
      <c r="AU320" s="185" t="s">
        <v>87</v>
      </c>
      <c r="AY320" s="83" t="s">
        <v>139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83" t="s">
        <v>85</v>
      </c>
      <c r="BK320" s="186">
        <f>ROUND(I320*H320,2)</f>
        <v>0</v>
      </c>
      <c r="BL320" s="83" t="s">
        <v>146</v>
      </c>
      <c r="BM320" s="185" t="s">
        <v>1455</v>
      </c>
    </row>
    <row r="321" spans="2:51" s="187" customFormat="1" ht="12">
      <c r="B321" s="188"/>
      <c r="D321" s="189" t="s">
        <v>148</v>
      </c>
      <c r="E321" s="190" t="s">
        <v>1</v>
      </c>
      <c r="F321" s="191" t="s">
        <v>1454</v>
      </c>
      <c r="H321" s="192">
        <v>150.71</v>
      </c>
      <c r="I321" s="233"/>
      <c r="L321" s="188"/>
      <c r="M321" s="193"/>
      <c r="N321" s="194"/>
      <c r="O321" s="194"/>
      <c r="P321" s="194"/>
      <c r="Q321" s="194"/>
      <c r="R321" s="194"/>
      <c r="S321" s="194"/>
      <c r="T321" s="195"/>
      <c r="AT321" s="190" t="s">
        <v>148</v>
      </c>
      <c r="AU321" s="190" t="s">
        <v>87</v>
      </c>
      <c r="AV321" s="187" t="s">
        <v>87</v>
      </c>
      <c r="AW321" s="187" t="s">
        <v>34</v>
      </c>
      <c r="AX321" s="187" t="s">
        <v>85</v>
      </c>
      <c r="AY321" s="190" t="s">
        <v>139</v>
      </c>
    </row>
    <row r="322" spans="1:65" s="95" customFormat="1" ht="24.2" customHeight="1">
      <c r="A322" s="93"/>
      <c r="B322" s="92"/>
      <c r="C322" s="175" t="s">
        <v>516</v>
      </c>
      <c r="D322" s="175" t="s">
        <v>141</v>
      </c>
      <c r="E322" s="176" t="s">
        <v>525</v>
      </c>
      <c r="F322" s="177" t="s">
        <v>526</v>
      </c>
      <c r="G322" s="178" t="s">
        <v>297</v>
      </c>
      <c r="H322" s="179">
        <v>3</v>
      </c>
      <c r="I322" s="69"/>
      <c r="J322" s="180">
        <f>ROUND(I322*H322,2)</f>
        <v>0</v>
      </c>
      <c r="K322" s="177" t="s">
        <v>967</v>
      </c>
      <c r="L322" s="92"/>
      <c r="M322" s="181" t="s">
        <v>1</v>
      </c>
      <c r="N322" s="182" t="s">
        <v>44</v>
      </c>
      <c r="O322" s="183">
        <v>10.3</v>
      </c>
      <c r="P322" s="183">
        <f>O322*H322</f>
        <v>30.900000000000002</v>
      </c>
      <c r="Q322" s="183">
        <v>0.45937</v>
      </c>
      <c r="R322" s="183">
        <f>Q322*H322</f>
        <v>1.37811</v>
      </c>
      <c r="S322" s="183">
        <v>0</v>
      </c>
      <c r="T322" s="184">
        <f>S322*H322</f>
        <v>0</v>
      </c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R322" s="185" t="s">
        <v>146</v>
      </c>
      <c r="AT322" s="185" t="s">
        <v>141</v>
      </c>
      <c r="AU322" s="185" t="s">
        <v>87</v>
      </c>
      <c r="AY322" s="83" t="s">
        <v>139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83" t="s">
        <v>85</v>
      </c>
      <c r="BK322" s="186">
        <f>ROUND(I322*H322,2)</f>
        <v>0</v>
      </c>
      <c r="BL322" s="83" t="s">
        <v>146</v>
      </c>
      <c r="BM322" s="185" t="s">
        <v>1456</v>
      </c>
    </row>
    <row r="323" spans="1:65" s="95" customFormat="1" ht="24.2" customHeight="1">
      <c r="A323" s="93"/>
      <c r="B323" s="92"/>
      <c r="C323" s="175" t="s">
        <v>520</v>
      </c>
      <c r="D323" s="175" t="s">
        <v>141</v>
      </c>
      <c r="E323" s="176" t="s">
        <v>863</v>
      </c>
      <c r="F323" s="177" t="s">
        <v>864</v>
      </c>
      <c r="G323" s="178" t="s">
        <v>297</v>
      </c>
      <c r="H323" s="179">
        <v>1</v>
      </c>
      <c r="I323" s="69"/>
      <c r="J323" s="180">
        <f>ROUND(I323*H323,2)</f>
        <v>0</v>
      </c>
      <c r="K323" s="177" t="s">
        <v>967</v>
      </c>
      <c r="L323" s="92"/>
      <c r="M323" s="181" t="s">
        <v>1</v>
      </c>
      <c r="N323" s="182" t="s">
        <v>44</v>
      </c>
      <c r="O323" s="183">
        <v>0.544</v>
      </c>
      <c r="P323" s="183">
        <f>O323*H323</f>
        <v>0.544</v>
      </c>
      <c r="Q323" s="183">
        <v>0</v>
      </c>
      <c r="R323" s="183">
        <f>Q323*H323</f>
        <v>0</v>
      </c>
      <c r="S323" s="183">
        <v>0.05</v>
      </c>
      <c r="T323" s="184">
        <f>S323*H323</f>
        <v>0.05</v>
      </c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R323" s="185" t="s">
        <v>146</v>
      </c>
      <c r="AT323" s="185" t="s">
        <v>141</v>
      </c>
      <c r="AU323" s="185" t="s">
        <v>87</v>
      </c>
      <c r="AY323" s="83" t="s">
        <v>139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83" t="s">
        <v>85</v>
      </c>
      <c r="BK323" s="186">
        <f>ROUND(I323*H323,2)</f>
        <v>0</v>
      </c>
      <c r="BL323" s="83" t="s">
        <v>146</v>
      </c>
      <c r="BM323" s="185" t="s">
        <v>1457</v>
      </c>
    </row>
    <row r="324" spans="2:51" s="187" customFormat="1" ht="12">
      <c r="B324" s="188"/>
      <c r="D324" s="189" t="s">
        <v>148</v>
      </c>
      <c r="E324" s="190" t="s">
        <v>1</v>
      </c>
      <c r="F324" s="191" t="s">
        <v>1458</v>
      </c>
      <c r="H324" s="192">
        <v>1</v>
      </c>
      <c r="I324" s="233"/>
      <c r="L324" s="188"/>
      <c r="M324" s="193"/>
      <c r="N324" s="194"/>
      <c r="O324" s="194"/>
      <c r="P324" s="194"/>
      <c r="Q324" s="194"/>
      <c r="R324" s="194"/>
      <c r="S324" s="194"/>
      <c r="T324" s="195"/>
      <c r="AT324" s="190" t="s">
        <v>148</v>
      </c>
      <c r="AU324" s="190" t="s">
        <v>87</v>
      </c>
      <c r="AV324" s="187" t="s">
        <v>87</v>
      </c>
      <c r="AW324" s="187" t="s">
        <v>34</v>
      </c>
      <c r="AX324" s="187" t="s">
        <v>85</v>
      </c>
      <c r="AY324" s="190" t="s">
        <v>139</v>
      </c>
    </row>
    <row r="325" spans="1:65" s="95" customFormat="1" ht="14.45" customHeight="1">
      <c r="A325" s="93"/>
      <c r="B325" s="92"/>
      <c r="C325" s="175" t="s">
        <v>524</v>
      </c>
      <c r="D325" s="175" t="s">
        <v>141</v>
      </c>
      <c r="E325" s="176" t="s">
        <v>1459</v>
      </c>
      <c r="F325" s="177" t="s">
        <v>1460</v>
      </c>
      <c r="G325" s="178" t="s">
        <v>297</v>
      </c>
      <c r="H325" s="179">
        <v>12</v>
      </c>
      <c r="I325" s="69"/>
      <c r="J325" s="180">
        <f aca="true" t="shared" si="40" ref="J325:J331">ROUND(I325*H325,2)</f>
        <v>0</v>
      </c>
      <c r="K325" s="177" t="s">
        <v>967</v>
      </c>
      <c r="L325" s="92"/>
      <c r="M325" s="181" t="s">
        <v>1</v>
      </c>
      <c r="N325" s="182" t="s">
        <v>44</v>
      </c>
      <c r="O325" s="183">
        <v>0.772</v>
      </c>
      <c r="P325" s="183">
        <f aca="true" t="shared" si="41" ref="P325:P331">O325*H325</f>
        <v>9.264</v>
      </c>
      <c r="Q325" s="183">
        <v>0.06383</v>
      </c>
      <c r="R325" s="183">
        <f aca="true" t="shared" si="42" ref="R325:R331">Q325*H325</f>
        <v>0.76596</v>
      </c>
      <c r="S325" s="183">
        <v>0</v>
      </c>
      <c r="T325" s="184">
        <f aca="true" t="shared" si="43" ref="T325:T331">S325*H325</f>
        <v>0</v>
      </c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R325" s="185" t="s">
        <v>146</v>
      </c>
      <c r="AT325" s="185" t="s">
        <v>141</v>
      </c>
      <c r="AU325" s="185" t="s">
        <v>87</v>
      </c>
      <c r="AY325" s="83" t="s">
        <v>139</v>
      </c>
      <c r="BE325" s="186">
        <f aca="true" t="shared" si="44" ref="BE325:BE331">IF(N325="základní",J325,0)</f>
        <v>0</v>
      </c>
      <c r="BF325" s="186">
        <f aca="true" t="shared" si="45" ref="BF325:BF331">IF(N325="snížená",J325,0)</f>
        <v>0</v>
      </c>
      <c r="BG325" s="186">
        <f aca="true" t="shared" si="46" ref="BG325:BG331">IF(N325="zákl. přenesená",J325,0)</f>
        <v>0</v>
      </c>
      <c r="BH325" s="186">
        <f aca="true" t="shared" si="47" ref="BH325:BH331">IF(N325="sníž. přenesená",J325,0)</f>
        <v>0</v>
      </c>
      <c r="BI325" s="186">
        <f aca="true" t="shared" si="48" ref="BI325:BI331">IF(N325="nulová",J325,0)</f>
        <v>0</v>
      </c>
      <c r="BJ325" s="83" t="s">
        <v>85</v>
      </c>
      <c r="BK325" s="186">
        <f aca="true" t="shared" si="49" ref="BK325:BK331">ROUND(I325*H325,2)</f>
        <v>0</v>
      </c>
      <c r="BL325" s="83" t="s">
        <v>146</v>
      </c>
      <c r="BM325" s="185" t="s">
        <v>1461</v>
      </c>
    </row>
    <row r="326" spans="1:65" s="95" customFormat="1" ht="14.45" customHeight="1">
      <c r="A326" s="93"/>
      <c r="B326" s="92"/>
      <c r="C326" s="217" t="s">
        <v>528</v>
      </c>
      <c r="D326" s="217" t="s">
        <v>251</v>
      </c>
      <c r="E326" s="218" t="s">
        <v>1462</v>
      </c>
      <c r="F326" s="228" t="s">
        <v>1463</v>
      </c>
      <c r="G326" s="220" t="s">
        <v>297</v>
      </c>
      <c r="H326" s="221">
        <v>12</v>
      </c>
      <c r="I326" s="70"/>
      <c r="J326" s="222">
        <f t="shared" si="40"/>
        <v>0</v>
      </c>
      <c r="K326" s="219" t="s">
        <v>967</v>
      </c>
      <c r="L326" s="223"/>
      <c r="M326" s="224" t="s">
        <v>1</v>
      </c>
      <c r="N326" s="225" t="s">
        <v>44</v>
      </c>
      <c r="O326" s="183">
        <v>0</v>
      </c>
      <c r="P326" s="183">
        <f t="shared" si="41"/>
        <v>0</v>
      </c>
      <c r="Q326" s="183">
        <v>0.0073</v>
      </c>
      <c r="R326" s="183">
        <f t="shared" si="42"/>
        <v>0.0876</v>
      </c>
      <c r="S326" s="183">
        <v>0</v>
      </c>
      <c r="T326" s="184">
        <f t="shared" si="43"/>
        <v>0</v>
      </c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R326" s="185" t="s">
        <v>187</v>
      </c>
      <c r="AT326" s="185" t="s">
        <v>251</v>
      </c>
      <c r="AU326" s="185" t="s">
        <v>87</v>
      </c>
      <c r="AY326" s="83" t="s">
        <v>139</v>
      </c>
      <c r="BE326" s="186">
        <f t="shared" si="44"/>
        <v>0</v>
      </c>
      <c r="BF326" s="186">
        <f t="shared" si="45"/>
        <v>0</v>
      </c>
      <c r="BG326" s="186">
        <f t="shared" si="46"/>
        <v>0</v>
      </c>
      <c r="BH326" s="186">
        <f t="shared" si="47"/>
        <v>0</v>
      </c>
      <c r="BI326" s="186">
        <f t="shared" si="48"/>
        <v>0</v>
      </c>
      <c r="BJ326" s="83" t="s">
        <v>85</v>
      </c>
      <c r="BK326" s="186">
        <f t="shared" si="49"/>
        <v>0</v>
      </c>
      <c r="BL326" s="83" t="s">
        <v>146</v>
      </c>
      <c r="BM326" s="185" t="s">
        <v>1464</v>
      </c>
    </row>
    <row r="327" spans="1:65" s="95" customFormat="1" ht="14.45" customHeight="1">
      <c r="A327" s="93"/>
      <c r="B327" s="92"/>
      <c r="C327" s="175" t="s">
        <v>536</v>
      </c>
      <c r="D327" s="175" t="s">
        <v>141</v>
      </c>
      <c r="E327" s="176" t="s">
        <v>529</v>
      </c>
      <c r="F327" s="177" t="s">
        <v>530</v>
      </c>
      <c r="G327" s="178" t="s">
        <v>297</v>
      </c>
      <c r="H327" s="179">
        <v>7</v>
      </c>
      <c r="I327" s="69"/>
      <c r="J327" s="180">
        <f t="shared" si="40"/>
        <v>0</v>
      </c>
      <c r="K327" s="177" t="s">
        <v>967</v>
      </c>
      <c r="L327" s="92"/>
      <c r="M327" s="181" t="s">
        <v>1</v>
      </c>
      <c r="N327" s="182" t="s">
        <v>44</v>
      </c>
      <c r="O327" s="183">
        <v>0.863</v>
      </c>
      <c r="P327" s="183">
        <f t="shared" si="41"/>
        <v>6.041</v>
      </c>
      <c r="Q327" s="183">
        <v>0.12303</v>
      </c>
      <c r="R327" s="183">
        <f t="shared" si="42"/>
        <v>0.86121</v>
      </c>
      <c r="S327" s="183">
        <v>0</v>
      </c>
      <c r="T327" s="184">
        <f t="shared" si="43"/>
        <v>0</v>
      </c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R327" s="185" t="s">
        <v>146</v>
      </c>
      <c r="AT327" s="185" t="s">
        <v>141</v>
      </c>
      <c r="AU327" s="185" t="s">
        <v>87</v>
      </c>
      <c r="AY327" s="83" t="s">
        <v>139</v>
      </c>
      <c r="BE327" s="186">
        <f t="shared" si="44"/>
        <v>0</v>
      </c>
      <c r="BF327" s="186">
        <f t="shared" si="45"/>
        <v>0</v>
      </c>
      <c r="BG327" s="186">
        <f t="shared" si="46"/>
        <v>0</v>
      </c>
      <c r="BH327" s="186">
        <f t="shared" si="47"/>
        <v>0</v>
      </c>
      <c r="BI327" s="186">
        <f t="shared" si="48"/>
        <v>0</v>
      </c>
      <c r="BJ327" s="83" t="s">
        <v>85</v>
      </c>
      <c r="BK327" s="186">
        <f t="shared" si="49"/>
        <v>0</v>
      </c>
      <c r="BL327" s="83" t="s">
        <v>146</v>
      </c>
      <c r="BM327" s="185" t="s">
        <v>1465</v>
      </c>
    </row>
    <row r="328" spans="1:65" s="95" customFormat="1" ht="24.2" customHeight="1">
      <c r="A328" s="93"/>
      <c r="B328" s="92"/>
      <c r="C328" s="217" t="s">
        <v>537</v>
      </c>
      <c r="D328" s="217" t="s">
        <v>251</v>
      </c>
      <c r="E328" s="218" t="s">
        <v>1466</v>
      </c>
      <c r="F328" s="228" t="s">
        <v>1467</v>
      </c>
      <c r="G328" s="220" t="s">
        <v>297</v>
      </c>
      <c r="H328" s="221">
        <v>7</v>
      </c>
      <c r="I328" s="70"/>
      <c r="J328" s="222">
        <f t="shared" si="40"/>
        <v>0</v>
      </c>
      <c r="K328" s="219" t="s">
        <v>967</v>
      </c>
      <c r="L328" s="223"/>
      <c r="M328" s="224" t="s">
        <v>1</v>
      </c>
      <c r="N328" s="225" t="s">
        <v>44</v>
      </c>
      <c r="O328" s="183">
        <v>0</v>
      </c>
      <c r="P328" s="183">
        <f t="shared" si="41"/>
        <v>0</v>
      </c>
      <c r="Q328" s="183">
        <v>0.0133</v>
      </c>
      <c r="R328" s="183">
        <f t="shared" si="42"/>
        <v>0.09309999999999999</v>
      </c>
      <c r="S328" s="183">
        <v>0</v>
      </c>
      <c r="T328" s="184">
        <f t="shared" si="43"/>
        <v>0</v>
      </c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R328" s="185" t="s">
        <v>187</v>
      </c>
      <c r="AT328" s="185" t="s">
        <v>251</v>
      </c>
      <c r="AU328" s="185" t="s">
        <v>87</v>
      </c>
      <c r="AY328" s="83" t="s">
        <v>139</v>
      </c>
      <c r="BE328" s="186">
        <f t="shared" si="44"/>
        <v>0</v>
      </c>
      <c r="BF328" s="186">
        <f t="shared" si="45"/>
        <v>0</v>
      </c>
      <c r="BG328" s="186">
        <f t="shared" si="46"/>
        <v>0</v>
      </c>
      <c r="BH328" s="186">
        <f t="shared" si="47"/>
        <v>0</v>
      </c>
      <c r="BI328" s="186">
        <f t="shared" si="48"/>
        <v>0</v>
      </c>
      <c r="BJ328" s="83" t="s">
        <v>85</v>
      </c>
      <c r="BK328" s="186">
        <f t="shared" si="49"/>
        <v>0</v>
      </c>
      <c r="BL328" s="83" t="s">
        <v>146</v>
      </c>
      <c r="BM328" s="185" t="s">
        <v>1468</v>
      </c>
    </row>
    <row r="329" spans="1:65" s="95" customFormat="1" ht="14.45" customHeight="1">
      <c r="A329" s="93"/>
      <c r="B329" s="92"/>
      <c r="C329" s="175" t="s">
        <v>545</v>
      </c>
      <c r="D329" s="175" t="s">
        <v>141</v>
      </c>
      <c r="E329" s="176" t="s">
        <v>538</v>
      </c>
      <c r="F329" s="177" t="s">
        <v>539</v>
      </c>
      <c r="G329" s="178" t="s">
        <v>297</v>
      </c>
      <c r="H329" s="179">
        <v>2</v>
      </c>
      <c r="I329" s="69"/>
      <c r="J329" s="180">
        <f t="shared" si="40"/>
        <v>0</v>
      </c>
      <c r="K329" s="177" t="s">
        <v>967</v>
      </c>
      <c r="L329" s="92"/>
      <c r="M329" s="181" t="s">
        <v>1</v>
      </c>
      <c r="N329" s="182" t="s">
        <v>44</v>
      </c>
      <c r="O329" s="183">
        <v>1.182</v>
      </c>
      <c r="P329" s="183">
        <f t="shared" si="41"/>
        <v>2.364</v>
      </c>
      <c r="Q329" s="183">
        <v>0.32906</v>
      </c>
      <c r="R329" s="183">
        <f t="shared" si="42"/>
        <v>0.65812</v>
      </c>
      <c r="S329" s="183">
        <v>0</v>
      </c>
      <c r="T329" s="184">
        <f t="shared" si="43"/>
        <v>0</v>
      </c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R329" s="185" t="s">
        <v>146</v>
      </c>
      <c r="AT329" s="185" t="s">
        <v>141</v>
      </c>
      <c r="AU329" s="185" t="s">
        <v>87</v>
      </c>
      <c r="AY329" s="83" t="s">
        <v>139</v>
      </c>
      <c r="BE329" s="186">
        <f t="shared" si="44"/>
        <v>0</v>
      </c>
      <c r="BF329" s="186">
        <f t="shared" si="45"/>
        <v>0</v>
      </c>
      <c r="BG329" s="186">
        <f t="shared" si="46"/>
        <v>0</v>
      </c>
      <c r="BH329" s="186">
        <f t="shared" si="47"/>
        <v>0</v>
      </c>
      <c r="BI329" s="186">
        <f t="shared" si="48"/>
        <v>0</v>
      </c>
      <c r="BJ329" s="83" t="s">
        <v>85</v>
      </c>
      <c r="BK329" s="186">
        <f t="shared" si="49"/>
        <v>0</v>
      </c>
      <c r="BL329" s="83" t="s">
        <v>146</v>
      </c>
      <c r="BM329" s="185" t="s">
        <v>1469</v>
      </c>
    </row>
    <row r="330" spans="1:65" s="95" customFormat="1" ht="14.45" customHeight="1">
      <c r="A330" s="93"/>
      <c r="B330" s="92"/>
      <c r="C330" s="217" t="s">
        <v>549</v>
      </c>
      <c r="D330" s="217" t="s">
        <v>251</v>
      </c>
      <c r="E330" s="218" t="s">
        <v>1470</v>
      </c>
      <c r="F330" s="228" t="s">
        <v>1471</v>
      </c>
      <c r="G330" s="220" t="s">
        <v>297</v>
      </c>
      <c r="H330" s="221">
        <v>2</v>
      </c>
      <c r="I330" s="70"/>
      <c r="J330" s="222">
        <f t="shared" si="40"/>
        <v>0</v>
      </c>
      <c r="K330" s="219" t="s">
        <v>967</v>
      </c>
      <c r="L330" s="223"/>
      <c r="M330" s="224" t="s">
        <v>1</v>
      </c>
      <c r="N330" s="225" t="s">
        <v>44</v>
      </c>
      <c r="O330" s="183">
        <v>0</v>
      </c>
      <c r="P330" s="183">
        <f t="shared" si="41"/>
        <v>0</v>
      </c>
      <c r="Q330" s="183">
        <v>0.0295</v>
      </c>
      <c r="R330" s="183">
        <f t="shared" si="42"/>
        <v>0.059</v>
      </c>
      <c r="S330" s="183">
        <v>0</v>
      </c>
      <c r="T330" s="184">
        <f t="shared" si="43"/>
        <v>0</v>
      </c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R330" s="185" t="s">
        <v>187</v>
      </c>
      <c r="AT330" s="185" t="s">
        <v>251</v>
      </c>
      <c r="AU330" s="185" t="s">
        <v>87</v>
      </c>
      <c r="AY330" s="83" t="s">
        <v>139</v>
      </c>
      <c r="BE330" s="186">
        <f t="shared" si="44"/>
        <v>0</v>
      </c>
      <c r="BF330" s="186">
        <f t="shared" si="45"/>
        <v>0</v>
      </c>
      <c r="BG330" s="186">
        <f t="shared" si="46"/>
        <v>0</v>
      </c>
      <c r="BH330" s="186">
        <f t="shared" si="47"/>
        <v>0</v>
      </c>
      <c r="BI330" s="186">
        <f t="shared" si="48"/>
        <v>0</v>
      </c>
      <c r="BJ330" s="83" t="s">
        <v>85</v>
      </c>
      <c r="BK330" s="186">
        <f t="shared" si="49"/>
        <v>0</v>
      </c>
      <c r="BL330" s="83" t="s">
        <v>146</v>
      </c>
      <c r="BM330" s="185" t="s">
        <v>1472</v>
      </c>
    </row>
    <row r="331" spans="1:65" s="95" customFormat="1" ht="14.45" customHeight="1">
      <c r="A331" s="93"/>
      <c r="B331" s="92"/>
      <c r="C331" s="217" t="s">
        <v>553</v>
      </c>
      <c r="D331" s="217" t="s">
        <v>251</v>
      </c>
      <c r="E331" s="218" t="s">
        <v>1473</v>
      </c>
      <c r="F331" s="228" t="s">
        <v>547</v>
      </c>
      <c r="G331" s="220" t="s">
        <v>297</v>
      </c>
      <c r="H331" s="221">
        <v>2</v>
      </c>
      <c r="I331" s="70"/>
      <c r="J331" s="222">
        <f t="shared" si="40"/>
        <v>0</v>
      </c>
      <c r="K331" s="219" t="s">
        <v>1</v>
      </c>
      <c r="L331" s="223"/>
      <c r="M331" s="224" t="s">
        <v>1</v>
      </c>
      <c r="N331" s="225" t="s">
        <v>44</v>
      </c>
      <c r="O331" s="183">
        <v>0</v>
      </c>
      <c r="P331" s="183">
        <f t="shared" si="41"/>
        <v>0</v>
      </c>
      <c r="Q331" s="183">
        <v>0.001</v>
      </c>
      <c r="R331" s="183">
        <f t="shared" si="42"/>
        <v>0.002</v>
      </c>
      <c r="S331" s="183">
        <v>0</v>
      </c>
      <c r="T331" s="184">
        <f t="shared" si="43"/>
        <v>0</v>
      </c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R331" s="185" t="s">
        <v>187</v>
      </c>
      <c r="AT331" s="185" t="s">
        <v>251</v>
      </c>
      <c r="AU331" s="185" t="s">
        <v>87</v>
      </c>
      <c r="AY331" s="83" t="s">
        <v>139</v>
      </c>
      <c r="BE331" s="186">
        <f t="shared" si="44"/>
        <v>0</v>
      </c>
      <c r="BF331" s="186">
        <f t="shared" si="45"/>
        <v>0</v>
      </c>
      <c r="BG331" s="186">
        <f t="shared" si="46"/>
        <v>0</v>
      </c>
      <c r="BH331" s="186">
        <f t="shared" si="47"/>
        <v>0</v>
      </c>
      <c r="BI331" s="186">
        <f t="shared" si="48"/>
        <v>0</v>
      </c>
      <c r="BJ331" s="83" t="s">
        <v>85</v>
      </c>
      <c r="BK331" s="186">
        <f t="shared" si="49"/>
        <v>0</v>
      </c>
      <c r="BL331" s="83" t="s">
        <v>146</v>
      </c>
      <c r="BM331" s="185" t="s">
        <v>1474</v>
      </c>
    </row>
    <row r="332" spans="2:63" s="162" customFormat="1" ht="22.9" customHeight="1">
      <c r="B332" s="163"/>
      <c r="D332" s="164" t="s">
        <v>77</v>
      </c>
      <c r="E332" s="173" t="s">
        <v>191</v>
      </c>
      <c r="F332" s="173" t="s">
        <v>562</v>
      </c>
      <c r="I332" s="237"/>
      <c r="J332" s="174">
        <f>SUM(J333:J339)</f>
        <v>0</v>
      </c>
      <c r="L332" s="163"/>
      <c r="M332" s="167"/>
      <c r="N332" s="168"/>
      <c r="O332" s="168"/>
      <c r="P332" s="169">
        <f>SUM(P333:P346)</f>
        <v>80.40992</v>
      </c>
      <c r="Q332" s="168"/>
      <c r="R332" s="169">
        <f>SUM(R333:R346)</f>
        <v>0.0075250000000000004</v>
      </c>
      <c r="S332" s="168"/>
      <c r="T332" s="170">
        <f>SUM(T333:T346)</f>
        <v>0</v>
      </c>
      <c r="AR332" s="164" t="s">
        <v>85</v>
      </c>
      <c r="AT332" s="171" t="s">
        <v>77</v>
      </c>
      <c r="AU332" s="171" t="s">
        <v>85</v>
      </c>
      <c r="AY332" s="164" t="s">
        <v>139</v>
      </c>
      <c r="BK332" s="172">
        <f>SUM(BK333:BK346)</f>
        <v>0</v>
      </c>
    </row>
    <row r="333" spans="1:65" s="95" customFormat="1" ht="37.9" customHeight="1">
      <c r="A333" s="93"/>
      <c r="B333" s="92"/>
      <c r="C333" s="175" t="s">
        <v>557</v>
      </c>
      <c r="D333" s="175" t="s">
        <v>141</v>
      </c>
      <c r="E333" s="176" t="s">
        <v>818</v>
      </c>
      <c r="F333" s="177" t="s">
        <v>819</v>
      </c>
      <c r="G333" s="178" t="s">
        <v>171</v>
      </c>
      <c r="H333" s="179">
        <v>21.5</v>
      </c>
      <c r="I333" s="69"/>
      <c r="J333" s="180">
        <f>ROUND(I333*H333,2)</f>
        <v>0</v>
      </c>
      <c r="K333" s="177" t="s">
        <v>967</v>
      </c>
      <c r="L333" s="92"/>
      <c r="M333" s="181" t="s">
        <v>1</v>
      </c>
      <c r="N333" s="182" t="s">
        <v>44</v>
      </c>
      <c r="O333" s="183">
        <v>0.24</v>
      </c>
      <c r="P333" s="183">
        <f>O333*H333</f>
        <v>5.16</v>
      </c>
      <c r="Q333" s="183">
        <v>1E-05</v>
      </c>
      <c r="R333" s="183">
        <f>Q333*H333</f>
        <v>0.00021500000000000002</v>
      </c>
      <c r="S333" s="183">
        <v>0</v>
      </c>
      <c r="T333" s="184">
        <f>S333*H333</f>
        <v>0</v>
      </c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R333" s="185" t="s">
        <v>146</v>
      </c>
      <c r="AT333" s="185" t="s">
        <v>141</v>
      </c>
      <c r="AU333" s="185" t="s">
        <v>87</v>
      </c>
      <c r="AY333" s="83" t="s">
        <v>139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83" t="s">
        <v>85</v>
      </c>
      <c r="BK333" s="186">
        <f>ROUND(I333*H333,2)</f>
        <v>0</v>
      </c>
      <c r="BL333" s="83" t="s">
        <v>146</v>
      </c>
      <c r="BM333" s="185" t="s">
        <v>1475</v>
      </c>
    </row>
    <row r="334" spans="2:51" s="201" customFormat="1" ht="12">
      <c r="B334" s="202"/>
      <c r="D334" s="189" t="s">
        <v>148</v>
      </c>
      <c r="E334" s="203" t="s">
        <v>1</v>
      </c>
      <c r="F334" s="204" t="s">
        <v>1183</v>
      </c>
      <c r="H334" s="203" t="s">
        <v>1</v>
      </c>
      <c r="I334" s="235"/>
      <c r="L334" s="202"/>
      <c r="M334" s="205"/>
      <c r="N334" s="206"/>
      <c r="O334" s="206"/>
      <c r="P334" s="206"/>
      <c r="Q334" s="206"/>
      <c r="R334" s="206"/>
      <c r="S334" s="206"/>
      <c r="T334" s="207"/>
      <c r="AT334" s="203" t="s">
        <v>148</v>
      </c>
      <c r="AU334" s="203" t="s">
        <v>87</v>
      </c>
      <c r="AV334" s="201" t="s">
        <v>85</v>
      </c>
      <c r="AW334" s="201" t="s">
        <v>34</v>
      </c>
      <c r="AX334" s="201" t="s">
        <v>78</v>
      </c>
      <c r="AY334" s="203" t="s">
        <v>139</v>
      </c>
    </row>
    <row r="335" spans="2:51" s="187" customFormat="1" ht="12">
      <c r="B335" s="188"/>
      <c r="D335" s="189" t="s">
        <v>148</v>
      </c>
      <c r="E335" s="190" t="s">
        <v>1</v>
      </c>
      <c r="F335" s="191" t="s">
        <v>1184</v>
      </c>
      <c r="H335" s="192">
        <v>21.5</v>
      </c>
      <c r="I335" s="233"/>
      <c r="L335" s="188"/>
      <c r="M335" s="193"/>
      <c r="N335" s="194"/>
      <c r="O335" s="194"/>
      <c r="P335" s="194"/>
      <c r="Q335" s="194"/>
      <c r="R335" s="194"/>
      <c r="S335" s="194"/>
      <c r="T335" s="195"/>
      <c r="AT335" s="190" t="s">
        <v>148</v>
      </c>
      <c r="AU335" s="190" t="s">
        <v>87</v>
      </c>
      <c r="AV335" s="187" t="s">
        <v>87</v>
      </c>
      <c r="AW335" s="187" t="s">
        <v>34</v>
      </c>
      <c r="AX335" s="187" t="s">
        <v>85</v>
      </c>
      <c r="AY335" s="190" t="s">
        <v>139</v>
      </c>
    </row>
    <row r="336" spans="1:65" s="95" customFormat="1" ht="49.15" customHeight="1">
      <c r="A336" s="93"/>
      <c r="B336" s="92"/>
      <c r="C336" s="175" t="s">
        <v>563</v>
      </c>
      <c r="D336" s="175" t="s">
        <v>141</v>
      </c>
      <c r="E336" s="176" t="s">
        <v>826</v>
      </c>
      <c r="F336" s="177" t="s">
        <v>827</v>
      </c>
      <c r="G336" s="178" t="s">
        <v>171</v>
      </c>
      <c r="H336" s="179">
        <v>21.5</v>
      </c>
      <c r="I336" s="69"/>
      <c r="J336" s="180">
        <f>ROUND(I336*H336,2)</f>
        <v>0</v>
      </c>
      <c r="K336" s="177" t="s">
        <v>967</v>
      </c>
      <c r="L336" s="92"/>
      <c r="M336" s="181" t="s">
        <v>1</v>
      </c>
      <c r="N336" s="182" t="s">
        <v>44</v>
      </c>
      <c r="O336" s="183">
        <v>0.104</v>
      </c>
      <c r="P336" s="183">
        <f>O336*H336</f>
        <v>2.2359999999999998</v>
      </c>
      <c r="Q336" s="183">
        <v>0.00034</v>
      </c>
      <c r="R336" s="183">
        <f>Q336*H336</f>
        <v>0.0073100000000000005</v>
      </c>
      <c r="S336" s="183">
        <v>0</v>
      </c>
      <c r="T336" s="184">
        <f>S336*H336</f>
        <v>0</v>
      </c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R336" s="185" t="s">
        <v>146</v>
      </c>
      <c r="AT336" s="185" t="s">
        <v>141</v>
      </c>
      <c r="AU336" s="185" t="s">
        <v>87</v>
      </c>
      <c r="AY336" s="83" t="s">
        <v>139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83" t="s">
        <v>85</v>
      </c>
      <c r="BK336" s="186">
        <f>ROUND(I336*H336,2)</f>
        <v>0</v>
      </c>
      <c r="BL336" s="83" t="s">
        <v>146</v>
      </c>
      <c r="BM336" s="185" t="s">
        <v>1476</v>
      </c>
    </row>
    <row r="337" spans="2:51" s="201" customFormat="1" ht="12">
      <c r="B337" s="202"/>
      <c r="D337" s="189" t="s">
        <v>148</v>
      </c>
      <c r="E337" s="203" t="s">
        <v>1</v>
      </c>
      <c r="F337" s="204" t="s">
        <v>1183</v>
      </c>
      <c r="H337" s="203" t="s">
        <v>1</v>
      </c>
      <c r="I337" s="235"/>
      <c r="L337" s="202"/>
      <c r="M337" s="205"/>
      <c r="N337" s="206"/>
      <c r="O337" s="206"/>
      <c r="P337" s="206"/>
      <c r="Q337" s="206"/>
      <c r="R337" s="206"/>
      <c r="S337" s="206"/>
      <c r="T337" s="207"/>
      <c r="AT337" s="203" t="s">
        <v>148</v>
      </c>
      <c r="AU337" s="203" t="s">
        <v>87</v>
      </c>
      <c r="AV337" s="201" t="s">
        <v>85</v>
      </c>
      <c r="AW337" s="201" t="s">
        <v>34</v>
      </c>
      <c r="AX337" s="201" t="s">
        <v>78</v>
      </c>
      <c r="AY337" s="203" t="s">
        <v>139</v>
      </c>
    </row>
    <row r="338" spans="2:51" s="187" customFormat="1" ht="12">
      <c r="B338" s="188"/>
      <c r="D338" s="189" t="s">
        <v>148</v>
      </c>
      <c r="E338" s="190" t="s">
        <v>1</v>
      </c>
      <c r="F338" s="191" t="s">
        <v>1184</v>
      </c>
      <c r="H338" s="192">
        <v>21.5</v>
      </c>
      <c r="I338" s="233"/>
      <c r="L338" s="188"/>
      <c r="M338" s="193"/>
      <c r="N338" s="194"/>
      <c r="O338" s="194"/>
      <c r="P338" s="194"/>
      <c r="Q338" s="194"/>
      <c r="R338" s="194"/>
      <c r="S338" s="194"/>
      <c r="T338" s="195"/>
      <c r="AT338" s="190" t="s">
        <v>148</v>
      </c>
      <c r="AU338" s="190" t="s">
        <v>87</v>
      </c>
      <c r="AV338" s="187" t="s">
        <v>87</v>
      </c>
      <c r="AW338" s="187" t="s">
        <v>34</v>
      </c>
      <c r="AX338" s="187" t="s">
        <v>85</v>
      </c>
      <c r="AY338" s="190" t="s">
        <v>139</v>
      </c>
    </row>
    <row r="339" spans="1:65" s="95" customFormat="1" ht="24.2" customHeight="1">
      <c r="A339" s="93"/>
      <c r="B339" s="92"/>
      <c r="C339" s="175" t="s">
        <v>571</v>
      </c>
      <c r="D339" s="175" t="s">
        <v>141</v>
      </c>
      <c r="E339" s="176" t="s">
        <v>829</v>
      </c>
      <c r="F339" s="177" t="s">
        <v>830</v>
      </c>
      <c r="G339" s="178" t="s">
        <v>171</v>
      </c>
      <c r="H339" s="179">
        <v>372.52</v>
      </c>
      <c r="I339" s="69"/>
      <c r="J339" s="180">
        <f>ROUND(I339*H339,2)</f>
        <v>0</v>
      </c>
      <c r="K339" s="177" t="s">
        <v>967</v>
      </c>
      <c r="L339" s="92"/>
      <c r="M339" s="181" t="s">
        <v>1</v>
      </c>
      <c r="N339" s="182" t="s">
        <v>44</v>
      </c>
      <c r="O339" s="183">
        <v>0.196</v>
      </c>
      <c r="P339" s="183">
        <f>O339*H339</f>
        <v>73.01392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R339" s="185" t="s">
        <v>146</v>
      </c>
      <c r="AT339" s="185" t="s">
        <v>141</v>
      </c>
      <c r="AU339" s="185" t="s">
        <v>87</v>
      </c>
      <c r="AY339" s="83" t="s">
        <v>139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83" t="s">
        <v>85</v>
      </c>
      <c r="BK339" s="186">
        <f>ROUND(I339*H339,2)</f>
        <v>0</v>
      </c>
      <c r="BL339" s="83" t="s">
        <v>146</v>
      </c>
      <c r="BM339" s="185" t="s">
        <v>1481</v>
      </c>
    </row>
    <row r="340" spans="2:51" s="201" customFormat="1" ht="12">
      <c r="B340" s="202"/>
      <c r="D340" s="189" t="s">
        <v>148</v>
      </c>
      <c r="E340" s="203" t="s">
        <v>1</v>
      </c>
      <c r="F340" s="204" t="s">
        <v>1307</v>
      </c>
      <c r="H340" s="203" t="s">
        <v>1</v>
      </c>
      <c r="I340" s="235"/>
      <c r="L340" s="202"/>
      <c r="M340" s="205"/>
      <c r="N340" s="206"/>
      <c r="O340" s="206"/>
      <c r="P340" s="206"/>
      <c r="Q340" s="206"/>
      <c r="R340" s="206"/>
      <c r="S340" s="206"/>
      <c r="T340" s="207"/>
      <c r="AT340" s="203" t="s">
        <v>148</v>
      </c>
      <c r="AU340" s="203" t="s">
        <v>87</v>
      </c>
      <c r="AV340" s="201" t="s">
        <v>85</v>
      </c>
      <c r="AW340" s="201" t="s">
        <v>34</v>
      </c>
      <c r="AX340" s="201" t="s">
        <v>78</v>
      </c>
      <c r="AY340" s="203" t="s">
        <v>139</v>
      </c>
    </row>
    <row r="341" spans="2:51" s="187" customFormat="1" ht="12">
      <c r="B341" s="188"/>
      <c r="D341" s="189" t="s">
        <v>148</v>
      </c>
      <c r="E341" s="190" t="s">
        <v>1</v>
      </c>
      <c r="F341" s="191" t="s">
        <v>1477</v>
      </c>
      <c r="H341" s="192">
        <v>289.22</v>
      </c>
      <c r="I341" s="233"/>
      <c r="L341" s="188"/>
      <c r="M341" s="193"/>
      <c r="N341" s="194"/>
      <c r="O341" s="194"/>
      <c r="P341" s="194"/>
      <c r="Q341" s="194"/>
      <c r="R341" s="194"/>
      <c r="S341" s="194"/>
      <c r="T341" s="195"/>
      <c r="AT341" s="190" t="s">
        <v>148</v>
      </c>
      <c r="AU341" s="190" t="s">
        <v>87</v>
      </c>
      <c r="AV341" s="187" t="s">
        <v>87</v>
      </c>
      <c r="AW341" s="187" t="s">
        <v>34</v>
      </c>
      <c r="AX341" s="187" t="s">
        <v>78</v>
      </c>
      <c r="AY341" s="190" t="s">
        <v>139</v>
      </c>
    </row>
    <row r="342" spans="2:51" s="187" customFormat="1" ht="12">
      <c r="B342" s="188"/>
      <c r="D342" s="189" t="s">
        <v>148</v>
      </c>
      <c r="E342" s="190" t="s">
        <v>1</v>
      </c>
      <c r="F342" s="191" t="s">
        <v>1478</v>
      </c>
      <c r="H342" s="192">
        <v>12.2</v>
      </c>
      <c r="I342" s="233"/>
      <c r="L342" s="188"/>
      <c r="M342" s="193"/>
      <c r="N342" s="194"/>
      <c r="O342" s="194"/>
      <c r="P342" s="194"/>
      <c r="Q342" s="194"/>
      <c r="R342" s="194"/>
      <c r="S342" s="194"/>
      <c r="T342" s="195"/>
      <c r="AT342" s="190" t="s">
        <v>148</v>
      </c>
      <c r="AU342" s="190" t="s">
        <v>87</v>
      </c>
      <c r="AV342" s="187" t="s">
        <v>87</v>
      </c>
      <c r="AW342" s="187" t="s">
        <v>34</v>
      </c>
      <c r="AX342" s="187" t="s">
        <v>78</v>
      </c>
      <c r="AY342" s="190" t="s">
        <v>139</v>
      </c>
    </row>
    <row r="343" spans="2:51" s="187" customFormat="1" ht="12">
      <c r="B343" s="188"/>
      <c r="D343" s="189" t="s">
        <v>148</v>
      </c>
      <c r="E343" s="190" t="s">
        <v>1</v>
      </c>
      <c r="F343" s="191" t="s">
        <v>1479</v>
      </c>
      <c r="H343" s="192">
        <v>55.8</v>
      </c>
      <c r="I343" s="233"/>
      <c r="L343" s="188"/>
      <c r="M343" s="193"/>
      <c r="N343" s="194"/>
      <c r="O343" s="194"/>
      <c r="P343" s="194"/>
      <c r="Q343" s="194"/>
      <c r="R343" s="194"/>
      <c r="S343" s="194"/>
      <c r="T343" s="195"/>
      <c r="AT343" s="190" t="s">
        <v>148</v>
      </c>
      <c r="AU343" s="190" t="s">
        <v>87</v>
      </c>
      <c r="AV343" s="187" t="s">
        <v>87</v>
      </c>
      <c r="AW343" s="187" t="s">
        <v>34</v>
      </c>
      <c r="AX343" s="187" t="s">
        <v>78</v>
      </c>
      <c r="AY343" s="190" t="s">
        <v>139</v>
      </c>
    </row>
    <row r="344" spans="2:51" s="187" customFormat="1" ht="12">
      <c r="B344" s="188"/>
      <c r="D344" s="189" t="s">
        <v>148</v>
      </c>
      <c r="E344" s="190" t="s">
        <v>1</v>
      </c>
      <c r="F344" s="191" t="s">
        <v>630</v>
      </c>
      <c r="H344" s="192">
        <v>3.3</v>
      </c>
      <c r="I344" s="233"/>
      <c r="L344" s="188"/>
      <c r="M344" s="193"/>
      <c r="N344" s="194"/>
      <c r="O344" s="194"/>
      <c r="P344" s="194"/>
      <c r="Q344" s="194"/>
      <c r="R344" s="194"/>
      <c r="S344" s="194"/>
      <c r="T344" s="195"/>
      <c r="AT344" s="190" t="s">
        <v>148</v>
      </c>
      <c r="AU344" s="190" t="s">
        <v>87</v>
      </c>
      <c r="AV344" s="187" t="s">
        <v>87</v>
      </c>
      <c r="AW344" s="187" t="s">
        <v>34</v>
      </c>
      <c r="AX344" s="187" t="s">
        <v>78</v>
      </c>
      <c r="AY344" s="190" t="s">
        <v>139</v>
      </c>
    </row>
    <row r="345" spans="2:51" s="187" customFormat="1" ht="12">
      <c r="B345" s="188"/>
      <c r="D345" s="189" t="s">
        <v>148</v>
      </c>
      <c r="E345" s="190" t="s">
        <v>1</v>
      </c>
      <c r="F345" s="191" t="s">
        <v>1480</v>
      </c>
      <c r="H345" s="192">
        <v>12</v>
      </c>
      <c r="I345" s="233"/>
      <c r="L345" s="188"/>
      <c r="M345" s="193"/>
      <c r="N345" s="194"/>
      <c r="O345" s="194"/>
      <c r="P345" s="194"/>
      <c r="Q345" s="194"/>
      <c r="R345" s="194"/>
      <c r="S345" s="194"/>
      <c r="T345" s="195"/>
      <c r="AT345" s="190" t="s">
        <v>148</v>
      </c>
      <c r="AU345" s="190" t="s">
        <v>87</v>
      </c>
      <c r="AV345" s="187" t="s">
        <v>87</v>
      </c>
      <c r="AW345" s="187" t="s">
        <v>34</v>
      </c>
      <c r="AX345" s="187" t="s">
        <v>78</v>
      </c>
      <c r="AY345" s="190" t="s">
        <v>139</v>
      </c>
    </row>
    <row r="346" spans="2:51" s="208" customFormat="1" ht="12">
      <c r="B346" s="209"/>
      <c r="D346" s="189" t="s">
        <v>148</v>
      </c>
      <c r="E346" s="210" t="s">
        <v>1</v>
      </c>
      <c r="F346" s="211" t="s">
        <v>159</v>
      </c>
      <c r="H346" s="212">
        <v>372.52</v>
      </c>
      <c r="I346" s="236"/>
      <c r="L346" s="209"/>
      <c r="M346" s="213"/>
      <c r="N346" s="214"/>
      <c r="O346" s="214"/>
      <c r="P346" s="214"/>
      <c r="Q346" s="214"/>
      <c r="R346" s="214"/>
      <c r="S346" s="214"/>
      <c r="T346" s="215"/>
      <c r="AT346" s="210" t="s">
        <v>148</v>
      </c>
      <c r="AU346" s="210" t="s">
        <v>87</v>
      </c>
      <c r="AV346" s="208" t="s">
        <v>146</v>
      </c>
      <c r="AW346" s="208" t="s">
        <v>34</v>
      </c>
      <c r="AX346" s="208" t="s">
        <v>85</v>
      </c>
      <c r="AY346" s="210" t="s">
        <v>139</v>
      </c>
    </row>
    <row r="347" spans="2:63" s="162" customFormat="1" ht="22.9" customHeight="1">
      <c r="B347" s="163"/>
      <c r="D347" s="164" t="s">
        <v>77</v>
      </c>
      <c r="E347" s="173" t="s">
        <v>576</v>
      </c>
      <c r="F347" s="173" t="s">
        <v>577</v>
      </c>
      <c r="I347" s="237"/>
      <c r="J347" s="174">
        <f>J348</f>
        <v>0</v>
      </c>
      <c r="L347" s="163"/>
      <c r="M347" s="167"/>
      <c r="N347" s="168"/>
      <c r="O347" s="168"/>
      <c r="P347" s="169">
        <f>SUM(P348:P354)</f>
        <v>2.86734</v>
      </c>
      <c r="Q347" s="168"/>
      <c r="R347" s="169">
        <f>SUM(R348:R354)</f>
        <v>0</v>
      </c>
      <c r="S347" s="168"/>
      <c r="T347" s="170">
        <f>SUM(T348:T354)</f>
        <v>0</v>
      </c>
      <c r="AR347" s="164" t="s">
        <v>85</v>
      </c>
      <c r="AT347" s="171" t="s">
        <v>77</v>
      </c>
      <c r="AU347" s="171" t="s">
        <v>85</v>
      </c>
      <c r="AY347" s="164" t="s">
        <v>139</v>
      </c>
      <c r="BK347" s="172">
        <f>SUM(BK348:BK354)</f>
        <v>0</v>
      </c>
    </row>
    <row r="348" spans="1:65" s="95" customFormat="1" ht="24.2" customHeight="1">
      <c r="A348" s="93"/>
      <c r="B348" s="92"/>
      <c r="C348" s="175" t="s">
        <v>578</v>
      </c>
      <c r="D348" s="175" t="s">
        <v>141</v>
      </c>
      <c r="E348" s="176" t="s">
        <v>579</v>
      </c>
      <c r="F348" s="177" t="s">
        <v>580</v>
      </c>
      <c r="G348" s="178" t="s">
        <v>254</v>
      </c>
      <c r="H348" s="179">
        <f>H354</f>
        <v>95.578</v>
      </c>
      <c r="I348" s="69"/>
      <c r="J348" s="180">
        <f>ROUND(I348*H348,2)</f>
        <v>0</v>
      </c>
      <c r="K348" s="177" t="s">
        <v>1</v>
      </c>
      <c r="L348" s="92"/>
      <c r="M348" s="181" t="s">
        <v>1</v>
      </c>
      <c r="N348" s="182" t="s">
        <v>44</v>
      </c>
      <c r="O348" s="183">
        <v>0.03</v>
      </c>
      <c r="P348" s="183">
        <f>O348*H348</f>
        <v>2.86734</v>
      </c>
      <c r="Q348" s="183">
        <v>0</v>
      </c>
      <c r="R348" s="183">
        <f>Q348*H348</f>
        <v>0</v>
      </c>
      <c r="S348" s="183">
        <v>0</v>
      </c>
      <c r="T348" s="184">
        <f>S348*H348</f>
        <v>0</v>
      </c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R348" s="185" t="s">
        <v>146</v>
      </c>
      <c r="AT348" s="185" t="s">
        <v>141</v>
      </c>
      <c r="AU348" s="185" t="s">
        <v>87</v>
      </c>
      <c r="AY348" s="83" t="s">
        <v>139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83" t="s">
        <v>85</v>
      </c>
      <c r="BK348" s="186">
        <f>ROUND(I348*H348,2)</f>
        <v>0</v>
      </c>
      <c r="BL348" s="83" t="s">
        <v>146</v>
      </c>
      <c r="BM348" s="185" t="s">
        <v>1482</v>
      </c>
    </row>
    <row r="349" spans="2:51" s="201" customFormat="1" ht="12">
      <c r="B349" s="202"/>
      <c r="D349" s="189" t="s">
        <v>148</v>
      </c>
      <c r="E349" s="203" t="s">
        <v>1</v>
      </c>
      <c r="F349" s="204" t="s">
        <v>583</v>
      </c>
      <c r="H349" s="203" t="s">
        <v>1</v>
      </c>
      <c r="I349" s="235"/>
      <c r="L349" s="202"/>
      <c r="M349" s="205"/>
      <c r="N349" s="206"/>
      <c r="O349" s="206"/>
      <c r="P349" s="206"/>
      <c r="Q349" s="206"/>
      <c r="R349" s="206"/>
      <c r="S349" s="206"/>
      <c r="T349" s="207"/>
      <c r="AT349" s="203" t="s">
        <v>148</v>
      </c>
      <c r="AU349" s="203" t="s">
        <v>87</v>
      </c>
      <c r="AV349" s="201" t="s">
        <v>85</v>
      </c>
      <c r="AW349" s="201" t="s">
        <v>34</v>
      </c>
      <c r="AX349" s="201" t="s">
        <v>78</v>
      </c>
      <c r="AY349" s="203" t="s">
        <v>139</v>
      </c>
    </row>
    <row r="350" spans="2:51" s="201" customFormat="1" ht="12">
      <c r="B350" s="202"/>
      <c r="D350" s="189" t="s">
        <v>148</v>
      </c>
      <c r="E350" s="203" t="s">
        <v>1</v>
      </c>
      <c r="F350" s="204" t="s">
        <v>243</v>
      </c>
      <c r="H350" s="203" t="s">
        <v>1</v>
      </c>
      <c r="I350" s="235"/>
      <c r="L350" s="202"/>
      <c r="M350" s="205"/>
      <c r="N350" s="206"/>
      <c r="O350" s="206"/>
      <c r="P350" s="206"/>
      <c r="Q350" s="206"/>
      <c r="R350" s="206"/>
      <c r="S350" s="206"/>
      <c r="T350" s="207"/>
      <c r="AT350" s="203" t="s">
        <v>148</v>
      </c>
      <c r="AU350" s="203" t="s">
        <v>87</v>
      </c>
      <c r="AV350" s="201" t="s">
        <v>85</v>
      </c>
      <c r="AW350" s="201" t="s">
        <v>34</v>
      </c>
      <c r="AX350" s="201" t="s">
        <v>78</v>
      </c>
      <c r="AY350" s="203" t="s">
        <v>139</v>
      </c>
    </row>
    <row r="351" spans="2:51" s="187" customFormat="1" ht="22.5">
      <c r="B351" s="188"/>
      <c r="D351" s="189" t="s">
        <v>148</v>
      </c>
      <c r="E351" s="190" t="s">
        <v>1</v>
      </c>
      <c r="F351" s="191" t="s">
        <v>1483</v>
      </c>
      <c r="H351" s="192">
        <v>41.388</v>
      </c>
      <c r="I351" s="233"/>
      <c r="L351" s="188"/>
      <c r="M351" s="193"/>
      <c r="N351" s="194"/>
      <c r="O351" s="194"/>
      <c r="P351" s="194"/>
      <c r="Q351" s="194"/>
      <c r="R351" s="194"/>
      <c r="S351" s="194"/>
      <c r="T351" s="195"/>
      <c r="AT351" s="190" t="s">
        <v>148</v>
      </c>
      <c r="AU351" s="190" t="s">
        <v>87</v>
      </c>
      <c r="AV351" s="187" t="s">
        <v>87</v>
      </c>
      <c r="AW351" s="187" t="s">
        <v>34</v>
      </c>
      <c r="AX351" s="187" t="s">
        <v>78</v>
      </c>
      <c r="AY351" s="190" t="s">
        <v>139</v>
      </c>
    </row>
    <row r="352" spans="2:51" s="187" customFormat="1" ht="22.5">
      <c r="B352" s="188"/>
      <c r="D352" s="189" t="s">
        <v>148</v>
      </c>
      <c r="E352" s="190" t="s">
        <v>1</v>
      </c>
      <c r="F352" s="191" t="s">
        <v>1484</v>
      </c>
      <c r="H352" s="192">
        <v>50.734</v>
      </c>
      <c r="I352" s="233"/>
      <c r="L352" s="188"/>
      <c r="M352" s="193"/>
      <c r="N352" s="194"/>
      <c r="O352" s="194"/>
      <c r="P352" s="194"/>
      <c r="Q352" s="194"/>
      <c r="R352" s="194"/>
      <c r="S352" s="194"/>
      <c r="T352" s="195"/>
      <c r="AT352" s="190" t="s">
        <v>148</v>
      </c>
      <c r="AU352" s="190" t="s">
        <v>87</v>
      </c>
      <c r="AV352" s="187" t="s">
        <v>87</v>
      </c>
      <c r="AW352" s="187" t="s">
        <v>34</v>
      </c>
      <c r="AX352" s="187" t="s">
        <v>78</v>
      </c>
      <c r="AY352" s="190" t="s">
        <v>139</v>
      </c>
    </row>
    <row r="353" spans="2:51" s="187" customFormat="1" ht="12">
      <c r="B353" s="188"/>
      <c r="D353" s="189" t="s">
        <v>148</v>
      </c>
      <c r="E353" s="190" t="s">
        <v>1</v>
      </c>
      <c r="F353" s="191" t="s">
        <v>1485</v>
      </c>
      <c r="H353" s="192">
        <v>3.456</v>
      </c>
      <c r="I353" s="233"/>
      <c r="L353" s="188"/>
      <c r="M353" s="193"/>
      <c r="N353" s="194"/>
      <c r="O353" s="194"/>
      <c r="P353" s="194"/>
      <c r="Q353" s="194"/>
      <c r="R353" s="194"/>
      <c r="S353" s="194"/>
      <c r="T353" s="195"/>
      <c r="AT353" s="190" t="s">
        <v>148</v>
      </c>
      <c r="AU353" s="190" t="s">
        <v>87</v>
      </c>
      <c r="AV353" s="187" t="s">
        <v>87</v>
      </c>
      <c r="AW353" s="187" t="s">
        <v>34</v>
      </c>
      <c r="AX353" s="187" t="s">
        <v>78</v>
      </c>
      <c r="AY353" s="190" t="s">
        <v>139</v>
      </c>
    </row>
    <row r="354" spans="2:51" s="208" customFormat="1" ht="12">
      <c r="B354" s="209"/>
      <c r="D354" s="189" t="s">
        <v>148</v>
      </c>
      <c r="E354" s="210" t="s">
        <v>1</v>
      </c>
      <c r="F354" s="211" t="s">
        <v>159</v>
      </c>
      <c r="H354" s="212">
        <f>SUM(H351:H353)</f>
        <v>95.578</v>
      </c>
      <c r="I354" s="236"/>
      <c r="L354" s="92"/>
      <c r="M354" s="213"/>
      <c r="N354" s="214"/>
      <c r="O354" s="214"/>
      <c r="P354" s="214"/>
      <c r="Q354" s="214"/>
      <c r="R354" s="214"/>
      <c r="S354" s="214"/>
      <c r="T354" s="215"/>
      <c r="AT354" s="210" t="s">
        <v>148</v>
      </c>
      <c r="AU354" s="210" t="s">
        <v>87</v>
      </c>
      <c r="AV354" s="208" t="s">
        <v>146</v>
      </c>
      <c r="AW354" s="208" t="s">
        <v>34</v>
      </c>
      <c r="AX354" s="208" t="s">
        <v>85</v>
      </c>
      <c r="AY354" s="210" t="s">
        <v>139</v>
      </c>
    </row>
    <row r="355" spans="2:63" s="162" customFormat="1" ht="22.9" customHeight="1">
      <c r="B355" s="163"/>
      <c r="D355" s="164" t="s">
        <v>77</v>
      </c>
      <c r="E355" s="173" t="s">
        <v>584</v>
      </c>
      <c r="F355" s="173" t="s">
        <v>585</v>
      </c>
      <c r="I355" s="237"/>
      <c r="J355" s="174">
        <f>J356</f>
        <v>0</v>
      </c>
      <c r="L355" s="163"/>
      <c r="M355" s="167"/>
      <c r="N355" s="168"/>
      <c r="O355" s="168"/>
      <c r="P355" s="169">
        <f>P356</f>
        <v>7.12494</v>
      </c>
      <c r="Q355" s="168"/>
      <c r="R355" s="169">
        <f>R356</f>
        <v>0</v>
      </c>
      <c r="S355" s="168"/>
      <c r="T355" s="170">
        <f>T356</f>
        <v>0</v>
      </c>
      <c r="AR355" s="164" t="s">
        <v>85</v>
      </c>
      <c r="AT355" s="171" t="s">
        <v>77</v>
      </c>
      <c r="AU355" s="171" t="s">
        <v>85</v>
      </c>
      <c r="AY355" s="164" t="s">
        <v>139</v>
      </c>
      <c r="BK355" s="172">
        <f>BK356</f>
        <v>0</v>
      </c>
    </row>
    <row r="356" spans="1:65" s="95" customFormat="1" ht="37.9" customHeight="1">
      <c r="A356" s="93"/>
      <c r="B356" s="92"/>
      <c r="C356" s="175" t="s">
        <v>586</v>
      </c>
      <c r="D356" s="175" t="s">
        <v>141</v>
      </c>
      <c r="E356" s="176" t="s">
        <v>587</v>
      </c>
      <c r="F356" s="177" t="s">
        <v>588</v>
      </c>
      <c r="G356" s="178" t="s">
        <v>254</v>
      </c>
      <c r="H356" s="179">
        <v>8.605</v>
      </c>
      <c r="I356" s="69"/>
      <c r="J356" s="180">
        <f>ROUND(I356*H356,2)</f>
        <v>0</v>
      </c>
      <c r="K356" s="177" t="s">
        <v>967</v>
      </c>
      <c r="L356" s="92"/>
      <c r="M356" s="181" t="s">
        <v>1</v>
      </c>
      <c r="N356" s="182" t="s">
        <v>44</v>
      </c>
      <c r="O356" s="183">
        <v>0.828</v>
      </c>
      <c r="P356" s="183">
        <f>O356*H356</f>
        <v>7.12494</v>
      </c>
      <c r="Q356" s="183">
        <v>0</v>
      </c>
      <c r="R356" s="183">
        <f>Q356*H356</f>
        <v>0</v>
      </c>
      <c r="S356" s="183">
        <v>0</v>
      </c>
      <c r="T356" s="184">
        <f>S356*H356</f>
        <v>0</v>
      </c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R356" s="185" t="s">
        <v>146</v>
      </c>
      <c r="AT356" s="185" t="s">
        <v>141</v>
      </c>
      <c r="AU356" s="185" t="s">
        <v>87</v>
      </c>
      <c r="AY356" s="83" t="s">
        <v>139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83" t="s">
        <v>85</v>
      </c>
      <c r="BK356" s="186">
        <f>ROUND(I356*H356,2)</f>
        <v>0</v>
      </c>
      <c r="BL356" s="83" t="s">
        <v>146</v>
      </c>
      <c r="BM356" s="185" t="s">
        <v>1486</v>
      </c>
    </row>
    <row r="357" spans="2:63" s="162" customFormat="1" ht="25.9" customHeight="1">
      <c r="B357" s="163"/>
      <c r="D357" s="164" t="s">
        <v>77</v>
      </c>
      <c r="E357" s="165" t="s">
        <v>590</v>
      </c>
      <c r="F357" s="165" t="s">
        <v>591</v>
      </c>
      <c r="I357" s="237"/>
      <c r="J357" s="166">
        <f>SUM(J358:J359)</f>
        <v>0</v>
      </c>
      <c r="L357" s="163"/>
      <c r="M357" s="167"/>
      <c r="N357" s="168"/>
      <c r="O357" s="168"/>
      <c r="P357" s="169">
        <f>SUM(P358:P359)</f>
        <v>12.236690000000001</v>
      </c>
      <c r="Q357" s="168"/>
      <c r="R357" s="169">
        <f>SUM(R358:R359)</f>
        <v>0.0250631</v>
      </c>
      <c r="S357" s="168"/>
      <c r="T357" s="170">
        <f>SUM(T358:T359)</f>
        <v>0</v>
      </c>
      <c r="AR357" s="164" t="s">
        <v>146</v>
      </c>
      <c r="AT357" s="171" t="s">
        <v>77</v>
      </c>
      <c r="AU357" s="171" t="s">
        <v>78</v>
      </c>
      <c r="AY357" s="164" t="s">
        <v>139</v>
      </c>
      <c r="BK357" s="172">
        <f>SUM(BK358:BK359)</f>
        <v>0</v>
      </c>
    </row>
    <row r="358" spans="1:65" s="95" customFormat="1" ht="14.45" customHeight="1">
      <c r="A358" s="93"/>
      <c r="B358" s="92"/>
      <c r="C358" s="175" t="s">
        <v>597</v>
      </c>
      <c r="D358" s="175" t="s">
        <v>141</v>
      </c>
      <c r="E358" s="176" t="s">
        <v>1487</v>
      </c>
      <c r="F358" s="177" t="s">
        <v>1488</v>
      </c>
      <c r="G358" s="178" t="s">
        <v>171</v>
      </c>
      <c r="H358" s="179">
        <v>147.43</v>
      </c>
      <c r="I358" s="69"/>
      <c r="J358" s="180">
        <f>ROUND(I358*H358,2)</f>
        <v>0</v>
      </c>
      <c r="K358" s="177" t="s">
        <v>1</v>
      </c>
      <c r="L358" s="92"/>
      <c r="M358" s="181" t="s">
        <v>1</v>
      </c>
      <c r="N358" s="182" t="s">
        <v>44</v>
      </c>
      <c r="O358" s="183">
        <v>0.083</v>
      </c>
      <c r="P358" s="183">
        <f>O358*H358</f>
        <v>12.236690000000001</v>
      </c>
      <c r="Q358" s="183">
        <v>0.00017</v>
      </c>
      <c r="R358" s="183">
        <f>Q358*H358</f>
        <v>0.0250631</v>
      </c>
      <c r="S358" s="183">
        <v>0</v>
      </c>
      <c r="T358" s="184">
        <f>S358*H358</f>
        <v>0</v>
      </c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R358" s="185" t="s">
        <v>595</v>
      </c>
      <c r="AT358" s="185" t="s">
        <v>141</v>
      </c>
      <c r="AU358" s="185" t="s">
        <v>85</v>
      </c>
      <c r="AY358" s="83" t="s">
        <v>139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83" t="s">
        <v>85</v>
      </c>
      <c r="BK358" s="186">
        <f>ROUND(I358*H358,2)</f>
        <v>0</v>
      </c>
      <c r="BL358" s="83" t="s">
        <v>595</v>
      </c>
      <c r="BM358" s="185" t="s">
        <v>1489</v>
      </c>
    </row>
    <row r="359" spans="1:65" s="95" customFormat="1" ht="14.45" customHeight="1">
      <c r="A359" s="93"/>
      <c r="B359" s="92"/>
      <c r="C359" s="175" t="s">
        <v>844</v>
      </c>
      <c r="D359" s="175" t="s">
        <v>141</v>
      </c>
      <c r="E359" s="176" t="s">
        <v>598</v>
      </c>
      <c r="F359" s="177" t="s">
        <v>599</v>
      </c>
      <c r="G359" s="178" t="s">
        <v>600</v>
      </c>
      <c r="H359" s="179">
        <v>1</v>
      </c>
      <c r="I359" s="69"/>
      <c r="J359" s="180">
        <f>ROUND(I359*H359,2)</f>
        <v>0</v>
      </c>
      <c r="K359" s="177" t="s">
        <v>1</v>
      </c>
      <c r="L359" s="92"/>
      <c r="M359" s="229" t="s">
        <v>1</v>
      </c>
      <c r="N359" s="230" t="s">
        <v>44</v>
      </c>
      <c r="O359" s="231">
        <v>0</v>
      </c>
      <c r="P359" s="231">
        <f>O359*H359</f>
        <v>0</v>
      </c>
      <c r="Q359" s="231">
        <v>0</v>
      </c>
      <c r="R359" s="231">
        <f>Q359*H359</f>
        <v>0</v>
      </c>
      <c r="S359" s="231">
        <v>0</v>
      </c>
      <c r="T359" s="232">
        <f>S359*H359</f>
        <v>0</v>
      </c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R359" s="185" t="s">
        <v>595</v>
      </c>
      <c r="AT359" s="185" t="s">
        <v>141</v>
      </c>
      <c r="AU359" s="185" t="s">
        <v>85</v>
      </c>
      <c r="AY359" s="83" t="s">
        <v>139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83" t="s">
        <v>85</v>
      </c>
      <c r="BK359" s="186">
        <f>ROUND(I359*H359,2)</f>
        <v>0</v>
      </c>
      <c r="BL359" s="83" t="s">
        <v>595</v>
      </c>
      <c r="BM359" s="185" t="s">
        <v>1490</v>
      </c>
    </row>
    <row r="360" spans="1:31" s="95" customFormat="1" ht="6.95" customHeight="1">
      <c r="A360" s="93"/>
      <c r="B360" s="123"/>
      <c r="C360" s="124"/>
      <c r="D360" s="124"/>
      <c r="E360" s="124"/>
      <c r="F360" s="124"/>
      <c r="G360" s="124"/>
      <c r="H360" s="124"/>
      <c r="I360" s="248"/>
      <c r="J360" s="124"/>
      <c r="K360" s="124"/>
      <c r="L360" s="92"/>
      <c r="M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</row>
  </sheetData>
  <sheetProtection password="CC2C" sheet="1" objects="1" scenarios="1"/>
  <mergeCells count="11">
    <mergeCell ref="E85:H85"/>
    <mergeCell ref="L2:V2"/>
    <mergeCell ref="E7:H7"/>
    <mergeCell ref="E9:H9"/>
    <mergeCell ref="E11:H11"/>
    <mergeCell ref="E29:H29"/>
    <mergeCell ref="E87:H87"/>
    <mergeCell ref="E89:H89"/>
    <mergeCell ref="E117:H117"/>
    <mergeCell ref="E119:H119"/>
    <mergeCell ref="E121:H1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0"/>
  <sheetViews>
    <sheetView showGridLines="0" workbookViewId="0" topLeftCell="A78">
      <selection activeCell="I124" sqref="I124:I168"/>
    </sheetView>
  </sheetViews>
  <sheetFormatPr defaultColWidth="9.140625" defaultRowHeight="12"/>
  <cols>
    <col min="1" max="1" width="8.28125" style="82" customWidth="1"/>
    <col min="2" max="2" width="1.1484375" style="82" customWidth="1"/>
    <col min="3" max="3" width="4.140625" style="82" customWidth="1"/>
    <col min="4" max="4" width="4.28125" style="82" customWidth="1"/>
    <col min="5" max="5" width="17.140625" style="82" customWidth="1"/>
    <col min="6" max="6" width="50.8515625" style="82" customWidth="1"/>
    <col min="7" max="7" width="7.421875" style="82" customWidth="1"/>
    <col min="8" max="8" width="14.00390625" style="82" customWidth="1"/>
    <col min="9" max="9" width="15.8515625" style="82" customWidth="1"/>
    <col min="10" max="10" width="22.28125" style="82" customWidth="1"/>
    <col min="11" max="11" width="22.28125" style="82" hidden="1" customWidth="1"/>
    <col min="12" max="12" width="9.28125" style="82" customWidth="1"/>
    <col min="13" max="13" width="10.8515625" style="82" hidden="1" customWidth="1"/>
    <col min="14" max="14" width="9.28125" style="82" hidden="1" customWidth="1"/>
    <col min="15" max="20" width="14.140625" style="82" hidden="1" customWidth="1"/>
    <col min="21" max="21" width="16.28125" style="82" hidden="1" customWidth="1"/>
    <col min="22" max="22" width="12.28125" style="82" customWidth="1"/>
    <col min="23" max="23" width="16.28125" style="82" customWidth="1"/>
    <col min="24" max="24" width="12.28125" style="82" customWidth="1"/>
    <col min="25" max="25" width="15.00390625" style="82" customWidth="1"/>
    <col min="26" max="26" width="11.00390625" style="82" customWidth="1"/>
    <col min="27" max="27" width="15.00390625" style="82" customWidth="1"/>
    <col min="28" max="28" width="16.28125" style="82" customWidth="1"/>
    <col min="29" max="29" width="11.00390625" style="82" customWidth="1"/>
    <col min="30" max="30" width="15.00390625" style="82" customWidth="1"/>
    <col min="31" max="31" width="16.28125" style="82" customWidth="1"/>
    <col min="32" max="43" width="9.28125" style="82" customWidth="1"/>
    <col min="44" max="65" width="9.28125" style="82" hidden="1" customWidth="1"/>
    <col min="66" max="16384" width="9.28125" style="82" customWidth="1"/>
  </cols>
  <sheetData>
    <row r="1" ht="12" hidden="1"/>
    <row r="2" spans="12:46" ht="36.95" customHeight="1" hidden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83" t="s">
        <v>104</v>
      </c>
    </row>
    <row r="3" spans="2:46" ht="6.95" customHeight="1" hidden="1"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AT3" s="83" t="s">
        <v>87</v>
      </c>
    </row>
    <row r="4" spans="2:46" ht="24.95" customHeight="1" hidden="1">
      <c r="B4" s="86"/>
      <c r="D4" s="87" t="s">
        <v>105</v>
      </c>
      <c r="L4" s="86"/>
      <c r="M4" s="88" t="s">
        <v>10</v>
      </c>
      <c r="AT4" s="83" t="s">
        <v>3</v>
      </c>
    </row>
    <row r="5" spans="2:12" ht="6.95" customHeight="1" hidden="1">
      <c r="B5" s="86"/>
      <c r="L5" s="86"/>
    </row>
    <row r="6" spans="2:12" ht="12" customHeight="1" hidden="1">
      <c r="B6" s="86"/>
      <c r="D6" s="90" t="s">
        <v>14</v>
      </c>
      <c r="L6" s="86"/>
    </row>
    <row r="7" spans="2:12" ht="16.5" customHeight="1" hidden="1">
      <c r="B7" s="86"/>
      <c r="E7" s="286" t="str">
        <f>'Rekapitulace stavby'!K6</f>
        <v>Kosmonosy, obnova vodovodu a kanalizace - 3. etapa</v>
      </c>
      <c r="F7" s="289"/>
      <c r="G7" s="289"/>
      <c r="H7" s="289"/>
      <c r="L7" s="86"/>
    </row>
    <row r="8" spans="1:31" s="95" customFormat="1" ht="12" customHeight="1" hidden="1">
      <c r="A8" s="93"/>
      <c r="B8" s="92"/>
      <c r="C8" s="93"/>
      <c r="D8" s="90" t="s">
        <v>106</v>
      </c>
      <c r="E8" s="93"/>
      <c r="F8" s="93"/>
      <c r="G8" s="93"/>
      <c r="H8" s="93"/>
      <c r="I8" s="93"/>
      <c r="J8" s="93"/>
      <c r="K8" s="93"/>
      <c r="L8" s="94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s="95" customFormat="1" ht="16.5" customHeight="1" hidden="1">
      <c r="A9" s="93"/>
      <c r="B9" s="92"/>
      <c r="C9" s="93"/>
      <c r="D9" s="93"/>
      <c r="E9" s="288" t="s">
        <v>879</v>
      </c>
      <c r="F9" s="287"/>
      <c r="G9" s="287"/>
      <c r="H9" s="287"/>
      <c r="I9" s="93"/>
      <c r="J9" s="93"/>
      <c r="K9" s="93"/>
      <c r="L9" s="94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95" customFormat="1" ht="12" hidden="1">
      <c r="A10" s="93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4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s="95" customFormat="1" ht="12" customHeight="1" hidden="1">
      <c r="A11" s="93"/>
      <c r="B11" s="92"/>
      <c r="C11" s="93"/>
      <c r="D11" s="90" t="s">
        <v>16</v>
      </c>
      <c r="E11" s="93"/>
      <c r="F11" s="96" t="s">
        <v>1</v>
      </c>
      <c r="G11" s="93"/>
      <c r="H11" s="93"/>
      <c r="I11" s="90" t="s">
        <v>17</v>
      </c>
      <c r="J11" s="96" t="s">
        <v>1</v>
      </c>
      <c r="K11" s="93"/>
      <c r="L11" s="9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5" customFormat="1" ht="12" customHeight="1" hidden="1">
      <c r="A12" s="93"/>
      <c r="B12" s="92"/>
      <c r="C12" s="93"/>
      <c r="D12" s="90" t="s">
        <v>18</v>
      </c>
      <c r="E12" s="93"/>
      <c r="F12" s="96" t="s">
        <v>19</v>
      </c>
      <c r="G12" s="93"/>
      <c r="H12" s="93"/>
      <c r="I12" s="90" t="s">
        <v>20</v>
      </c>
      <c r="J12" s="97" t="str">
        <f>'Rekapitulace stavby'!AN8</f>
        <v>2. 3. 2020</v>
      </c>
      <c r="K12" s="93"/>
      <c r="L12" s="9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5" customFormat="1" ht="10.9" customHeight="1" hidden="1">
      <c r="A13" s="93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4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5" customFormat="1" ht="12" customHeight="1" hidden="1">
      <c r="A14" s="93"/>
      <c r="B14" s="92"/>
      <c r="C14" s="93"/>
      <c r="D14" s="90" t="s">
        <v>22</v>
      </c>
      <c r="E14" s="93"/>
      <c r="F14" s="93"/>
      <c r="G14" s="93"/>
      <c r="H14" s="93"/>
      <c r="I14" s="90" t="s">
        <v>23</v>
      </c>
      <c r="J14" s="96" t="s">
        <v>1</v>
      </c>
      <c r="K14" s="93"/>
      <c r="L14" s="9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5" customFormat="1" ht="18" customHeight="1" hidden="1">
      <c r="A15" s="93"/>
      <c r="B15" s="92"/>
      <c r="C15" s="93"/>
      <c r="D15" s="93"/>
      <c r="E15" s="96" t="s">
        <v>25</v>
      </c>
      <c r="F15" s="93"/>
      <c r="G15" s="93"/>
      <c r="H15" s="93"/>
      <c r="I15" s="90" t="s">
        <v>26</v>
      </c>
      <c r="J15" s="96" t="s">
        <v>1</v>
      </c>
      <c r="K15" s="93"/>
      <c r="L15" s="9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5" customFormat="1" ht="6.95" customHeight="1" hidden="1">
      <c r="A16" s="9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5" customFormat="1" ht="12" customHeight="1" hidden="1">
      <c r="A17" s="93"/>
      <c r="B17" s="92"/>
      <c r="C17" s="93"/>
      <c r="D17" s="90" t="s">
        <v>28</v>
      </c>
      <c r="E17" s="93"/>
      <c r="F17" s="93"/>
      <c r="G17" s="93"/>
      <c r="H17" s="93"/>
      <c r="I17" s="90" t="s">
        <v>23</v>
      </c>
      <c r="J17" s="96" t="s">
        <v>1</v>
      </c>
      <c r="K17" s="93"/>
      <c r="L17" s="94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5" customFormat="1" ht="18" customHeight="1" hidden="1">
      <c r="A18" s="93"/>
      <c r="B18" s="92"/>
      <c r="C18" s="93"/>
      <c r="D18" s="93"/>
      <c r="E18" s="96" t="s">
        <v>880</v>
      </c>
      <c r="F18" s="93"/>
      <c r="G18" s="93"/>
      <c r="H18" s="93"/>
      <c r="I18" s="90" t="s">
        <v>26</v>
      </c>
      <c r="J18" s="96" t="s">
        <v>1</v>
      </c>
      <c r="K18" s="93"/>
      <c r="L18" s="94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5" customFormat="1" ht="6.95" customHeight="1" hidden="1">
      <c r="A19" s="93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5" customFormat="1" ht="12" customHeight="1" hidden="1">
      <c r="A20" s="93"/>
      <c r="B20" s="92"/>
      <c r="C20" s="93"/>
      <c r="D20" s="90" t="s">
        <v>30</v>
      </c>
      <c r="E20" s="93"/>
      <c r="F20" s="93"/>
      <c r="G20" s="93"/>
      <c r="H20" s="93"/>
      <c r="I20" s="90" t="s">
        <v>23</v>
      </c>
      <c r="J20" s="96" t="s">
        <v>1</v>
      </c>
      <c r="K20" s="93"/>
      <c r="L20" s="94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5" customFormat="1" ht="18" customHeight="1" hidden="1">
      <c r="A21" s="93"/>
      <c r="B21" s="92"/>
      <c r="C21" s="93"/>
      <c r="D21" s="93"/>
      <c r="E21" s="96" t="s">
        <v>881</v>
      </c>
      <c r="F21" s="93"/>
      <c r="G21" s="93"/>
      <c r="H21" s="93"/>
      <c r="I21" s="90" t="s">
        <v>26</v>
      </c>
      <c r="J21" s="96" t="s">
        <v>1</v>
      </c>
      <c r="K21" s="93"/>
      <c r="L21" s="9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5" customFormat="1" ht="6.95" customHeight="1" hidden="1">
      <c r="A22" s="93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5" customFormat="1" ht="12" customHeight="1" hidden="1">
      <c r="A23" s="93"/>
      <c r="B23" s="92"/>
      <c r="C23" s="93"/>
      <c r="D23" s="90" t="s">
        <v>35</v>
      </c>
      <c r="E23" s="93"/>
      <c r="F23" s="93"/>
      <c r="G23" s="93"/>
      <c r="H23" s="93"/>
      <c r="I23" s="90" t="s">
        <v>23</v>
      </c>
      <c r="J23" s="96" t="s">
        <v>1</v>
      </c>
      <c r="K23" s="93"/>
      <c r="L23" s="94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5" customFormat="1" ht="18" customHeight="1" hidden="1">
      <c r="A24" s="93"/>
      <c r="B24" s="92"/>
      <c r="C24" s="93"/>
      <c r="D24" s="93"/>
      <c r="E24" s="96" t="s">
        <v>882</v>
      </c>
      <c r="F24" s="93"/>
      <c r="G24" s="93"/>
      <c r="H24" s="93"/>
      <c r="I24" s="90" t="s">
        <v>26</v>
      </c>
      <c r="J24" s="96" t="s">
        <v>1</v>
      </c>
      <c r="K24" s="93"/>
      <c r="L24" s="94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5" customFormat="1" ht="6.95" customHeight="1" hidden="1">
      <c r="A25" s="93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5" customFormat="1" ht="12" customHeight="1" hidden="1">
      <c r="A26" s="93"/>
      <c r="B26" s="92"/>
      <c r="C26" s="93"/>
      <c r="D26" s="90" t="s">
        <v>37</v>
      </c>
      <c r="E26" s="93"/>
      <c r="F26" s="93"/>
      <c r="G26" s="93"/>
      <c r="H26" s="93"/>
      <c r="I26" s="93"/>
      <c r="J26" s="93"/>
      <c r="K26" s="93"/>
      <c r="L26" s="94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01" customFormat="1" ht="71.25" customHeight="1" hidden="1">
      <c r="A27" s="98"/>
      <c r="B27" s="99"/>
      <c r="C27" s="98"/>
      <c r="D27" s="98"/>
      <c r="E27" s="290" t="s">
        <v>38</v>
      </c>
      <c r="F27" s="290"/>
      <c r="G27" s="290"/>
      <c r="H27" s="290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95" customFormat="1" ht="6.95" customHeight="1" hidden="1">
      <c r="A28" s="93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4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5" customFormat="1" ht="6.95" customHeight="1" hidden="1">
      <c r="A29" s="93"/>
      <c r="B29" s="92"/>
      <c r="C29" s="93"/>
      <c r="D29" s="102"/>
      <c r="E29" s="102"/>
      <c r="F29" s="102"/>
      <c r="G29" s="102"/>
      <c r="H29" s="102"/>
      <c r="I29" s="102"/>
      <c r="J29" s="102"/>
      <c r="K29" s="102"/>
      <c r="L29" s="94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5" customFormat="1" ht="25.35" customHeight="1" hidden="1">
      <c r="A30" s="93"/>
      <c r="B30" s="92"/>
      <c r="C30" s="93"/>
      <c r="D30" s="103" t="s">
        <v>39</v>
      </c>
      <c r="E30" s="93"/>
      <c r="F30" s="93"/>
      <c r="G30" s="93"/>
      <c r="H30" s="93"/>
      <c r="I30" s="93"/>
      <c r="J30" s="104">
        <f>ROUND(J121,2)</f>
        <v>0</v>
      </c>
      <c r="K30" s="93"/>
      <c r="L30" s="94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5" customFormat="1" ht="6.95" customHeight="1" hidden="1">
      <c r="A31" s="93"/>
      <c r="B31" s="92"/>
      <c r="C31" s="93"/>
      <c r="D31" s="102"/>
      <c r="E31" s="102"/>
      <c r="F31" s="102"/>
      <c r="G31" s="102"/>
      <c r="H31" s="102"/>
      <c r="I31" s="102"/>
      <c r="J31" s="102"/>
      <c r="K31" s="102"/>
      <c r="L31" s="9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5" customFormat="1" ht="14.45" customHeight="1" hidden="1">
      <c r="A32" s="93"/>
      <c r="B32" s="92"/>
      <c r="C32" s="93"/>
      <c r="D32" s="93"/>
      <c r="E32" s="93"/>
      <c r="F32" s="105" t="s">
        <v>41</v>
      </c>
      <c r="G32" s="93"/>
      <c r="H32" s="93"/>
      <c r="I32" s="105" t="s">
        <v>40</v>
      </c>
      <c r="J32" s="105" t="s">
        <v>42</v>
      </c>
      <c r="K32" s="93"/>
      <c r="L32" s="9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5" customFormat="1" ht="14.45" customHeight="1" hidden="1">
      <c r="A33" s="93"/>
      <c r="B33" s="92"/>
      <c r="C33" s="93"/>
      <c r="D33" s="249" t="s">
        <v>43</v>
      </c>
      <c r="E33" s="90" t="s">
        <v>44</v>
      </c>
      <c r="F33" s="107">
        <f>ROUND((SUM(BE121:BE169)),2)</f>
        <v>0</v>
      </c>
      <c r="G33" s="93"/>
      <c r="H33" s="93"/>
      <c r="I33" s="108">
        <v>0.21</v>
      </c>
      <c r="J33" s="107">
        <f>ROUND(((SUM(BE121:BE169))*I33),2)</f>
        <v>0</v>
      </c>
      <c r="K33" s="93"/>
      <c r="L33" s="9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5" customFormat="1" ht="14.45" customHeight="1" hidden="1">
      <c r="A34" s="93"/>
      <c r="B34" s="92"/>
      <c r="C34" s="93"/>
      <c r="D34" s="93"/>
      <c r="E34" s="90" t="s">
        <v>45</v>
      </c>
      <c r="F34" s="107">
        <f>ROUND((SUM(BF121:BF169)),2)</f>
        <v>0</v>
      </c>
      <c r="G34" s="93"/>
      <c r="H34" s="93"/>
      <c r="I34" s="108">
        <v>0.15</v>
      </c>
      <c r="J34" s="107">
        <f>ROUND(((SUM(BF121:BF169))*I34),2)</f>
        <v>0</v>
      </c>
      <c r="K34" s="93"/>
      <c r="L34" s="9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5" customFormat="1" ht="14.45" customHeight="1" hidden="1">
      <c r="A35" s="93"/>
      <c r="B35" s="92"/>
      <c r="C35" s="93"/>
      <c r="D35" s="93"/>
      <c r="E35" s="90" t="s">
        <v>46</v>
      </c>
      <c r="F35" s="107">
        <f>ROUND((SUM(BG121:BG169)),2)</f>
        <v>0</v>
      </c>
      <c r="G35" s="93"/>
      <c r="H35" s="93"/>
      <c r="I35" s="108">
        <v>0.21</v>
      </c>
      <c r="J35" s="107">
        <f>0</f>
        <v>0</v>
      </c>
      <c r="K35" s="93"/>
      <c r="L35" s="9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5" customFormat="1" ht="14.45" customHeight="1" hidden="1">
      <c r="A36" s="93"/>
      <c r="B36" s="92"/>
      <c r="C36" s="93"/>
      <c r="D36" s="93"/>
      <c r="E36" s="90" t="s">
        <v>47</v>
      </c>
      <c r="F36" s="107">
        <f>ROUND((SUM(BH121:BH169)),2)</f>
        <v>0</v>
      </c>
      <c r="G36" s="93"/>
      <c r="H36" s="93"/>
      <c r="I36" s="108">
        <v>0.15</v>
      </c>
      <c r="J36" s="107">
        <f>0</f>
        <v>0</v>
      </c>
      <c r="K36" s="93"/>
      <c r="L36" s="9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5" customFormat="1" ht="14.45" customHeight="1" hidden="1">
      <c r="A37" s="93"/>
      <c r="B37" s="92"/>
      <c r="C37" s="93"/>
      <c r="D37" s="93"/>
      <c r="E37" s="90" t="s">
        <v>48</v>
      </c>
      <c r="F37" s="107">
        <f>ROUND((SUM(BI121:BI169)),2)</f>
        <v>0</v>
      </c>
      <c r="G37" s="93"/>
      <c r="H37" s="93"/>
      <c r="I37" s="108">
        <v>0</v>
      </c>
      <c r="J37" s="107">
        <f>0</f>
        <v>0</v>
      </c>
      <c r="K37" s="93"/>
      <c r="L37" s="9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5" customFormat="1" ht="6.95" customHeight="1" hidden="1">
      <c r="A38" s="9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5" customFormat="1" ht="25.35" customHeight="1" hidden="1">
      <c r="A39" s="93"/>
      <c r="B39" s="92"/>
      <c r="C39" s="109"/>
      <c r="D39" s="110" t="s">
        <v>49</v>
      </c>
      <c r="E39" s="111"/>
      <c r="F39" s="111"/>
      <c r="G39" s="112" t="s">
        <v>50</v>
      </c>
      <c r="H39" s="113" t="s">
        <v>51</v>
      </c>
      <c r="I39" s="111"/>
      <c r="J39" s="114">
        <f>SUM(J30:J37)</f>
        <v>0</v>
      </c>
      <c r="K39" s="115"/>
      <c r="L39" s="9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5" customFormat="1" ht="14.45" customHeight="1" hidden="1">
      <c r="A40" s="93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2:12" ht="14.45" customHeight="1" hidden="1">
      <c r="B41" s="86"/>
      <c r="L41" s="86"/>
    </row>
    <row r="42" spans="2:12" ht="14.45" customHeight="1" hidden="1">
      <c r="B42" s="86"/>
      <c r="L42" s="86"/>
    </row>
    <row r="43" spans="2:12" ht="14.45" customHeight="1" hidden="1">
      <c r="B43" s="86"/>
      <c r="L43" s="86"/>
    </row>
    <row r="44" spans="2:12" ht="14.45" customHeight="1" hidden="1">
      <c r="B44" s="86"/>
      <c r="L44" s="86"/>
    </row>
    <row r="45" spans="2:12" ht="14.45" customHeight="1" hidden="1">
      <c r="B45" s="86"/>
      <c r="L45" s="86"/>
    </row>
    <row r="46" spans="2:12" ht="14.45" customHeight="1" hidden="1">
      <c r="B46" s="86"/>
      <c r="L46" s="86"/>
    </row>
    <row r="47" spans="2:12" ht="14.45" customHeight="1" hidden="1">
      <c r="B47" s="86"/>
      <c r="L47" s="86"/>
    </row>
    <row r="48" spans="2:12" ht="14.45" customHeight="1" hidden="1">
      <c r="B48" s="86"/>
      <c r="L48" s="86"/>
    </row>
    <row r="49" spans="2:12" ht="14.45" customHeight="1" hidden="1">
      <c r="B49" s="86"/>
      <c r="L49" s="86"/>
    </row>
    <row r="50" spans="2:12" s="95" customFormat="1" ht="14.45" customHeight="1" hidden="1">
      <c r="B50" s="94"/>
      <c r="D50" s="116" t="s">
        <v>52</v>
      </c>
      <c r="E50" s="117"/>
      <c r="F50" s="117"/>
      <c r="G50" s="116" t="s">
        <v>53</v>
      </c>
      <c r="H50" s="117"/>
      <c r="I50" s="117"/>
      <c r="J50" s="117"/>
      <c r="K50" s="117"/>
      <c r="L50" s="94"/>
    </row>
    <row r="51" spans="2:12" ht="12" hidden="1">
      <c r="B51" s="86"/>
      <c r="L51" s="86"/>
    </row>
    <row r="52" spans="2:12" ht="12" hidden="1">
      <c r="B52" s="86"/>
      <c r="L52" s="86"/>
    </row>
    <row r="53" spans="2:12" ht="12" hidden="1">
      <c r="B53" s="86"/>
      <c r="L53" s="86"/>
    </row>
    <row r="54" spans="2:12" ht="12" hidden="1">
      <c r="B54" s="86"/>
      <c r="L54" s="86"/>
    </row>
    <row r="55" spans="2:12" ht="12" hidden="1">
      <c r="B55" s="86"/>
      <c r="L55" s="86"/>
    </row>
    <row r="56" spans="2:12" ht="12" hidden="1">
      <c r="B56" s="86"/>
      <c r="L56" s="86"/>
    </row>
    <row r="57" spans="2:12" ht="12" hidden="1">
      <c r="B57" s="86"/>
      <c r="L57" s="86"/>
    </row>
    <row r="58" spans="2:12" ht="12" hidden="1">
      <c r="B58" s="86"/>
      <c r="L58" s="86"/>
    </row>
    <row r="59" spans="2:12" ht="12" hidden="1">
      <c r="B59" s="86"/>
      <c r="L59" s="86"/>
    </row>
    <row r="60" spans="2:12" ht="12" hidden="1">
      <c r="B60" s="86"/>
      <c r="L60" s="86"/>
    </row>
    <row r="61" spans="1:31" s="95" customFormat="1" ht="12.75" hidden="1">
      <c r="A61" s="93"/>
      <c r="B61" s="92"/>
      <c r="C61" s="93"/>
      <c r="D61" s="118" t="s">
        <v>54</v>
      </c>
      <c r="E61" s="119"/>
      <c r="F61" s="120" t="s">
        <v>55</v>
      </c>
      <c r="G61" s="118" t="s">
        <v>54</v>
      </c>
      <c r="H61" s="119"/>
      <c r="I61" s="119"/>
      <c r="J61" s="121" t="s">
        <v>55</v>
      </c>
      <c r="K61" s="119"/>
      <c r="L61" s="94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 hidden="1">
      <c r="B62" s="86"/>
      <c r="L62" s="86"/>
    </row>
    <row r="63" spans="2:12" ht="12" hidden="1">
      <c r="B63" s="86"/>
      <c r="L63" s="86"/>
    </row>
    <row r="64" spans="2:12" ht="12" hidden="1">
      <c r="B64" s="86"/>
      <c r="L64" s="86"/>
    </row>
    <row r="65" spans="1:31" s="95" customFormat="1" ht="12.75" hidden="1">
      <c r="A65" s="93"/>
      <c r="B65" s="92"/>
      <c r="C65" s="93"/>
      <c r="D65" s="116" t="s">
        <v>56</v>
      </c>
      <c r="E65" s="122"/>
      <c r="F65" s="122"/>
      <c r="G65" s="116" t="s">
        <v>57</v>
      </c>
      <c r="H65" s="122"/>
      <c r="I65" s="122"/>
      <c r="J65" s="122"/>
      <c r="K65" s="122"/>
      <c r="L65" s="94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 hidden="1">
      <c r="B66" s="86"/>
      <c r="L66" s="86"/>
    </row>
    <row r="67" spans="2:12" ht="12" hidden="1">
      <c r="B67" s="86"/>
      <c r="L67" s="86"/>
    </row>
    <row r="68" spans="2:12" ht="12" hidden="1">
      <c r="B68" s="86"/>
      <c r="L68" s="86"/>
    </row>
    <row r="69" spans="2:12" ht="12" hidden="1">
      <c r="B69" s="86"/>
      <c r="L69" s="86"/>
    </row>
    <row r="70" spans="2:12" ht="12" hidden="1">
      <c r="B70" s="86"/>
      <c r="L70" s="86"/>
    </row>
    <row r="71" spans="2:12" ht="12" hidden="1">
      <c r="B71" s="86"/>
      <c r="L71" s="86"/>
    </row>
    <row r="72" spans="2:12" ht="12" hidden="1">
      <c r="B72" s="86"/>
      <c r="L72" s="86"/>
    </row>
    <row r="73" spans="2:12" ht="12" hidden="1">
      <c r="B73" s="86"/>
      <c r="L73" s="86"/>
    </row>
    <row r="74" spans="2:12" ht="12" hidden="1">
      <c r="B74" s="86"/>
      <c r="L74" s="86"/>
    </row>
    <row r="75" spans="2:12" ht="12" hidden="1">
      <c r="B75" s="86"/>
      <c r="L75" s="86"/>
    </row>
    <row r="76" spans="1:31" s="95" customFormat="1" ht="12.75" hidden="1">
      <c r="A76" s="93"/>
      <c r="B76" s="92"/>
      <c r="C76" s="93"/>
      <c r="D76" s="118" t="s">
        <v>54</v>
      </c>
      <c r="E76" s="119"/>
      <c r="F76" s="120" t="s">
        <v>55</v>
      </c>
      <c r="G76" s="118" t="s">
        <v>54</v>
      </c>
      <c r="H76" s="119"/>
      <c r="I76" s="119"/>
      <c r="J76" s="121" t="s">
        <v>55</v>
      </c>
      <c r="K76" s="119"/>
      <c r="L76" s="94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5" customFormat="1" ht="14.45" customHeight="1" hidden="1">
      <c r="A77" s="93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94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5" customFormat="1" ht="6.95" customHeight="1">
      <c r="A81" s="93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94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5" customFormat="1" ht="24.95" customHeight="1">
      <c r="A82" s="93"/>
      <c r="B82" s="92"/>
      <c r="C82" s="87" t="s">
        <v>110</v>
      </c>
      <c r="D82" s="93"/>
      <c r="E82" s="93"/>
      <c r="F82" s="93"/>
      <c r="G82" s="93"/>
      <c r="H82" s="93"/>
      <c r="I82" s="93"/>
      <c r="J82" s="93"/>
      <c r="K82" s="93"/>
      <c r="L82" s="94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5" customFormat="1" ht="6.95" customHeight="1">
      <c r="A83" s="93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4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5" customFormat="1" ht="12" customHeight="1">
      <c r="A84" s="93"/>
      <c r="B84" s="92"/>
      <c r="C84" s="90" t="s">
        <v>14</v>
      </c>
      <c r="D84" s="93"/>
      <c r="E84" s="93"/>
      <c r="F84" s="93"/>
      <c r="G84" s="93"/>
      <c r="H84" s="93"/>
      <c r="I84" s="93"/>
      <c r="J84" s="93"/>
      <c r="K84" s="93"/>
      <c r="L84" s="94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5" customFormat="1" ht="16.5" customHeight="1">
      <c r="A85" s="93"/>
      <c r="B85" s="92"/>
      <c r="C85" s="93"/>
      <c r="D85" s="93"/>
      <c r="E85" s="286" t="str">
        <f>E7</f>
        <v>Kosmonosy, obnova vodovodu a kanalizace - 3. etapa</v>
      </c>
      <c r="F85" s="289"/>
      <c r="G85" s="289"/>
      <c r="H85" s="289"/>
      <c r="I85" s="93"/>
      <c r="J85" s="93"/>
      <c r="K85" s="93"/>
      <c r="L85" s="94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s="95" customFormat="1" ht="12" customHeight="1">
      <c r="A86" s="93"/>
      <c r="B86" s="92"/>
      <c r="C86" s="90" t="s">
        <v>106</v>
      </c>
      <c r="D86" s="93"/>
      <c r="E86" s="93"/>
      <c r="F86" s="93"/>
      <c r="G86" s="93"/>
      <c r="H86" s="93"/>
      <c r="I86" s="93"/>
      <c r="J86" s="93"/>
      <c r="K86" s="93"/>
      <c r="L86" s="94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s="95" customFormat="1" ht="16.5" customHeight="1">
      <c r="A87" s="93"/>
      <c r="B87" s="92"/>
      <c r="C87" s="93"/>
      <c r="D87" s="93"/>
      <c r="E87" s="288" t="str">
        <f>E9</f>
        <v>06 - Vedlejší a ostaní náklady</v>
      </c>
      <c r="F87" s="287"/>
      <c r="G87" s="287"/>
      <c r="H87" s="287"/>
      <c r="I87" s="93"/>
      <c r="J87" s="93"/>
      <c r="K87" s="93"/>
      <c r="L87" s="94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s="95" customFormat="1" ht="6.95" customHeight="1">
      <c r="A88" s="93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4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s="95" customFormat="1" ht="12" customHeight="1">
      <c r="A89" s="93"/>
      <c r="B89" s="92"/>
      <c r="C89" s="90" t="s">
        <v>18</v>
      </c>
      <c r="D89" s="93"/>
      <c r="E89" s="93"/>
      <c r="F89" s="96" t="str">
        <f>F12</f>
        <v>Kosmonosy</v>
      </c>
      <c r="G89" s="93"/>
      <c r="H89" s="93"/>
      <c r="I89" s="90" t="s">
        <v>20</v>
      </c>
      <c r="J89" s="97" t="str">
        <f>IF(J12="","",J12)</f>
        <v>2. 3. 2020</v>
      </c>
      <c r="K89" s="93"/>
      <c r="L89" s="94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5" customFormat="1" ht="6.95" customHeight="1">
      <c r="A90" s="93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4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5" customFormat="1" ht="40.15" customHeight="1">
      <c r="A91" s="93"/>
      <c r="B91" s="92"/>
      <c r="C91" s="90" t="s">
        <v>22</v>
      </c>
      <c r="D91" s="93"/>
      <c r="E91" s="93"/>
      <c r="F91" s="96" t="str">
        <f>E15</f>
        <v>Vodovody a kanalizace Mladá Boleslav, a.s.</v>
      </c>
      <c r="G91" s="93"/>
      <c r="H91" s="93"/>
      <c r="I91" s="90" t="s">
        <v>30</v>
      </c>
      <c r="J91" s="127" t="str">
        <f>E21</f>
        <v>Šindlar s.r.o., Na Brně 372/2a, Hradec Králové 6</v>
      </c>
      <c r="K91" s="93"/>
      <c r="L91" s="94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5" customFormat="1" ht="25.7" customHeight="1">
      <c r="A92" s="93"/>
      <c r="B92" s="92"/>
      <c r="C92" s="90" t="s">
        <v>28</v>
      </c>
      <c r="D92" s="93"/>
      <c r="E92" s="93"/>
      <c r="F92" s="96" t="str">
        <f>IF(E18="","",E18)</f>
        <v>bude vybrán na podkladě výběrového řízení</v>
      </c>
      <c r="G92" s="93"/>
      <c r="H92" s="93"/>
      <c r="I92" s="90" t="s">
        <v>35</v>
      </c>
      <c r="J92" s="127" t="str">
        <f>E24</f>
        <v>Ing.Roman Bárta a Ing. Tomáš Konečný</v>
      </c>
      <c r="K92" s="93"/>
      <c r="L92" s="94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5" customFormat="1" ht="10.35" customHeight="1">
      <c r="A93" s="93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4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133" customFormat="1" ht="29.25" customHeight="1">
      <c r="A94" s="128"/>
      <c r="B94" s="129"/>
      <c r="C94" s="130" t="s">
        <v>111</v>
      </c>
      <c r="D94" s="128"/>
      <c r="E94" s="128"/>
      <c r="F94" s="128"/>
      <c r="G94" s="128"/>
      <c r="H94" s="128"/>
      <c r="I94" s="128"/>
      <c r="J94" s="131" t="s">
        <v>112</v>
      </c>
      <c r="K94" s="128"/>
      <c r="L94" s="132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</row>
    <row r="95" spans="1:31" s="95" customFormat="1" ht="10.35" customHeight="1">
      <c r="A95" s="93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4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47" s="95" customFormat="1" ht="22.9" customHeight="1">
      <c r="A96" s="93"/>
      <c r="B96" s="92"/>
      <c r="C96" s="134" t="s">
        <v>113</v>
      </c>
      <c r="D96" s="93"/>
      <c r="E96" s="93"/>
      <c r="F96" s="93"/>
      <c r="G96" s="93"/>
      <c r="H96" s="93"/>
      <c r="I96" s="93"/>
      <c r="J96" s="104">
        <f>J97+J99</f>
        <v>0</v>
      </c>
      <c r="K96" s="93"/>
      <c r="L96" s="94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U96" s="83" t="s">
        <v>114</v>
      </c>
    </row>
    <row r="97" spans="2:12" s="135" customFormat="1" ht="24.95" customHeight="1">
      <c r="B97" s="136"/>
      <c r="D97" s="137" t="s">
        <v>883</v>
      </c>
      <c r="E97" s="138"/>
      <c r="F97" s="138"/>
      <c r="G97" s="138"/>
      <c r="H97" s="138"/>
      <c r="I97" s="138"/>
      <c r="J97" s="139">
        <f>J98</f>
        <v>0</v>
      </c>
      <c r="L97" s="136"/>
    </row>
    <row r="98" spans="2:12" s="140" customFormat="1" ht="19.9" customHeight="1">
      <c r="B98" s="141"/>
      <c r="D98" s="142" t="s">
        <v>884</v>
      </c>
      <c r="E98" s="143"/>
      <c r="F98" s="143"/>
      <c r="G98" s="143"/>
      <c r="H98" s="143"/>
      <c r="I98" s="143"/>
      <c r="J98" s="144">
        <f>J123</f>
        <v>0</v>
      </c>
      <c r="L98" s="141"/>
    </row>
    <row r="99" spans="2:12" s="135" customFormat="1" ht="24.95" customHeight="1">
      <c r="B99" s="136"/>
      <c r="D99" s="137" t="s">
        <v>885</v>
      </c>
      <c r="E99" s="138"/>
      <c r="F99" s="138"/>
      <c r="G99" s="138"/>
      <c r="H99" s="138"/>
      <c r="I99" s="138"/>
      <c r="J99" s="139">
        <f>SUM(J100:J101)</f>
        <v>0</v>
      </c>
      <c r="L99" s="136"/>
    </row>
    <row r="100" spans="2:12" s="140" customFormat="1" ht="19.9" customHeight="1">
      <c r="B100" s="141"/>
      <c r="D100" s="142" t="s">
        <v>886</v>
      </c>
      <c r="E100" s="143"/>
      <c r="F100" s="143"/>
      <c r="G100" s="143"/>
      <c r="H100" s="143"/>
      <c r="I100" s="143"/>
      <c r="J100" s="144">
        <f>J131</f>
        <v>0</v>
      </c>
      <c r="L100" s="141"/>
    </row>
    <row r="101" spans="2:12" s="140" customFormat="1" ht="19.9" customHeight="1">
      <c r="B101" s="141"/>
      <c r="D101" s="142" t="s">
        <v>1567</v>
      </c>
      <c r="E101" s="143"/>
      <c r="F101" s="143"/>
      <c r="G101" s="143"/>
      <c r="H101" s="143"/>
      <c r="I101" s="143"/>
      <c r="J101" s="144">
        <f>J148</f>
        <v>0</v>
      </c>
      <c r="L101" s="141"/>
    </row>
    <row r="102" spans="1:31" s="95" customFormat="1" ht="21.75" customHeight="1">
      <c r="A102" s="93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4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1:31" s="95" customFormat="1" ht="6.95" customHeight="1">
      <c r="A103" s="93"/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94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7" spans="1:31" s="95" customFormat="1" ht="6.95" customHeight="1">
      <c r="A107" s="93"/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94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1:31" s="95" customFormat="1" ht="24.95" customHeight="1">
      <c r="A108" s="93"/>
      <c r="B108" s="92"/>
      <c r="C108" s="87" t="s">
        <v>124</v>
      </c>
      <c r="D108" s="93"/>
      <c r="E108" s="93"/>
      <c r="F108" s="93"/>
      <c r="G108" s="93"/>
      <c r="H108" s="93"/>
      <c r="I108" s="93"/>
      <c r="J108" s="93"/>
      <c r="K108" s="93"/>
      <c r="L108" s="94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s="95" customFormat="1" ht="6.95" customHeight="1">
      <c r="A109" s="93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4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1:31" s="95" customFormat="1" ht="12" customHeight="1">
      <c r="A110" s="93"/>
      <c r="B110" s="92"/>
      <c r="C110" s="90" t="s">
        <v>14</v>
      </c>
      <c r="D110" s="93"/>
      <c r="E110" s="93"/>
      <c r="F110" s="93"/>
      <c r="G110" s="93"/>
      <c r="H110" s="93"/>
      <c r="I110" s="93"/>
      <c r="J110" s="93"/>
      <c r="K110" s="93"/>
      <c r="L110" s="94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1:31" s="95" customFormat="1" ht="16.5" customHeight="1">
      <c r="A111" s="93"/>
      <c r="B111" s="92"/>
      <c r="C111" s="93"/>
      <c r="D111" s="93"/>
      <c r="E111" s="286" t="str">
        <f>E7</f>
        <v>Kosmonosy, obnova vodovodu a kanalizace - 3. etapa</v>
      </c>
      <c r="F111" s="289"/>
      <c r="G111" s="289"/>
      <c r="H111" s="289"/>
      <c r="I111" s="93"/>
      <c r="J111" s="93"/>
      <c r="K111" s="93"/>
      <c r="L111" s="94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s="95" customFormat="1" ht="12" customHeight="1">
      <c r="A112" s="93"/>
      <c r="B112" s="92"/>
      <c r="C112" s="90" t="s">
        <v>106</v>
      </c>
      <c r="D112" s="93"/>
      <c r="E112" s="93"/>
      <c r="F112" s="93"/>
      <c r="G112" s="93"/>
      <c r="H112" s="93"/>
      <c r="I112" s="93"/>
      <c r="J112" s="93"/>
      <c r="K112" s="93"/>
      <c r="L112" s="94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s="95" customFormat="1" ht="16.5" customHeight="1">
      <c r="A113" s="93"/>
      <c r="B113" s="92"/>
      <c r="C113" s="93"/>
      <c r="D113" s="93"/>
      <c r="E113" s="288" t="str">
        <f>E9</f>
        <v>06 - Vedlejší a ostaní náklady</v>
      </c>
      <c r="F113" s="287"/>
      <c r="G113" s="287"/>
      <c r="H113" s="287"/>
      <c r="I113" s="93"/>
      <c r="J113" s="93"/>
      <c r="K113" s="93"/>
      <c r="L113" s="94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s="95" customFormat="1" ht="6.95" customHeight="1">
      <c r="A114" s="93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4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s="95" customFormat="1" ht="12" customHeight="1">
      <c r="A115" s="93"/>
      <c r="B115" s="92"/>
      <c r="C115" s="90" t="s">
        <v>18</v>
      </c>
      <c r="D115" s="93"/>
      <c r="E115" s="93"/>
      <c r="F115" s="96" t="str">
        <f>F12</f>
        <v>Kosmonosy</v>
      </c>
      <c r="G115" s="93"/>
      <c r="H115" s="93"/>
      <c r="I115" s="90" t="s">
        <v>20</v>
      </c>
      <c r="J115" s="97" t="str">
        <f>IF(J12="","",J12)</f>
        <v>2. 3. 2020</v>
      </c>
      <c r="K115" s="93"/>
      <c r="L115" s="94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s="95" customFormat="1" ht="6.95" customHeight="1">
      <c r="A116" s="93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4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s="95" customFormat="1" ht="40.15" customHeight="1">
      <c r="A117" s="93"/>
      <c r="B117" s="92"/>
      <c r="C117" s="90" t="s">
        <v>22</v>
      </c>
      <c r="D117" s="93"/>
      <c r="E117" s="93"/>
      <c r="F117" s="96" t="str">
        <f>E15</f>
        <v>Vodovody a kanalizace Mladá Boleslav, a.s.</v>
      </c>
      <c r="G117" s="93"/>
      <c r="H117" s="93"/>
      <c r="I117" s="90" t="s">
        <v>30</v>
      </c>
      <c r="J117" s="127" t="str">
        <f>E21</f>
        <v>Šindlar s.r.o., Na Brně 372/2a, Hradec Králové 6</v>
      </c>
      <c r="K117" s="93"/>
      <c r="L117" s="94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s="95" customFormat="1" ht="25.7" customHeight="1">
      <c r="A118" s="93"/>
      <c r="B118" s="92"/>
      <c r="C118" s="90" t="s">
        <v>28</v>
      </c>
      <c r="D118" s="93"/>
      <c r="E118" s="93"/>
      <c r="F118" s="96" t="str">
        <f>IF(E18="","",E18)</f>
        <v>bude vybrán na podkladě výběrového řízení</v>
      </c>
      <c r="G118" s="93"/>
      <c r="H118" s="93"/>
      <c r="I118" s="90" t="s">
        <v>35</v>
      </c>
      <c r="J118" s="127" t="str">
        <f>E24</f>
        <v>Ing.Roman Bárta a Ing. Tomáš Konečný</v>
      </c>
      <c r="K118" s="93"/>
      <c r="L118" s="94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s="95" customFormat="1" ht="10.35" customHeight="1">
      <c r="A119" s="93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4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154" customFormat="1" ht="29.25" customHeight="1">
      <c r="A120" s="145"/>
      <c r="B120" s="146"/>
      <c r="C120" s="147" t="s">
        <v>125</v>
      </c>
      <c r="D120" s="148" t="s">
        <v>64</v>
      </c>
      <c r="E120" s="148" t="s">
        <v>60</v>
      </c>
      <c r="F120" s="148" t="s">
        <v>61</v>
      </c>
      <c r="G120" s="148" t="s">
        <v>126</v>
      </c>
      <c r="H120" s="148" t="s">
        <v>127</v>
      </c>
      <c r="I120" s="148" t="s">
        <v>128</v>
      </c>
      <c r="J120" s="148" t="s">
        <v>112</v>
      </c>
      <c r="K120" s="149" t="s">
        <v>129</v>
      </c>
      <c r="L120" s="150"/>
      <c r="M120" s="151" t="s">
        <v>1</v>
      </c>
      <c r="N120" s="152" t="s">
        <v>43</v>
      </c>
      <c r="O120" s="152" t="s">
        <v>130</v>
      </c>
      <c r="P120" s="152" t="s">
        <v>131</v>
      </c>
      <c r="Q120" s="152" t="s">
        <v>132</v>
      </c>
      <c r="R120" s="152" t="s">
        <v>133</v>
      </c>
      <c r="S120" s="152" t="s">
        <v>134</v>
      </c>
      <c r="T120" s="153" t="s">
        <v>135</v>
      </c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63" s="95" customFormat="1" ht="22.9" customHeight="1">
      <c r="A121" s="93"/>
      <c r="B121" s="92"/>
      <c r="C121" s="155" t="s">
        <v>136</v>
      </c>
      <c r="D121" s="93"/>
      <c r="E121" s="93"/>
      <c r="F121" s="93"/>
      <c r="G121" s="93"/>
      <c r="H121" s="93"/>
      <c r="I121" s="93"/>
      <c r="J121" s="156"/>
      <c r="K121" s="93"/>
      <c r="L121" s="92"/>
      <c r="M121" s="157"/>
      <c r="N121" s="158"/>
      <c r="O121" s="102"/>
      <c r="P121" s="159" t="e">
        <f>P122+P130</f>
        <v>#REF!</v>
      </c>
      <c r="Q121" s="102"/>
      <c r="R121" s="159" t="e">
        <f>R122+R130</f>
        <v>#REF!</v>
      </c>
      <c r="S121" s="102"/>
      <c r="T121" s="160" t="e">
        <f>T122+T130</f>
        <v>#REF!</v>
      </c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T121" s="83" t="s">
        <v>77</v>
      </c>
      <c r="AU121" s="83" t="s">
        <v>114</v>
      </c>
      <c r="BK121" s="161" t="e">
        <f>BK122+BK130</f>
        <v>#REF!</v>
      </c>
    </row>
    <row r="122" spans="2:63" s="162" customFormat="1" ht="25.9" customHeight="1">
      <c r="B122" s="163"/>
      <c r="D122" s="164" t="s">
        <v>77</v>
      </c>
      <c r="E122" s="165" t="s">
        <v>887</v>
      </c>
      <c r="F122" s="165" t="s">
        <v>888</v>
      </c>
      <c r="J122" s="166"/>
      <c r="L122" s="163"/>
      <c r="M122" s="167"/>
      <c r="N122" s="168"/>
      <c r="O122" s="168"/>
      <c r="P122" s="169">
        <f>P123</f>
        <v>0</v>
      </c>
      <c r="Q122" s="168"/>
      <c r="R122" s="169">
        <f>R123</f>
        <v>0</v>
      </c>
      <c r="S122" s="168"/>
      <c r="T122" s="170">
        <f>T123</f>
        <v>0</v>
      </c>
      <c r="AR122" s="164" t="s">
        <v>146</v>
      </c>
      <c r="AT122" s="171" t="s">
        <v>77</v>
      </c>
      <c r="AU122" s="171" t="s">
        <v>78</v>
      </c>
      <c r="AY122" s="164" t="s">
        <v>139</v>
      </c>
      <c r="BK122" s="172">
        <f>BK123</f>
        <v>0</v>
      </c>
    </row>
    <row r="123" spans="2:63" s="162" customFormat="1" ht="22.9" customHeight="1">
      <c r="B123" s="163"/>
      <c r="D123" s="164" t="s">
        <v>77</v>
      </c>
      <c r="E123" s="173" t="s">
        <v>889</v>
      </c>
      <c r="F123" s="173" t="s">
        <v>591</v>
      </c>
      <c r="J123" s="174">
        <f>SUM(J124:J127)</f>
        <v>0</v>
      </c>
      <c r="L123" s="163"/>
      <c r="M123" s="167"/>
      <c r="N123" s="168"/>
      <c r="O123" s="168"/>
      <c r="P123" s="169">
        <f>SUM(P124:P129)</f>
        <v>0</v>
      </c>
      <c r="Q123" s="168"/>
      <c r="R123" s="169">
        <f>SUM(R124:R129)</f>
        <v>0</v>
      </c>
      <c r="S123" s="168"/>
      <c r="T123" s="170">
        <f>SUM(T124:T129)</f>
        <v>0</v>
      </c>
      <c r="AR123" s="164" t="s">
        <v>146</v>
      </c>
      <c r="AT123" s="171" t="s">
        <v>77</v>
      </c>
      <c r="AU123" s="171" t="s">
        <v>85</v>
      </c>
      <c r="AY123" s="164" t="s">
        <v>139</v>
      </c>
      <c r="BK123" s="172">
        <f>SUM(BK124:BK129)</f>
        <v>0</v>
      </c>
    </row>
    <row r="124" spans="1:65" s="95" customFormat="1" ht="44.25" customHeight="1">
      <c r="A124" s="93"/>
      <c r="B124" s="92"/>
      <c r="C124" s="175" t="s">
        <v>85</v>
      </c>
      <c r="D124" s="175" t="s">
        <v>141</v>
      </c>
      <c r="E124" s="176" t="s">
        <v>890</v>
      </c>
      <c r="F124" s="177" t="s">
        <v>891</v>
      </c>
      <c r="G124" s="178" t="s">
        <v>892</v>
      </c>
      <c r="H124" s="179">
        <v>8</v>
      </c>
      <c r="I124" s="69"/>
      <c r="J124" s="180">
        <f>ROUND(I124*H124,2)</f>
        <v>0</v>
      </c>
      <c r="K124" s="177" t="s">
        <v>1</v>
      </c>
      <c r="L124" s="92"/>
      <c r="M124" s="181" t="s">
        <v>1</v>
      </c>
      <c r="N124" s="182" t="s">
        <v>44</v>
      </c>
      <c r="O124" s="183">
        <v>0</v>
      </c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R124" s="185" t="s">
        <v>893</v>
      </c>
      <c r="AT124" s="185" t="s">
        <v>141</v>
      </c>
      <c r="AU124" s="185" t="s">
        <v>87</v>
      </c>
      <c r="AY124" s="83" t="s">
        <v>139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83" t="s">
        <v>85</v>
      </c>
      <c r="BK124" s="186">
        <f>ROUND(I124*H124,2)</f>
        <v>0</v>
      </c>
      <c r="BL124" s="83" t="s">
        <v>893</v>
      </c>
      <c r="BM124" s="185" t="s">
        <v>894</v>
      </c>
    </row>
    <row r="125" spans="2:51" s="201" customFormat="1" ht="12">
      <c r="B125" s="202"/>
      <c r="D125" s="189" t="s">
        <v>148</v>
      </c>
      <c r="E125" s="203" t="s">
        <v>1</v>
      </c>
      <c r="F125" s="204" t="s">
        <v>895</v>
      </c>
      <c r="H125" s="203" t="s">
        <v>1</v>
      </c>
      <c r="I125" s="235"/>
      <c r="L125" s="202"/>
      <c r="M125" s="205"/>
      <c r="N125" s="206"/>
      <c r="O125" s="206"/>
      <c r="P125" s="206"/>
      <c r="Q125" s="206"/>
      <c r="R125" s="206"/>
      <c r="S125" s="206"/>
      <c r="T125" s="207"/>
      <c r="AT125" s="203" t="s">
        <v>148</v>
      </c>
      <c r="AU125" s="203" t="s">
        <v>87</v>
      </c>
      <c r="AV125" s="201" t="s">
        <v>85</v>
      </c>
      <c r="AW125" s="201" t="s">
        <v>34</v>
      </c>
      <c r="AX125" s="201" t="s">
        <v>78</v>
      </c>
      <c r="AY125" s="203" t="s">
        <v>139</v>
      </c>
    </row>
    <row r="126" spans="2:51" s="201" customFormat="1" ht="22.5">
      <c r="B126" s="202"/>
      <c r="D126" s="189" t="s">
        <v>148</v>
      </c>
      <c r="E126" s="203" t="s">
        <v>1</v>
      </c>
      <c r="F126" s="204" t="s">
        <v>896</v>
      </c>
      <c r="H126" s="203" t="s">
        <v>1</v>
      </c>
      <c r="I126" s="235"/>
      <c r="L126" s="202"/>
      <c r="M126" s="205"/>
      <c r="N126" s="206"/>
      <c r="O126" s="206"/>
      <c r="P126" s="206"/>
      <c r="Q126" s="206"/>
      <c r="R126" s="206"/>
      <c r="S126" s="206"/>
      <c r="T126" s="207"/>
      <c r="AT126" s="203" t="s">
        <v>148</v>
      </c>
      <c r="AU126" s="203" t="s">
        <v>87</v>
      </c>
      <c r="AV126" s="201" t="s">
        <v>85</v>
      </c>
      <c r="AW126" s="201" t="s">
        <v>34</v>
      </c>
      <c r="AX126" s="201" t="s">
        <v>78</v>
      </c>
      <c r="AY126" s="203" t="s">
        <v>139</v>
      </c>
    </row>
    <row r="127" spans="1:65" s="95" customFormat="1" ht="16.5" customHeight="1">
      <c r="A127" s="93"/>
      <c r="B127" s="92"/>
      <c r="C127" s="175" t="s">
        <v>87</v>
      </c>
      <c r="D127" s="175" t="s">
        <v>141</v>
      </c>
      <c r="E127" s="176" t="s">
        <v>897</v>
      </c>
      <c r="F127" s="177" t="s">
        <v>898</v>
      </c>
      <c r="G127" s="178" t="s">
        <v>892</v>
      </c>
      <c r="H127" s="179">
        <v>1</v>
      </c>
      <c r="I127" s="69"/>
      <c r="J127" s="180">
        <f>ROUND(I127*H127,2)</f>
        <v>0</v>
      </c>
      <c r="K127" s="177" t="s">
        <v>1</v>
      </c>
      <c r="L127" s="92"/>
      <c r="M127" s="181" t="s">
        <v>1</v>
      </c>
      <c r="N127" s="182" t="s">
        <v>44</v>
      </c>
      <c r="O127" s="183">
        <v>0</v>
      </c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R127" s="185" t="s">
        <v>893</v>
      </c>
      <c r="AT127" s="185" t="s">
        <v>141</v>
      </c>
      <c r="AU127" s="185" t="s">
        <v>87</v>
      </c>
      <c r="AY127" s="83" t="s">
        <v>139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83" t="s">
        <v>85</v>
      </c>
      <c r="BK127" s="186">
        <f>ROUND(I127*H127,2)</f>
        <v>0</v>
      </c>
      <c r="BL127" s="83" t="s">
        <v>893</v>
      </c>
      <c r="BM127" s="185" t="s">
        <v>899</v>
      </c>
    </row>
    <row r="128" spans="2:51" s="201" customFormat="1" ht="12">
      <c r="B128" s="202"/>
      <c r="D128" s="189" t="s">
        <v>148</v>
      </c>
      <c r="E128" s="203" t="s">
        <v>1</v>
      </c>
      <c r="F128" s="204" t="s">
        <v>900</v>
      </c>
      <c r="H128" s="203" t="s">
        <v>1</v>
      </c>
      <c r="I128" s="235"/>
      <c r="L128" s="202"/>
      <c r="M128" s="205"/>
      <c r="N128" s="206"/>
      <c r="O128" s="206"/>
      <c r="P128" s="206"/>
      <c r="Q128" s="206"/>
      <c r="R128" s="206"/>
      <c r="S128" s="206"/>
      <c r="T128" s="207"/>
      <c r="AT128" s="203" t="s">
        <v>148</v>
      </c>
      <c r="AU128" s="203" t="s">
        <v>87</v>
      </c>
      <c r="AV128" s="201" t="s">
        <v>85</v>
      </c>
      <c r="AW128" s="201" t="s">
        <v>34</v>
      </c>
      <c r="AX128" s="201" t="s">
        <v>78</v>
      </c>
      <c r="AY128" s="203" t="s">
        <v>139</v>
      </c>
    </row>
    <row r="129" spans="2:51" s="201" customFormat="1" ht="33.75">
      <c r="B129" s="202"/>
      <c r="D129" s="189" t="s">
        <v>148</v>
      </c>
      <c r="E129" s="203" t="s">
        <v>1</v>
      </c>
      <c r="F129" s="204" t="s">
        <v>1564</v>
      </c>
      <c r="H129" s="203" t="s">
        <v>1</v>
      </c>
      <c r="I129" s="235"/>
      <c r="L129" s="202"/>
      <c r="M129" s="205"/>
      <c r="N129" s="206"/>
      <c r="O129" s="206"/>
      <c r="P129" s="206"/>
      <c r="Q129" s="206"/>
      <c r="R129" s="206"/>
      <c r="S129" s="206"/>
      <c r="T129" s="207"/>
      <c r="AT129" s="203" t="s">
        <v>148</v>
      </c>
      <c r="AU129" s="203" t="s">
        <v>87</v>
      </c>
      <c r="AV129" s="201" t="s">
        <v>85</v>
      </c>
      <c r="AW129" s="201" t="s">
        <v>34</v>
      </c>
      <c r="AX129" s="201" t="s">
        <v>78</v>
      </c>
      <c r="AY129" s="203" t="s">
        <v>139</v>
      </c>
    </row>
    <row r="130" spans="2:63" s="162" customFormat="1" ht="25.9" customHeight="1">
      <c r="B130" s="163"/>
      <c r="D130" s="164" t="s">
        <v>77</v>
      </c>
      <c r="E130" s="165" t="s">
        <v>901</v>
      </c>
      <c r="F130" s="165" t="s">
        <v>902</v>
      </c>
      <c r="I130" s="237"/>
      <c r="J130" s="166"/>
      <c r="L130" s="163"/>
      <c r="M130" s="167"/>
      <c r="N130" s="168"/>
      <c r="O130" s="168"/>
      <c r="P130" s="169" t="e">
        <f>P131+P148+#REF!</f>
        <v>#REF!</v>
      </c>
      <c r="Q130" s="168"/>
      <c r="R130" s="169" t="e">
        <f>R131+R148+#REF!</f>
        <v>#REF!</v>
      </c>
      <c r="S130" s="168"/>
      <c r="T130" s="170" t="e">
        <f>T131+T148+#REF!</f>
        <v>#REF!</v>
      </c>
      <c r="AR130" s="164" t="s">
        <v>168</v>
      </c>
      <c r="AT130" s="171" t="s">
        <v>77</v>
      </c>
      <c r="AU130" s="171" t="s">
        <v>78</v>
      </c>
      <c r="AY130" s="164" t="s">
        <v>139</v>
      </c>
      <c r="BK130" s="172" t="e">
        <f>BK131+BK148+#REF!</f>
        <v>#REF!</v>
      </c>
    </row>
    <row r="131" spans="2:63" s="162" customFormat="1" ht="22.9" customHeight="1">
      <c r="B131" s="163"/>
      <c r="D131" s="164" t="s">
        <v>77</v>
      </c>
      <c r="E131" s="173" t="s">
        <v>903</v>
      </c>
      <c r="F131" s="173" t="s">
        <v>904</v>
      </c>
      <c r="I131" s="237"/>
      <c r="J131" s="174">
        <f>SUM(J132:J143)</f>
        <v>0</v>
      </c>
      <c r="L131" s="163"/>
      <c r="M131" s="167"/>
      <c r="N131" s="168"/>
      <c r="O131" s="168"/>
      <c r="P131" s="169">
        <f>SUM(P132:P147)</f>
        <v>0</v>
      </c>
      <c r="Q131" s="168"/>
      <c r="R131" s="169">
        <f>SUM(R132:R147)</f>
        <v>0</v>
      </c>
      <c r="S131" s="168"/>
      <c r="T131" s="170">
        <f>SUM(T132:T147)</f>
        <v>0</v>
      </c>
      <c r="AR131" s="164" t="s">
        <v>168</v>
      </c>
      <c r="AT131" s="171" t="s">
        <v>77</v>
      </c>
      <c r="AU131" s="171" t="s">
        <v>85</v>
      </c>
      <c r="AY131" s="164" t="s">
        <v>139</v>
      </c>
      <c r="BK131" s="172">
        <f>SUM(BK132:BK147)</f>
        <v>0</v>
      </c>
    </row>
    <row r="132" spans="1:65" s="95" customFormat="1" ht="21.75" customHeight="1">
      <c r="A132" s="93"/>
      <c r="B132" s="92"/>
      <c r="C132" s="175" t="s">
        <v>160</v>
      </c>
      <c r="D132" s="175" t="s">
        <v>141</v>
      </c>
      <c r="E132" s="176" t="s">
        <v>905</v>
      </c>
      <c r="F132" s="177" t="s">
        <v>906</v>
      </c>
      <c r="G132" s="178" t="s">
        <v>892</v>
      </c>
      <c r="H132" s="179">
        <v>1</v>
      </c>
      <c r="I132" s="69"/>
      <c r="J132" s="180">
        <f>ROUND(I132*H132,2)</f>
        <v>0</v>
      </c>
      <c r="K132" s="177" t="s">
        <v>504</v>
      </c>
      <c r="L132" s="92"/>
      <c r="M132" s="181" t="s">
        <v>1</v>
      </c>
      <c r="N132" s="182" t="s">
        <v>44</v>
      </c>
      <c r="O132" s="183">
        <v>0</v>
      </c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R132" s="185" t="s">
        <v>893</v>
      </c>
      <c r="AT132" s="185" t="s">
        <v>141</v>
      </c>
      <c r="AU132" s="185" t="s">
        <v>87</v>
      </c>
      <c r="AY132" s="83" t="s">
        <v>139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3" t="s">
        <v>85</v>
      </c>
      <c r="BK132" s="186">
        <f>ROUND(I132*H132,2)</f>
        <v>0</v>
      </c>
      <c r="BL132" s="83" t="s">
        <v>893</v>
      </c>
      <c r="BM132" s="185" t="s">
        <v>907</v>
      </c>
    </row>
    <row r="133" spans="1:65" s="95" customFormat="1" ht="30.75" customHeight="1">
      <c r="A133" s="93"/>
      <c r="B133" s="92"/>
      <c r="C133" s="175" t="s">
        <v>146</v>
      </c>
      <c r="D133" s="175" t="s">
        <v>141</v>
      </c>
      <c r="E133" s="176" t="s">
        <v>908</v>
      </c>
      <c r="F133" s="177" t="s">
        <v>1562</v>
      </c>
      <c r="G133" s="178" t="s">
        <v>600</v>
      </c>
      <c r="H133" s="179">
        <v>1</v>
      </c>
      <c r="I133" s="69"/>
      <c r="J133" s="180">
        <f>ROUND(I133*H133,2)</f>
        <v>0</v>
      </c>
      <c r="K133" s="177" t="s">
        <v>504</v>
      </c>
      <c r="L133" s="92"/>
      <c r="M133" s="181" t="s">
        <v>1</v>
      </c>
      <c r="N133" s="182" t="s">
        <v>44</v>
      </c>
      <c r="O133" s="183">
        <v>0</v>
      </c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R133" s="185" t="s">
        <v>893</v>
      </c>
      <c r="AT133" s="185" t="s">
        <v>141</v>
      </c>
      <c r="AU133" s="185" t="s">
        <v>87</v>
      </c>
      <c r="AY133" s="83" t="s">
        <v>139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3" t="s">
        <v>85</v>
      </c>
      <c r="BK133" s="186">
        <f>ROUND(I133*H133,2)</f>
        <v>0</v>
      </c>
      <c r="BL133" s="83" t="s">
        <v>893</v>
      </c>
      <c r="BM133" s="185" t="s">
        <v>909</v>
      </c>
    </row>
    <row r="134" spans="1:65" s="95" customFormat="1" ht="16.5" customHeight="1">
      <c r="A134" s="93"/>
      <c r="B134" s="92"/>
      <c r="C134" s="175" t="s">
        <v>168</v>
      </c>
      <c r="D134" s="175" t="s">
        <v>141</v>
      </c>
      <c r="E134" s="176" t="s">
        <v>910</v>
      </c>
      <c r="F134" s="177" t="s">
        <v>911</v>
      </c>
      <c r="G134" s="178" t="s">
        <v>600</v>
      </c>
      <c r="H134" s="179">
        <v>8</v>
      </c>
      <c r="I134" s="69"/>
      <c r="J134" s="180">
        <f>ROUND(I134*H134,2)</f>
        <v>0</v>
      </c>
      <c r="K134" s="177" t="s">
        <v>504</v>
      </c>
      <c r="L134" s="92"/>
      <c r="M134" s="181" t="s">
        <v>1</v>
      </c>
      <c r="N134" s="182" t="s">
        <v>44</v>
      </c>
      <c r="O134" s="183">
        <v>0</v>
      </c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R134" s="185" t="s">
        <v>893</v>
      </c>
      <c r="AT134" s="185" t="s">
        <v>141</v>
      </c>
      <c r="AU134" s="185" t="s">
        <v>87</v>
      </c>
      <c r="AY134" s="83" t="s">
        <v>139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3" t="s">
        <v>85</v>
      </c>
      <c r="BK134" s="186">
        <f>ROUND(I134*H134,2)</f>
        <v>0</v>
      </c>
      <c r="BL134" s="83" t="s">
        <v>893</v>
      </c>
      <c r="BM134" s="185" t="s">
        <v>912</v>
      </c>
    </row>
    <row r="135" spans="1:65" s="95" customFormat="1" ht="36">
      <c r="A135" s="93"/>
      <c r="B135" s="92"/>
      <c r="C135" s="175" t="s">
        <v>174</v>
      </c>
      <c r="D135" s="175" t="s">
        <v>141</v>
      </c>
      <c r="E135" s="176" t="s">
        <v>913</v>
      </c>
      <c r="F135" s="177" t="s">
        <v>914</v>
      </c>
      <c r="G135" s="178" t="s">
        <v>892</v>
      </c>
      <c r="H135" s="179">
        <v>1</v>
      </c>
      <c r="I135" s="69"/>
      <c r="J135" s="180">
        <f>ROUND(I135*H135,2)</f>
        <v>0</v>
      </c>
      <c r="K135" s="177" t="s">
        <v>504</v>
      </c>
      <c r="L135" s="92"/>
      <c r="M135" s="181" t="s">
        <v>1</v>
      </c>
      <c r="N135" s="182" t="s">
        <v>44</v>
      </c>
      <c r="O135" s="183">
        <v>0</v>
      </c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R135" s="185" t="s">
        <v>893</v>
      </c>
      <c r="AT135" s="185" t="s">
        <v>141</v>
      </c>
      <c r="AU135" s="185" t="s">
        <v>87</v>
      </c>
      <c r="AY135" s="83" t="s">
        <v>139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83" t="s">
        <v>85</v>
      </c>
      <c r="BK135" s="186">
        <f>ROUND(I135*H135,2)</f>
        <v>0</v>
      </c>
      <c r="BL135" s="83" t="s">
        <v>893</v>
      </c>
      <c r="BM135" s="185" t="s">
        <v>915</v>
      </c>
    </row>
    <row r="136" spans="2:51" s="201" customFormat="1" ht="22.5">
      <c r="B136" s="202"/>
      <c r="D136" s="189" t="s">
        <v>148</v>
      </c>
      <c r="E136" s="203" t="s">
        <v>1</v>
      </c>
      <c r="F136" s="204" t="s">
        <v>916</v>
      </c>
      <c r="H136" s="203" t="s">
        <v>1</v>
      </c>
      <c r="I136" s="235"/>
      <c r="L136" s="202"/>
      <c r="M136" s="205"/>
      <c r="N136" s="206"/>
      <c r="O136" s="206"/>
      <c r="P136" s="206"/>
      <c r="Q136" s="206"/>
      <c r="R136" s="206"/>
      <c r="S136" s="206"/>
      <c r="T136" s="207"/>
      <c r="AT136" s="203" t="s">
        <v>148</v>
      </c>
      <c r="AU136" s="203" t="s">
        <v>87</v>
      </c>
      <c r="AV136" s="201" t="s">
        <v>85</v>
      </c>
      <c r="AW136" s="201" t="s">
        <v>34</v>
      </c>
      <c r="AX136" s="201" t="s">
        <v>78</v>
      </c>
      <c r="AY136" s="203" t="s">
        <v>139</v>
      </c>
    </row>
    <row r="137" spans="1:65" s="95" customFormat="1" ht="21.75" customHeight="1">
      <c r="A137" s="93"/>
      <c r="B137" s="92"/>
      <c r="C137" s="175" t="s">
        <v>181</v>
      </c>
      <c r="D137" s="175" t="s">
        <v>141</v>
      </c>
      <c r="E137" s="176" t="s">
        <v>917</v>
      </c>
      <c r="F137" s="177" t="s">
        <v>918</v>
      </c>
      <c r="G137" s="178" t="s">
        <v>892</v>
      </c>
      <c r="H137" s="179">
        <v>1</v>
      </c>
      <c r="I137" s="69"/>
      <c r="J137" s="180">
        <f>ROUND(I137*H137,2)</f>
        <v>0</v>
      </c>
      <c r="K137" s="177" t="s">
        <v>1</v>
      </c>
      <c r="L137" s="92"/>
      <c r="M137" s="181" t="s">
        <v>1</v>
      </c>
      <c r="N137" s="182" t="s">
        <v>44</v>
      </c>
      <c r="O137" s="183">
        <v>0</v>
      </c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5" t="s">
        <v>893</v>
      </c>
      <c r="AT137" s="185" t="s">
        <v>141</v>
      </c>
      <c r="AU137" s="185" t="s">
        <v>87</v>
      </c>
      <c r="AY137" s="83" t="s">
        <v>139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3" t="s">
        <v>85</v>
      </c>
      <c r="BK137" s="186">
        <f>ROUND(I137*H137,2)</f>
        <v>0</v>
      </c>
      <c r="BL137" s="83" t="s">
        <v>893</v>
      </c>
      <c r="BM137" s="185" t="s">
        <v>919</v>
      </c>
    </row>
    <row r="138" spans="2:51" s="201" customFormat="1" ht="12">
      <c r="B138" s="202"/>
      <c r="D138" s="189" t="s">
        <v>148</v>
      </c>
      <c r="E138" s="203" t="s">
        <v>1</v>
      </c>
      <c r="F138" s="204" t="s">
        <v>920</v>
      </c>
      <c r="H138" s="203" t="s">
        <v>1</v>
      </c>
      <c r="I138" s="235"/>
      <c r="L138" s="202"/>
      <c r="M138" s="205"/>
      <c r="N138" s="206"/>
      <c r="O138" s="206"/>
      <c r="P138" s="206"/>
      <c r="Q138" s="206"/>
      <c r="R138" s="206"/>
      <c r="S138" s="206"/>
      <c r="T138" s="207"/>
      <c r="AT138" s="203" t="s">
        <v>148</v>
      </c>
      <c r="AU138" s="203" t="s">
        <v>87</v>
      </c>
      <c r="AV138" s="201" t="s">
        <v>85</v>
      </c>
      <c r="AW138" s="201" t="s">
        <v>34</v>
      </c>
      <c r="AX138" s="201" t="s">
        <v>78</v>
      </c>
      <c r="AY138" s="203" t="s">
        <v>139</v>
      </c>
    </row>
    <row r="139" spans="1:65" s="95" customFormat="1" ht="66.75" customHeight="1">
      <c r="A139" s="93"/>
      <c r="B139" s="92"/>
      <c r="C139" s="175" t="s">
        <v>187</v>
      </c>
      <c r="D139" s="175" t="s">
        <v>141</v>
      </c>
      <c r="E139" s="176" t="s">
        <v>921</v>
      </c>
      <c r="F139" s="177" t="s">
        <v>922</v>
      </c>
      <c r="G139" s="178" t="s">
        <v>892</v>
      </c>
      <c r="H139" s="179">
        <v>1</v>
      </c>
      <c r="I139" s="69"/>
      <c r="J139" s="180">
        <f>ROUND(I139*H139,2)</f>
        <v>0</v>
      </c>
      <c r="K139" s="177" t="s">
        <v>504</v>
      </c>
      <c r="L139" s="92"/>
      <c r="M139" s="181" t="s">
        <v>1</v>
      </c>
      <c r="N139" s="182" t="s">
        <v>44</v>
      </c>
      <c r="O139" s="183">
        <v>0</v>
      </c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5" t="s">
        <v>893</v>
      </c>
      <c r="AT139" s="185" t="s">
        <v>141</v>
      </c>
      <c r="AU139" s="185" t="s">
        <v>87</v>
      </c>
      <c r="AY139" s="83" t="s">
        <v>139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3" t="s">
        <v>85</v>
      </c>
      <c r="BK139" s="186">
        <f>ROUND(I139*H139,2)</f>
        <v>0</v>
      </c>
      <c r="BL139" s="83" t="s">
        <v>893</v>
      </c>
      <c r="BM139" s="185" t="s">
        <v>923</v>
      </c>
    </row>
    <row r="140" spans="2:51" s="201" customFormat="1" ht="12">
      <c r="B140" s="202"/>
      <c r="D140" s="189" t="s">
        <v>148</v>
      </c>
      <c r="E140" s="203" t="s">
        <v>1</v>
      </c>
      <c r="F140" s="204" t="s">
        <v>924</v>
      </c>
      <c r="H140" s="203" t="s">
        <v>1</v>
      </c>
      <c r="I140" s="235"/>
      <c r="L140" s="202"/>
      <c r="M140" s="205"/>
      <c r="N140" s="206"/>
      <c r="O140" s="206"/>
      <c r="P140" s="206"/>
      <c r="Q140" s="206"/>
      <c r="R140" s="206"/>
      <c r="S140" s="206"/>
      <c r="T140" s="207"/>
      <c r="AT140" s="203" t="s">
        <v>148</v>
      </c>
      <c r="AU140" s="203" t="s">
        <v>87</v>
      </c>
      <c r="AV140" s="201" t="s">
        <v>85</v>
      </c>
      <c r="AW140" s="201" t="s">
        <v>34</v>
      </c>
      <c r="AX140" s="201" t="s">
        <v>78</v>
      </c>
      <c r="AY140" s="203" t="s">
        <v>139</v>
      </c>
    </row>
    <row r="141" spans="2:51" s="201" customFormat="1" ht="22.5">
      <c r="B141" s="202"/>
      <c r="D141" s="189" t="s">
        <v>148</v>
      </c>
      <c r="E141" s="203" t="s">
        <v>1</v>
      </c>
      <c r="F141" s="204" t="s">
        <v>925</v>
      </c>
      <c r="H141" s="203" t="s">
        <v>1</v>
      </c>
      <c r="I141" s="235"/>
      <c r="L141" s="202"/>
      <c r="M141" s="205"/>
      <c r="N141" s="206"/>
      <c r="O141" s="206"/>
      <c r="P141" s="206"/>
      <c r="Q141" s="206"/>
      <c r="R141" s="206"/>
      <c r="S141" s="206"/>
      <c r="T141" s="207"/>
      <c r="AT141" s="203" t="s">
        <v>148</v>
      </c>
      <c r="AU141" s="203" t="s">
        <v>87</v>
      </c>
      <c r="AV141" s="201" t="s">
        <v>85</v>
      </c>
      <c r="AW141" s="201" t="s">
        <v>34</v>
      </c>
      <c r="AX141" s="201" t="s">
        <v>78</v>
      </c>
      <c r="AY141" s="203" t="s">
        <v>139</v>
      </c>
    </row>
    <row r="142" spans="2:51" s="187" customFormat="1" ht="12">
      <c r="B142" s="188"/>
      <c r="D142" s="189" t="s">
        <v>148</v>
      </c>
      <c r="E142" s="190" t="s">
        <v>1</v>
      </c>
      <c r="F142" s="191" t="s">
        <v>85</v>
      </c>
      <c r="H142" s="192">
        <v>1</v>
      </c>
      <c r="I142" s="233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0" t="s">
        <v>148</v>
      </c>
      <c r="AU142" s="190" t="s">
        <v>87</v>
      </c>
      <c r="AV142" s="187" t="s">
        <v>87</v>
      </c>
      <c r="AW142" s="187" t="s">
        <v>34</v>
      </c>
      <c r="AX142" s="187" t="s">
        <v>85</v>
      </c>
      <c r="AY142" s="190" t="s">
        <v>139</v>
      </c>
    </row>
    <row r="143" spans="1:65" s="95" customFormat="1" ht="16.5" customHeight="1">
      <c r="A143" s="93"/>
      <c r="B143" s="92"/>
      <c r="C143" s="175" t="s">
        <v>191</v>
      </c>
      <c r="D143" s="175" t="s">
        <v>141</v>
      </c>
      <c r="E143" s="176" t="s">
        <v>926</v>
      </c>
      <c r="F143" s="177" t="s">
        <v>927</v>
      </c>
      <c r="G143" s="178" t="s">
        <v>892</v>
      </c>
      <c r="H143" s="179">
        <v>1</v>
      </c>
      <c r="I143" s="69"/>
      <c r="J143" s="180">
        <f>ROUND(I143*H143,2)</f>
        <v>0</v>
      </c>
      <c r="K143" s="177" t="s">
        <v>504</v>
      </c>
      <c r="L143" s="92"/>
      <c r="M143" s="181" t="s">
        <v>1</v>
      </c>
      <c r="N143" s="182" t="s">
        <v>44</v>
      </c>
      <c r="O143" s="183">
        <v>0</v>
      </c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R143" s="185" t="s">
        <v>893</v>
      </c>
      <c r="AT143" s="185" t="s">
        <v>141</v>
      </c>
      <c r="AU143" s="185" t="s">
        <v>87</v>
      </c>
      <c r="AY143" s="83" t="s">
        <v>139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3" t="s">
        <v>85</v>
      </c>
      <c r="BK143" s="186">
        <f>ROUND(I143*H143,2)</f>
        <v>0</v>
      </c>
      <c r="BL143" s="83" t="s">
        <v>893</v>
      </c>
      <c r="BM143" s="185" t="s">
        <v>928</v>
      </c>
    </row>
    <row r="144" spans="2:51" s="201" customFormat="1" ht="22.5">
      <c r="B144" s="202"/>
      <c r="D144" s="189" t="s">
        <v>148</v>
      </c>
      <c r="E144" s="203" t="s">
        <v>1</v>
      </c>
      <c r="F144" s="204" t="s">
        <v>929</v>
      </c>
      <c r="H144" s="203" t="s">
        <v>1</v>
      </c>
      <c r="I144" s="235"/>
      <c r="L144" s="202"/>
      <c r="M144" s="205"/>
      <c r="N144" s="206"/>
      <c r="O144" s="206"/>
      <c r="P144" s="206"/>
      <c r="Q144" s="206"/>
      <c r="R144" s="206"/>
      <c r="S144" s="206"/>
      <c r="T144" s="207"/>
      <c r="AT144" s="203" t="s">
        <v>148</v>
      </c>
      <c r="AU144" s="203" t="s">
        <v>87</v>
      </c>
      <c r="AV144" s="201" t="s">
        <v>85</v>
      </c>
      <c r="AW144" s="201" t="s">
        <v>34</v>
      </c>
      <c r="AX144" s="201" t="s">
        <v>78</v>
      </c>
      <c r="AY144" s="203" t="s">
        <v>139</v>
      </c>
    </row>
    <row r="145" spans="2:51" s="201" customFormat="1" ht="12">
      <c r="B145" s="202"/>
      <c r="D145" s="189" t="s">
        <v>148</v>
      </c>
      <c r="E145" s="203" t="s">
        <v>1</v>
      </c>
      <c r="F145" s="204" t="s">
        <v>930</v>
      </c>
      <c r="H145" s="203" t="s">
        <v>1</v>
      </c>
      <c r="I145" s="235"/>
      <c r="L145" s="202"/>
      <c r="M145" s="205"/>
      <c r="N145" s="206"/>
      <c r="O145" s="206"/>
      <c r="P145" s="206"/>
      <c r="Q145" s="206"/>
      <c r="R145" s="206"/>
      <c r="S145" s="206"/>
      <c r="T145" s="207"/>
      <c r="AT145" s="203" t="s">
        <v>148</v>
      </c>
      <c r="AU145" s="203" t="s">
        <v>87</v>
      </c>
      <c r="AV145" s="201" t="s">
        <v>85</v>
      </c>
      <c r="AW145" s="201" t="s">
        <v>34</v>
      </c>
      <c r="AX145" s="201" t="s">
        <v>78</v>
      </c>
      <c r="AY145" s="203" t="s">
        <v>139</v>
      </c>
    </row>
    <row r="146" spans="2:51" s="201" customFormat="1" ht="22.5">
      <c r="B146" s="202"/>
      <c r="D146" s="189" t="s">
        <v>148</v>
      </c>
      <c r="E146" s="203" t="s">
        <v>1</v>
      </c>
      <c r="F146" s="204" t="s">
        <v>931</v>
      </c>
      <c r="H146" s="203" t="s">
        <v>1</v>
      </c>
      <c r="I146" s="235"/>
      <c r="L146" s="202"/>
      <c r="M146" s="205"/>
      <c r="N146" s="206"/>
      <c r="O146" s="206"/>
      <c r="P146" s="206"/>
      <c r="Q146" s="206"/>
      <c r="R146" s="206"/>
      <c r="S146" s="206"/>
      <c r="T146" s="207"/>
      <c r="AT146" s="203" t="s">
        <v>148</v>
      </c>
      <c r="AU146" s="203" t="s">
        <v>87</v>
      </c>
      <c r="AV146" s="201" t="s">
        <v>85</v>
      </c>
      <c r="AW146" s="201" t="s">
        <v>34</v>
      </c>
      <c r="AX146" s="201" t="s">
        <v>78</v>
      </c>
      <c r="AY146" s="203" t="s">
        <v>139</v>
      </c>
    </row>
    <row r="147" spans="2:51" s="201" customFormat="1" ht="12">
      <c r="B147" s="202"/>
      <c r="D147" s="189" t="s">
        <v>148</v>
      </c>
      <c r="E147" s="203" t="s">
        <v>1</v>
      </c>
      <c r="F147" s="204" t="s">
        <v>932</v>
      </c>
      <c r="H147" s="203" t="s">
        <v>1</v>
      </c>
      <c r="I147" s="235"/>
      <c r="L147" s="202"/>
      <c r="M147" s="205"/>
      <c r="N147" s="206"/>
      <c r="O147" s="206"/>
      <c r="P147" s="206"/>
      <c r="Q147" s="206"/>
      <c r="R147" s="206"/>
      <c r="S147" s="206"/>
      <c r="T147" s="207"/>
      <c r="AT147" s="203" t="s">
        <v>148</v>
      </c>
      <c r="AU147" s="203" t="s">
        <v>87</v>
      </c>
      <c r="AV147" s="201" t="s">
        <v>85</v>
      </c>
      <c r="AW147" s="201" t="s">
        <v>34</v>
      </c>
      <c r="AX147" s="201" t="s">
        <v>78</v>
      </c>
      <c r="AY147" s="203" t="s">
        <v>139</v>
      </c>
    </row>
    <row r="148" spans="2:63" s="162" customFormat="1" ht="22.9" customHeight="1">
      <c r="B148" s="163"/>
      <c r="D148" s="164" t="s">
        <v>77</v>
      </c>
      <c r="E148" s="173" t="s">
        <v>1566</v>
      </c>
      <c r="F148" s="173" t="s">
        <v>933</v>
      </c>
      <c r="I148" s="237"/>
      <c r="J148" s="174">
        <f>SUM(J149:J167)</f>
        <v>0</v>
      </c>
      <c r="L148" s="163"/>
      <c r="M148" s="167"/>
      <c r="N148" s="168"/>
      <c r="O148" s="168"/>
      <c r="P148" s="169">
        <f>SUM(P149:P166)</f>
        <v>0</v>
      </c>
      <c r="Q148" s="168"/>
      <c r="R148" s="169">
        <f>SUM(R149:R166)</f>
        <v>0</v>
      </c>
      <c r="S148" s="168"/>
      <c r="T148" s="170">
        <f>SUM(T149:T166)</f>
        <v>0</v>
      </c>
      <c r="AR148" s="164" t="s">
        <v>168</v>
      </c>
      <c r="AT148" s="171" t="s">
        <v>77</v>
      </c>
      <c r="AU148" s="171" t="s">
        <v>85</v>
      </c>
      <c r="AY148" s="164" t="s">
        <v>139</v>
      </c>
      <c r="BK148" s="172">
        <f>SUM(BK149:BK166)</f>
        <v>0</v>
      </c>
    </row>
    <row r="149" spans="1:65" s="95" customFormat="1" ht="24">
      <c r="A149" s="93"/>
      <c r="B149" s="92"/>
      <c r="C149" s="175">
        <v>10</v>
      </c>
      <c r="D149" s="175" t="s">
        <v>141</v>
      </c>
      <c r="E149" s="176" t="s">
        <v>934</v>
      </c>
      <c r="F149" s="177" t="s">
        <v>935</v>
      </c>
      <c r="G149" s="178" t="s">
        <v>892</v>
      </c>
      <c r="H149" s="179">
        <v>1</v>
      </c>
      <c r="I149" s="69"/>
      <c r="J149" s="180">
        <f>ROUND(I149*H149,2)</f>
        <v>0</v>
      </c>
      <c r="K149" s="177" t="s">
        <v>504</v>
      </c>
      <c r="L149" s="92"/>
      <c r="M149" s="181" t="s">
        <v>1</v>
      </c>
      <c r="N149" s="182" t="s">
        <v>44</v>
      </c>
      <c r="O149" s="183">
        <v>0</v>
      </c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R149" s="185" t="s">
        <v>893</v>
      </c>
      <c r="AT149" s="185" t="s">
        <v>141</v>
      </c>
      <c r="AU149" s="185" t="s">
        <v>87</v>
      </c>
      <c r="AY149" s="83" t="s">
        <v>139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83" t="s">
        <v>85</v>
      </c>
      <c r="BK149" s="186">
        <f>ROUND(I149*H149,2)</f>
        <v>0</v>
      </c>
      <c r="BL149" s="83" t="s">
        <v>893</v>
      </c>
      <c r="BM149" s="185" t="s">
        <v>936</v>
      </c>
    </row>
    <row r="150" spans="2:51" s="201" customFormat="1" ht="12">
      <c r="B150" s="202"/>
      <c r="D150" s="189" t="s">
        <v>148</v>
      </c>
      <c r="E150" s="203" t="s">
        <v>1</v>
      </c>
      <c r="F150" s="204" t="s">
        <v>937</v>
      </c>
      <c r="H150" s="203" t="s">
        <v>1</v>
      </c>
      <c r="I150" s="235"/>
      <c r="L150" s="202"/>
      <c r="M150" s="205"/>
      <c r="N150" s="206"/>
      <c r="O150" s="206"/>
      <c r="P150" s="206"/>
      <c r="Q150" s="206"/>
      <c r="R150" s="206"/>
      <c r="S150" s="206"/>
      <c r="T150" s="207"/>
      <c r="AT150" s="203" t="s">
        <v>148</v>
      </c>
      <c r="AU150" s="203" t="s">
        <v>87</v>
      </c>
      <c r="AV150" s="201" t="s">
        <v>85</v>
      </c>
      <c r="AW150" s="201" t="s">
        <v>34</v>
      </c>
      <c r="AX150" s="201" t="s">
        <v>78</v>
      </c>
      <c r="AY150" s="203" t="s">
        <v>139</v>
      </c>
    </row>
    <row r="151" spans="2:51" s="201" customFormat="1" ht="12">
      <c r="B151" s="202"/>
      <c r="D151" s="189" t="s">
        <v>148</v>
      </c>
      <c r="E151" s="203" t="s">
        <v>1</v>
      </c>
      <c r="F151" s="204" t="s">
        <v>938</v>
      </c>
      <c r="H151" s="203" t="s">
        <v>1</v>
      </c>
      <c r="I151" s="235"/>
      <c r="L151" s="202"/>
      <c r="M151" s="205"/>
      <c r="N151" s="206"/>
      <c r="O151" s="206"/>
      <c r="P151" s="206"/>
      <c r="Q151" s="206"/>
      <c r="R151" s="206"/>
      <c r="S151" s="206"/>
      <c r="T151" s="207"/>
      <c r="AT151" s="203" t="s">
        <v>148</v>
      </c>
      <c r="AU151" s="203" t="s">
        <v>87</v>
      </c>
      <c r="AV151" s="201" t="s">
        <v>85</v>
      </c>
      <c r="AW151" s="201" t="s">
        <v>34</v>
      </c>
      <c r="AX151" s="201" t="s">
        <v>78</v>
      </c>
      <c r="AY151" s="203" t="s">
        <v>139</v>
      </c>
    </row>
    <row r="152" spans="2:51" s="201" customFormat="1" ht="12">
      <c r="B152" s="202"/>
      <c r="D152" s="189" t="s">
        <v>148</v>
      </c>
      <c r="E152" s="203" t="s">
        <v>1</v>
      </c>
      <c r="F152" s="204" t="s">
        <v>939</v>
      </c>
      <c r="H152" s="203" t="s">
        <v>1</v>
      </c>
      <c r="I152" s="235"/>
      <c r="L152" s="202"/>
      <c r="M152" s="205"/>
      <c r="N152" s="206"/>
      <c r="O152" s="206"/>
      <c r="P152" s="206"/>
      <c r="Q152" s="206"/>
      <c r="R152" s="206"/>
      <c r="S152" s="206"/>
      <c r="T152" s="207"/>
      <c r="AT152" s="203" t="s">
        <v>148</v>
      </c>
      <c r="AU152" s="203" t="s">
        <v>87</v>
      </c>
      <c r="AV152" s="201" t="s">
        <v>85</v>
      </c>
      <c r="AW152" s="201" t="s">
        <v>34</v>
      </c>
      <c r="AX152" s="201" t="s">
        <v>78</v>
      </c>
      <c r="AY152" s="203" t="s">
        <v>139</v>
      </c>
    </row>
    <row r="153" spans="2:51" s="201" customFormat="1" ht="22.5">
      <c r="B153" s="202"/>
      <c r="D153" s="189" t="s">
        <v>148</v>
      </c>
      <c r="E153" s="203" t="s">
        <v>1</v>
      </c>
      <c r="F153" s="204" t="s">
        <v>940</v>
      </c>
      <c r="H153" s="203" t="s">
        <v>1</v>
      </c>
      <c r="I153" s="235"/>
      <c r="L153" s="202"/>
      <c r="M153" s="205"/>
      <c r="N153" s="206"/>
      <c r="O153" s="206"/>
      <c r="P153" s="206"/>
      <c r="Q153" s="206"/>
      <c r="R153" s="206"/>
      <c r="S153" s="206"/>
      <c r="T153" s="207"/>
      <c r="AT153" s="203" t="s">
        <v>148</v>
      </c>
      <c r="AU153" s="203" t="s">
        <v>87</v>
      </c>
      <c r="AV153" s="201" t="s">
        <v>85</v>
      </c>
      <c r="AW153" s="201" t="s">
        <v>34</v>
      </c>
      <c r="AX153" s="201" t="s">
        <v>78</v>
      </c>
      <c r="AY153" s="203" t="s">
        <v>139</v>
      </c>
    </row>
    <row r="154" spans="2:51" s="201" customFormat="1" ht="22.5">
      <c r="B154" s="202"/>
      <c r="D154" s="189" t="s">
        <v>148</v>
      </c>
      <c r="E154" s="203" t="s">
        <v>1</v>
      </c>
      <c r="F154" s="204" t="s">
        <v>941</v>
      </c>
      <c r="H154" s="203" t="s">
        <v>1</v>
      </c>
      <c r="I154" s="235"/>
      <c r="L154" s="202"/>
      <c r="M154" s="205"/>
      <c r="N154" s="206"/>
      <c r="O154" s="206"/>
      <c r="P154" s="206"/>
      <c r="Q154" s="206"/>
      <c r="R154" s="206"/>
      <c r="S154" s="206"/>
      <c r="T154" s="207"/>
      <c r="AT154" s="203" t="s">
        <v>148</v>
      </c>
      <c r="AU154" s="203" t="s">
        <v>87</v>
      </c>
      <c r="AV154" s="201" t="s">
        <v>85</v>
      </c>
      <c r="AW154" s="201" t="s">
        <v>34</v>
      </c>
      <c r="AX154" s="201" t="s">
        <v>78</v>
      </c>
      <c r="AY154" s="203" t="s">
        <v>139</v>
      </c>
    </row>
    <row r="155" spans="2:51" s="201" customFormat="1" ht="33.75">
      <c r="B155" s="202"/>
      <c r="D155" s="189" t="s">
        <v>148</v>
      </c>
      <c r="E155" s="203" t="s">
        <v>1</v>
      </c>
      <c r="F155" s="204" t="s">
        <v>942</v>
      </c>
      <c r="H155" s="203" t="s">
        <v>1</v>
      </c>
      <c r="I155" s="235"/>
      <c r="L155" s="202"/>
      <c r="M155" s="205"/>
      <c r="N155" s="206"/>
      <c r="O155" s="206"/>
      <c r="P155" s="206"/>
      <c r="Q155" s="206"/>
      <c r="R155" s="206"/>
      <c r="S155" s="206"/>
      <c r="T155" s="207"/>
      <c r="AT155" s="203" t="s">
        <v>148</v>
      </c>
      <c r="AU155" s="203" t="s">
        <v>87</v>
      </c>
      <c r="AV155" s="201" t="s">
        <v>85</v>
      </c>
      <c r="AW155" s="201" t="s">
        <v>34</v>
      </c>
      <c r="AX155" s="201" t="s">
        <v>78</v>
      </c>
      <c r="AY155" s="203" t="s">
        <v>139</v>
      </c>
    </row>
    <row r="156" spans="2:51" s="201" customFormat="1" ht="33.75">
      <c r="B156" s="202"/>
      <c r="D156" s="189" t="s">
        <v>148</v>
      </c>
      <c r="E156" s="203" t="s">
        <v>1</v>
      </c>
      <c r="F156" s="204" t="s">
        <v>943</v>
      </c>
      <c r="H156" s="203" t="s">
        <v>1</v>
      </c>
      <c r="I156" s="235"/>
      <c r="L156" s="202"/>
      <c r="M156" s="205"/>
      <c r="N156" s="206"/>
      <c r="O156" s="206"/>
      <c r="P156" s="206"/>
      <c r="Q156" s="206"/>
      <c r="R156" s="206"/>
      <c r="S156" s="206"/>
      <c r="T156" s="207"/>
      <c r="AT156" s="203" t="s">
        <v>148</v>
      </c>
      <c r="AU156" s="203" t="s">
        <v>87</v>
      </c>
      <c r="AV156" s="201" t="s">
        <v>85</v>
      </c>
      <c r="AW156" s="201" t="s">
        <v>34</v>
      </c>
      <c r="AX156" s="201" t="s">
        <v>78</v>
      </c>
      <c r="AY156" s="203" t="s">
        <v>139</v>
      </c>
    </row>
    <row r="157" spans="1:65" s="95" customFormat="1" ht="36">
      <c r="A157" s="93"/>
      <c r="B157" s="92"/>
      <c r="C157" s="175">
        <v>11</v>
      </c>
      <c r="D157" s="175" t="s">
        <v>141</v>
      </c>
      <c r="E157" s="176" t="s">
        <v>944</v>
      </c>
      <c r="F157" s="177" t="s">
        <v>945</v>
      </c>
      <c r="G157" s="178" t="s">
        <v>892</v>
      </c>
      <c r="H157" s="179">
        <v>1</v>
      </c>
      <c r="I157" s="69"/>
      <c r="J157" s="180">
        <f>ROUND(I157*H157,2)</f>
        <v>0</v>
      </c>
      <c r="K157" s="177" t="s">
        <v>1</v>
      </c>
      <c r="L157" s="92"/>
      <c r="M157" s="181" t="s">
        <v>1</v>
      </c>
      <c r="N157" s="182" t="s">
        <v>44</v>
      </c>
      <c r="O157" s="183">
        <v>0</v>
      </c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5" t="s">
        <v>893</v>
      </c>
      <c r="AT157" s="185" t="s">
        <v>141</v>
      </c>
      <c r="AU157" s="185" t="s">
        <v>87</v>
      </c>
      <c r="AY157" s="83" t="s">
        <v>139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3" t="s">
        <v>85</v>
      </c>
      <c r="BK157" s="186">
        <f>ROUND(I157*H157,2)</f>
        <v>0</v>
      </c>
      <c r="BL157" s="83" t="s">
        <v>893</v>
      </c>
      <c r="BM157" s="185" t="s">
        <v>946</v>
      </c>
    </row>
    <row r="158" spans="2:51" s="201" customFormat="1" ht="12">
      <c r="B158" s="202"/>
      <c r="D158" s="189" t="s">
        <v>148</v>
      </c>
      <c r="E158" s="203" t="s">
        <v>1</v>
      </c>
      <c r="F158" s="204" t="s">
        <v>947</v>
      </c>
      <c r="H158" s="203" t="s">
        <v>1</v>
      </c>
      <c r="I158" s="235"/>
      <c r="L158" s="202"/>
      <c r="M158" s="205"/>
      <c r="N158" s="206"/>
      <c r="O158" s="206"/>
      <c r="P158" s="206"/>
      <c r="Q158" s="206"/>
      <c r="R158" s="206"/>
      <c r="S158" s="206"/>
      <c r="T158" s="207"/>
      <c r="AT158" s="203" t="s">
        <v>148</v>
      </c>
      <c r="AU158" s="203" t="s">
        <v>87</v>
      </c>
      <c r="AV158" s="201" t="s">
        <v>85</v>
      </c>
      <c r="AW158" s="201" t="s">
        <v>34</v>
      </c>
      <c r="AX158" s="201" t="s">
        <v>78</v>
      </c>
      <c r="AY158" s="203" t="s">
        <v>139</v>
      </c>
    </row>
    <row r="159" spans="2:51" s="201" customFormat="1" ht="12">
      <c r="B159" s="202"/>
      <c r="D159" s="189" t="s">
        <v>148</v>
      </c>
      <c r="E159" s="203" t="s">
        <v>1</v>
      </c>
      <c r="F159" s="204" t="s">
        <v>948</v>
      </c>
      <c r="H159" s="203" t="s">
        <v>1</v>
      </c>
      <c r="I159" s="235"/>
      <c r="L159" s="202"/>
      <c r="M159" s="205"/>
      <c r="N159" s="206"/>
      <c r="O159" s="206"/>
      <c r="P159" s="206"/>
      <c r="Q159" s="206"/>
      <c r="R159" s="206"/>
      <c r="S159" s="206"/>
      <c r="T159" s="207"/>
      <c r="AT159" s="203" t="s">
        <v>148</v>
      </c>
      <c r="AU159" s="203" t="s">
        <v>87</v>
      </c>
      <c r="AV159" s="201" t="s">
        <v>85</v>
      </c>
      <c r="AW159" s="201" t="s">
        <v>34</v>
      </c>
      <c r="AX159" s="201" t="s">
        <v>78</v>
      </c>
      <c r="AY159" s="203" t="s">
        <v>139</v>
      </c>
    </row>
    <row r="160" spans="2:51" s="201" customFormat="1" ht="12">
      <c r="B160" s="202"/>
      <c r="D160" s="189" t="s">
        <v>148</v>
      </c>
      <c r="E160" s="203" t="s">
        <v>1</v>
      </c>
      <c r="F160" s="204" t="s">
        <v>949</v>
      </c>
      <c r="H160" s="203" t="s">
        <v>1</v>
      </c>
      <c r="I160" s="235"/>
      <c r="L160" s="202"/>
      <c r="M160" s="205"/>
      <c r="N160" s="206"/>
      <c r="O160" s="206"/>
      <c r="P160" s="206"/>
      <c r="Q160" s="206"/>
      <c r="R160" s="206"/>
      <c r="S160" s="206"/>
      <c r="T160" s="207"/>
      <c r="AT160" s="203" t="s">
        <v>148</v>
      </c>
      <c r="AU160" s="203" t="s">
        <v>87</v>
      </c>
      <c r="AV160" s="201" t="s">
        <v>85</v>
      </c>
      <c r="AW160" s="201" t="s">
        <v>34</v>
      </c>
      <c r="AX160" s="201" t="s">
        <v>78</v>
      </c>
      <c r="AY160" s="203" t="s">
        <v>139</v>
      </c>
    </row>
    <row r="161" spans="2:51" s="201" customFormat="1" ht="12">
      <c r="B161" s="202"/>
      <c r="D161" s="189" t="s">
        <v>148</v>
      </c>
      <c r="E161" s="203" t="s">
        <v>1</v>
      </c>
      <c r="F161" s="204" t="s">
        <v>950</v>
      </c>
      <c r="H161" s="203" t="s">
        <v>1</v>
      </c>
      <c r="I161" s="235"/>
      <c r="L161" s="202"/>
      <c r="M161" s="205"/>
      <c r="N161" s="206"/>
      <c r="O161" s="206"/>
      <c r="P161" s="206"/>
      <c r="Q161" s="206"/>
      <c r="R161" s="206"/>
      <c r="S161" s="206"/>
      <c r="T161" s="207"/>
      <c r="AT161" s="203" t="s">
        <v>148</v>
      </c>
      <c r="AU161" s="203" t="s">
        <v>87</v>
      </c>
      <c r="AV161" s="201" t="s">
        <v>85</v>
      </c>
      <c r="AW161" s="201" t="s">
        <v>34</v>
      </c>
      <c r="AX161" s="201" t="s">
        <v>78</v>
      </c>
      <c r="AY161" s="203" t="s">
        <v>139</v>
      </c>
    </row>
    <row r="162" spans="1:65" s="95" customFormat="1" ht="24">
      <c r="A162" s="93"/>
      <c r="B162" s="92"/>
      <c r="C162" s="175">
        <v>12</v>
      </c>
      <c r="D162" s="175" t="s">
        <v>141</v>
      </c>
      <c r="E162" s="176" t="s">
        <v>951</v>
      </c>
      <c r="F162" s="177" t="s">
        <v>952</v>
      </c>
      <c r="G162" s="178" t="s">
        <v>892</v>
      </c>
      <c r="H162" s="179">
        <v>1</v>
      </c>
      <c r="I162" s="69"/>
      <c r="J162" s="180">
        <f>ROUND(I162*H162,2)</f>
        <v>0</v>
      </c>
      <c r="K162" s="177" t="s">
        <v>504</v>
      </c>
      <c r="L162" s="92"/>
      <c r="M162" s="181" t="s">
        <v>1</v>
      </c>
      <c r="N162" s="182" t="s">
        <v>44</v>
      </c>
      <c r="O162" s="183">
        <v>0</v>
      </c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R162" s="185" t="s">
        <v>893</v>
      </c>
      <c r="AT162" s="185" t="s">
        <v>141</v>
      </c>
      <c r="AU162" s="185" t="s">
        <v>87</v>
      </c>
      <c r="AY162" s="83" t="s">
        <v>139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3" t="s">
        <v>85</v>
      </c>
      <c r="BK162" s="186">
        <f>ROUND(I162*H162,2)</f>
        <v>0</v>
      </c>
      <c r="BL162" s="83" t="s">
        <v>893</v>
      </c>
      <c r="BM162" s="185" t="s">
        <v>953</v>
      </c>
    </row>
    <row r="163" spans="2:51" s="201" customFormat="1" ht="22.5">
      <c r="B163" s="202"/>
      <c r="D163" s="189" t="s">
        <v>148</v>
      </c>
      <c r="E163" s="203" t="s">
        <v>1</v>
      </c>
      <c r="F163" s="204" t="s">
        <v>954</v>
      </c>
      <c r="H163" s="203" t="s">
        <v>1</v>
      </c>
      <c r="I163" s="235"/>
      <c r="L163" s="202"/>
      <c r="M163" s="205"/>
      <c r="N163" s="206"/>
      <c r="O163" s="206"/>
      <c r="P163" s="206"/>
      <c r="Q163" s="206"/>
      <c r="R163" s="206"/>
      <c r="S163" s="206"/>
      <c r="T163" s="207"/>
      <c r="AT163" s="203" t="s">
        <v>148</v>
      </c>
      <c r="AU163" s="203" t="s">
        <v>87</v>
      </c>
      <c r="AV163" s="201" t="s">
        <v>85</v>
      </c>
      <c r="AW163" s="201" t="s">
        <v>34</v>
      </c>
      <c r="AX163" s="201" t="s">
        <v>78</v>
      </c>
      <c r="AY163" s="203" t="s">
        <v>139</v>
      </c>
    </row>
    <row r="164" spans="2:51" s="201" customFormat="1" ht="22.5">
      <c r="B164" s="202"/>
      <c r="D164" s="189" t="s">
        <v>148</v>
      </c>
      <c r="E164" s="203" t="s">
        <v>1</v>
      </c>
      <c r="F164" s="204" t="s">
        <v>955</v>
      </c>
      <c r="H164" s="203" t="s">
        <v>1</v>
      </c>
      <c r="I164" s="235"/>
      <c r="L164" s="202"/>
      <c r="M164" s="205"/>
      <c r="N164" s="206"/>
      <c r="O164" s="206"/>
      <c r="P164" s="206"/>
      <c r="Q164" s="206"/>
      <c r="R164" s="206"/>
      <c r="S164" s="206"/>
      <c r="T164" s="207"/>
      <c r="AT164" s="203" t="s">
        <v>148</v>
      </c>
      <c r="AU164" s="203" t="s">
        <v>87</v>
      </c>
      <c r="AV164" s="201" t="s">
        <v>85</v>
      </c>
      <c r="AW164" s="201" t="s">
        <v>34</v>
      </c>
      <c r="AX164" s="201" t="s">
        <v>78</v>
      </c>
      <c r="AY164" s="203" t="s">
        <v>139</v>
      </c>
    </row>
    <row r="165" spans="2:51" s="201" customFormat="1" ht="12">
      <c r="B165" s="202"/>
      <c r="D165" s="189" t="s">
        <v>148</v>
      </c>
      <c r="E165" s="203" t="s">
        <v>1</v>
      </c>
      <c r="F165" s="204" t="s">
        <v>956</v>
      </c>
      <c r="H165" s="203" t="s">
        <v>1</v>
      </c>
      <c r="I165" s="235"/>
      <c r="L165" s="202"/>
      <c r="M165" s="205"/>
      <c r="N165" s="206"/>
      <c r="O165" s="206"/>
      <c r="P165" s="206"/>
      <c r="Q165" s="206"/>
      <c r="R165" s="206"/>
      <c r="S165" s="206"/>
      <c r="T165" s="207"/>
      <c r="AT165" s="203" t="s">
        <v>148</v>
      </c>
      <c r="AU165" s="203" t="s">
        <v>87</v>
      </c>
      <c r="AV165" s="201" t="s">
        <v>85</v>
      </c>
      <c r="AW165" s="201" t="s">
        <v>34</v>
      </c>
      <c r="AX165" s="201" t="s">
        <v>78</v>
      </c>
      <c r="AY165" s="203" t="s">
        <v>139</v>
      </c>
    </row>
    <row r="166" spans="1:65" s="95" customFormat="1" ht="29.25" customHeight="1">
      <c r="A166" s="93"/>
      <c r="B166" s="92"/>
      <c r="C166" s="175">
        <v>13</v>
      </c>
      <c r="D166" s="175" t="s">
        <v>141</v>
      </c>
      <c r="E166" s="176" t="s">
        <v>957</v>
      </c>
      <c r="F166" s="177" t="s">
        <v>1565</v>
      </c>
      <c r="G166" s="178" t="s">
        <v>892</v>
      </c>
      <c r="H166" s="179">
        <v>1</v>
      </c>
      <c r="I166" s="69"/>
      <c r="J166" s="180">
        <f>ROUND(I166*H166,2)</f>
        <v>0</v>
      </c>
      <c r="K166" s="177" t="s">
        <v>504</v>
      </c>
      <c r="L166" s="92"/>
      <c r="M166" s="181" t="s">
        <v>1</v>
      </c>
      <c r="N166" s="182" t="s">
        <v>44</v>
      </c>
      <c r="O166" s="183">
        <v>0</v>
      </c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R166" s="185" t="s">
        <v>893</v>
      </c>
      <c r="AT166" s="185" t="s">
        <v>141</v>
      </c>
      <c r="AU166" s="185" t="s">
        <v>87</v>
      </c>
      <c r="AY166" s="83" t="s">
        <v>139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83" t="s">
        <v>85</v>
      </c>
      <c r="BK166" s="186">
        <f>ROUND(I166*H166,2)</f>
        <v>0</v>
      </c>
      <c r="BL166" s="83" t="s">
        <v>893</v>
      </c>
      <c r="BM166" s="185" t="s">
        <v>958</v>
      </c>
    </row>
    <row r="167" spans="1:65" s="95" customFormat="1" ht="16.5" customHeight="1">
      <c r="A167" s="93"/>
      <c r="B167" s="92"/>
      <c r="C167" s="175">
        <v>14</v>
      </c>
      <c r="D167" s="175" t="s">
        <v>141</v>
      </c>
      <c r="E167" s="176" t="s">
        <v>959</v>
      </c>
      <c r="F167" s="177" t="s">
        <v>960</v>
      </c>
      <c r="G167" s="178" t="s">
        <v>892</v>
      </c>
      <c r="H167" s="179">
        <v>1</v>
      </c>
      <c r="I167" s="69"/>
      <c r="J167" s="180">
        <f>ROUND(I167*H167,2)</f>
        <v>0</v>
      </c>
      <c r="K167" s="177" t="s">
        <v>504</v>
      </c>
      <c r="L167" s="92"/>
      <c r="M167" s="181" t="s">
        <v>1</v>
      </c>
      <c r="N167" s="182" t="s">
        <v>44</v>
      </c>
      <c r="O167" s="183">
        <v>0</v>
      </c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R167" s="185" t="s">
        <v>893</v>
      </c>
      <c r="AT167" s="185" t="s">
        <v>141</v>
      </c>
      <c r="AU167" s="185" t="s">
        <v>87</v>
      </c>
      <c r="AY167" s="83" t="s">
        <v>139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83" t="s">
        <v>85</v>
      </c>
      <c r="BK167" s="186">
        <f>ROUND(I167*H167,2)</f>
        <v>0</v>
      </c>
      <c r="BL167" s="83" t="s">
        <v>893</v>
      </c>
      <c r="BM167" s="185" t="s">
        <v>961</v>
      </c>
    </row>
    <row r="168" spans="2:51" s="201" customFormat="1" ht="22.5">
      <c r="B168" s="202"/>
      <c r="D168" s="189" t="s">
        <v>148</v>
      </c>
      <c r="E168" s="203" t="s">
        <v>1</v>
      </c>
      <c r="F168" s="204" t="s">
        <v>962</v>
      </c>
      <c r="H168" s="203" t="s">
        <v>1</v>
      </c>
      <c r="I168" s="235"/>
      <c r="L168" s="202"/>
      <c r="M168" s="205"/>
      <c r="N168" s="206"/>
      <c r="O168" s="206"/>
      <c r="P168" s="206"/>
      <c r="Q168" s="206"/>
      <c r="R168" s="206"/>
      <c r="S168" s="206"/>
      <c r="T168" s="207"/>
      <c r="AT168" s="203" t="s">
        <v>148</v>
      </c>
      <c r="AU168" s="203" t="s">
        <v>87</v>
      </c>
      <c r="AV168" s="201" t="s">
        <v>85</v>
      </c>
      <c r="AW168" s="201" t="s">
        <v>34</v>
      </c>
      <c r="AX168" s="201" t="s">
        <v>78</v>
      </c>
      <c r="AY168" s="203" t="s">
        <v>139</v>
      </c>
    </row>
    <row r="169" spans="2:51" s="201" customFormat="1" ht="22.5">
      <c r="B169" s="202"/>
      <c r="D169" s="189" t="s">
        <v>148</v>
      </c>
      <c r="E169" s="203" t="s">
        <v>1</v>
      </c>
      <c r="F169" s="204" t="s">
        <v>963</v>
      </c>
      <c r="H169" s="203" t="s">
        <v>1</v>
      </c>
      <c r="L169" s="202"/>
      <c r="M169" s="205"/>
      <c r="N169" s="206"/>
      <c r="O169" s="206"/>
      <c r="P169" s="206"/>
      <c r="Q169" s="206"/>
      <c r="R169" s="206"/>
      <c r="S169" s="206"/>
      <c r="T169" s="207"/>
      <c r="AT169" s="203" t="s">
        <v>148</v>
      </c>
      <c r="AU169" s="203" t="s">
        <v>87</v>
      </c>
      <c r="AV169" s="201" t="s">
        <v>85</v>
      </c>
      <c r="AW169" s="201" t="s">
        <v>34</v>
      </c>
      <c r="AX169" s="201" t="s">
        <v>78</v>
      </c>
      <c r="AY169" s="203" t="s">
        <v>139</v>
      </c>
    </row>
    <row r="170" spans="1:31" s="95" customFormat="1" ht="6.95" customHeight="1">
      <c r="A170" s="93"/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92"/>
      <c r="M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</row>
  </sheetData>
  <sheetProtection password="CC2C" sheet="1" objects="1" scenarios="1"/>
  <autoFilter ref="C120:K169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Miroslav Havlas</cp:lastModifiedBy>
  <cp:lastPrinted>2023-12-14T06:23:14Z</cp:lastPrinted>
  <dcterms:created xsi:type="dcterms:W3CDTF">2021-03-08T08:12:55Z</dcterms:created>
  <dcterms:modified xsi:type="dcterms:W3CDTF">2023-12-14T06:25:03Z</dcterms:modified>
  <cp:category/>
  <cp:version/>
  <cp:contentType/>
  <cp:contentStatus/>
</cp:coreProperties>
</file>