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402"/>
  <workbookPr/>
  <bookViews>
    <workbookView xWindow="0" yWindow="0" windowWidth="25200" windowHeight="11775" tabRatio="858" activeTab="1"/>
  </bookViews>
  <sheets>
    <sheet name="Rekapitulace stavby" sheetId="1" r:id="rId1"/>
    <sheet name="01 - Stavební práce" sheetId="2" r:id="rId2"/>
    <sheet name="Oprava kanal.přípojky" sheetId="13" r:id="rId3"/>
    <sheet name="Oprava žumpy" sheetId="14" r:id="rId4"/>
    <sheet name="Oprava dešťové kanalizace" sheetId="15" r:id="rId5"/>
    <sheet name="Elektroinstalace" sheetId="3" r:id="rId6"/>
    <sheet name="01-02 - VZT" sheetId="4" r:id="rId7"/>
    <sheet name="01-03 - ZTI" sheetId="5" r:id="rId8"/>
    <sheet name="01-04 - ÚT" sheetId="6" r:id="rId9"/>
    <sheet name="03 - Vedlejší rozpočtové ..." sheetId="9" r:id="rId10"/>
    <sheet name="EPS" sheetId="10" r:id="rId11"/>
    <sheet name="EZS" sheetId="11" r:id="rId12"/>
    <sheet name="DTS" sheetId="12" r:id="rId13"/>
  </sheets>
  <externalReferences>
    <externalReference r:id="rId16"/>
    <externalReference r:id="rId17"/>
  </externalReferences>
  <definedNames>
    <definedName name="_xlnm._FilterDatabase" localSheetId="1" hidden="1">'01 - Stavební práce'!$C$145:$K$2074</definedName>
    <definedName name="_xlnm._FilterDatabase" localSheetId="6" hidden="1">'01-02 - VZT'!$C$121:$K$285</definedName>
    <definedName name="_xlnm._FilterDatabase" localSheetId="7" hidden="1">'01-03 - ZTI'!$C$124:$K$228</definedName>
    <definedName name="_xlnm._FilterDatabase" localSheetId="8" hidden="1">'01-04 - ÚT'!$C$126:$K$249</definedName>
    <definedName name="_xlnm._FilterDatabase" localSheetId="9" hidden="1">'03 - Vedlejší rozpočtové ...'!$C$119:$K$134</definedName>
    <definedName name="_xlnm._FilterDatabase" localSheetId="5" hidden="1">'Elektroinstalace'!$C$136:$K$238</definedName>
    <definedName name="_xlnm.Print_Area" localSheetId="1">'01 - Stavební práce'!$B$81:$J$2075</definedName>
    <definedName name="_xlnm.Print_Area" localSheetId="6">'01-02 - VZT'!$B$106:$J$286</definedName>
    <definedName name="_xlnm.Print_Area" localSheetId="7">'01-03 - ZTI'!$B$82:$J$229</definedName>
    <definedName name="_xlnm.Print_Area" localSheetId="8">'01-04 - ÚT'!$B$81:$J$250</definedName>
    <definedName name="_xlnm.Print_Area" localSheetId="9">'03 - Vedlejší rozpočtové ...'!$B$110:$J$136</definedName>
    <definedName name="_xlnm.Print_Area" localSheetId="5">'Elektroinstalace'!$B$81:$J$325</definedName>
    <definedName name="_xlnm.Print_Area" localSheetId="10">'EPS'!$A$1:$F$76</definedName>
    <definedName name="_xlnm.Print_Area" localSheetId="4">'Oprava dešťové kanalizace'!$F$1:$L$109</definedName>
    <definedName name="_xlnm.Print_Area" localSheetId="2">'Oprava kanal.přípojky'!$F$1:$L$92</definedName>
    <definedName name="_xlnm.Print_Area" localSheetId="3">'Oprava žumpy'!$F$1:$L$65</definedName>
    <definedName name="_xlnm.Print_Area" localSheetId="0">'Rekapitulace stavby'!$B$81:$AP$108</definedName>
    <definedName name="_xlnm.Print_Titles" localSheetId="0">'Rekapitulace stavby'!$92:$92</definedName>
    <definedName name="_xlnm.Print_Titles" localSheetId="1">'01 - Stavební práce'!$145:$145</definedName>
    <definedName name="_xlnm.Print_Titles" localSheetId="2">'Oprava kanal.přípojky'!$11:$11</definedName>
    <definedName name="_xlnm.Print_Titles" localSheetId="3">'Oprava žumpy'!$11:$11</definedName>
    <definedName name="_xlnm.Print_Titles" localSheetId="4">'Oprava dešťové kanalizace'!$13:$13</definedName>
    <definedName name="_xlnm.Print_Titles" localSheetId="5">'Elektroinstalace'!$136:$136</definedName>
    <definedName name="_xlnm.Print_Titles" localSheetId="6">'01-02 - VZT'!$121:$121</definedName>
    <definedName name="_xlnm.Print_Titles" localSheetId="7">'01-03 - ZTI'!$124:$124</definedName>
    <definedName name="_xlnm.Print_Titles" localSheetId="8">'01-04 - ÚT'!$126:$126</definedName>
    <definedName name="_xlnm.Print_Titles" localSheetId="9">'03 - Vedlejší rozpočtové ...'!$119:$119</definedName>
    <definedName name="_xlnm.Print_Titles" localSheetId="10">'EPS'!$5:$5</definedName>
    <definedName name="_xlnm.Print_Titles" localSheetId="11">'EZS'!$5:$5</definedName>
    <definedName name="_xlnm.Print_Titles" localSheetId="12">'DTS'!$5:$5</definedName>
  </definedNames>
  <calcPr calcId="191029"/>
</workbook>
</file>

<file path=xl/sharedStrings.xml><?xml version="1.0" encoding="utf-8"?>
<sst xmlns="http://schemas.openxmlformats.org/spreadsheetml/2006/main" count="28221" uniqueCount="3955">
  <si>
    <t>Export Komplet</t>
  </si>
  <si>
    <t/>
  </si>
  <si>
    <t>2.0</t>
  </si>
  <si>
    <t>False</t>
  </si>
  <si>
    <t>{b38407de-43dd-45af-9904-ae9c98011224}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</si>
  <si>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</si>
  <si>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</si>
  <si>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</si>
  <si>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</si>
  <si>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</si>
  <si>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</si>
  <si>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</si>
  <si>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</si>
  <si>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2010/01</t>
  </si>
  <si>
    <t>Stavba:</t>
  </si>
  <si>
    <t>Středisko Okrouhlík - nástavba a stavební úpravy</t>
  </si>
  <si>
    <t>KSO:</t>
  </si>
  <si>
    <t>CC-CZ:</t>
  </si>
  <si>
    <t>Místo:</t>
  </si>
  <si>
    <t>st.p. 1443, k.ú. Staré Benátky</t>
  </si>
  <si>
    <t>Datum:</t>
  </si>
  <si>
    <t>8. 10. 2021</t>
  </si>
  <si>
    <t>Zadavatel:</t>
  </si>
  <si>
    <t>IČ:</t>
  </si>
  <si>
    <t>46356983</t>
  </si>
  <si>
    <t>VaK Mladá Boleslav, Čechova 1151, Mladá Boleslav</t>
  </si>
  <si>
    <t>DIČ:</t>
  </si>
  <si>
    <t>CZ46356983</t>
  </si>
  <si>
    <t>Zhotovitel:</t>
  </si>
  <si>
    <t xml:space="preserve"> </t>
  </si>
  <si>
    <t>Projektant:</t>
  </si>
  <si>
    <t>06428088</t>
  </si>
  <si>
    <t>ŽÁROVKA PROJEKTANTI,Křižíkova 788/2,Hradec Králové</t>
  </si>
  <si>
    <t>CZ06428088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</si>
  <si>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</si>
  <si>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</si>
  <si>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</si>
  <si>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</si>
  <si>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</si>
  <si>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</si>
  <si>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</si>
  <si>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</si>
  <si>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</si>
  <si>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</si>
  <si>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</si>
  <si>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</si>
  <si>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</si>
  <si>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</si>
  <si>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</si>
  <si>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</si>
  <si>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</si>
  <si>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</si>
  <si>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</si>
  <si>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</si>
  <si>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</si>
  <si>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</si>
  <si>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 A SOUPISŮ PRACÍ</t>
  </si>
  <si>
    <t>Informatívní údaje z listů zakázek</t>
  </si>
  <si>
    <t>Kód</t>
  </si>
  <si>
    <t>Popis</t>
  </si>
  <si>
    <t>Cena bez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</si>
  <si>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</si>
  <si>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</si>
  <si>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</si>
  <si>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</si>
  <si>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</si>
  <si>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</si>
  <si>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</si>
  <si>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</si>
  <si>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</si>
  <si>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</si>
  <si>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</si>
  <si>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</si>
  <si>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</si>
  <si>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</si>
  <si>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</si>
  <si>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</si>
  <si>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</si>
  <si>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</si>
  <si>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</si>
  <si>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STA</t>
  </si>
  <si>
    <t>1</t>
  </si>
  <si>
    <t>{0b3a256b-135a-4157-8b37-4b96e2a41da1}</t>
  </si>
  <si>
    <t>2</t>
  </si>
  <si>
    <t>/</t>
  </si>
  <si>
    <t>Soupis</t>
  </si>
  <si>
    <t>{058532bc-c791-4b06-8fcb-06bd965386f7}</t>
  </si>
  <si>
    <t>{81d2c3ac-d9ff-4fba-919f-74135c94f923}</t>
  </si>
  <si>
    <t>{df30cef4-52d1-45bc-8257-ab27a77f45ae}</t>
  </si>
  <si>
    <t>{2323876c-f668-4d23-9bfe-25139c80307d}</t>
  </si>
  <si>
    <t>{283120c5-d199-4fad-b2c0-69897cbf261c}</t>
  </si>
  <si>
    <t>Osvětlení</t>
  </si>
  <si>
    <t>Vedlejší rozpočtové náklady</t>
  </si>
  <si>
    <t>{04201b43-881b-428b-b627-6206f7d79a4f}</t>
  </si>
  <si>
    <t>KRYCÍ LIST SOUPISU PRACÍ</t>
  </si>
  <si>
    <t>Objekt:</t>
  </si>
  <si>
    <t>01 - Stavební práce- neuznatelné náklady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</si>
  <si>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</si>
  <si>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</si>
  <si>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</si>
  <si>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</si>
  <si>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</si>
  <si>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</si>
  <si>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</si>
  <si>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</si>
  <si>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</si>
  <si>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</si>
  <si>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</si>
  <si>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</si>
  <si>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</si>
  <si>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</si>
  <si>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</si>
  <si>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</si>
  <si>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</si>
  <si>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</si>
  <si>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</si>
  <si>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725 - Zdravotechnika - zařizovací předměty</t>
  </si>
  <si>
    <t xml:space="preserve">    741 - Elektroinstalace - silnoproud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</si>
  <si>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</si>
  <si>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</si>
  <si>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</si>
  <si>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765 - Krytina skládaná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</si>
  <si>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</si>
  <si>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</si>
  <si>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</si>
  <si>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772 - Podlahy z kamene</t>
  </si>
  <si>
    <t xml:space="preserve">    776 - Podlahy povlakové</t>
  </si>
  <si>
    <t xml:space="preserve">    777 - Podlahy lité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</si>
  <si>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</si>
  <si>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</si>
  <si>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</si>
  <si>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</si>
  <si>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</si>
  <si>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</si>
  <si>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</si>
  <si>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</si>
  <si>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</si>
  <si>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</si>
  <si>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</si>
  <si>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</si>
  <si>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</si>
  <si>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</si>
  <si>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</si>
  <si>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</si>
  <si>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</si>
  <si>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</si>
  <si>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</si>
  <si>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</si>
  <si>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</si>
  <si>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113107332</t>
  </si>
  <si>
    <t>Odstranění podkladu z betonu prostého tl přes 150 do 300 mm strojně pl do 50 m2</t>
  </si>
  <si>
    <t>m2</t>
  </si>
  <si>
    <t>CS ÚRS 2021 02</t>
  </si>
  <si>
    <t>4</t>
  </si>
  <si>
    <t>-773708824</t>
  </si>
  <si>
    <t>VV</t>
  </si>
  <si>
    <t>27,00</t>
  </si>
  <si>
    <t>Součet</t>
  </si>
  <si>
    <t>m</t>
  </si>
  <si>
    <t>3</t>
  </si>
  <si>
    <t>132212111</t>
  </si>
  <si>
    <t>Hloubení rýh š do 800 mm v soudržných horninách třídy těžitelnosti I skupiny 3 ručně</t>
  </si>
  <si>
    <t>m3</t>
  </si>
  <si>
    <t>-389606353</t>
  </si>
  <si>
    <t>technická část</t>
  </si>
  <si>
    <t>sokl XPS l. 100 mm technická část</t>
  </si>
  <si>
    <t>pro tepelné čerpadlo</t>
  </si>
  <si>
    <t>administrativní část</t>
  </si>
  <si>
    <t>sokl XPS tl. 200 mm administrativní část</t>
  </si>
  <si>
    <t>schodiště</t>
  </si>
  <si>
    <t>pro patky vjezdové brány</t>
  </si>
  <si>
    <t>pro osazení chráničky u brány</t>
  </si>
  <si>
    <t>139751101</t>
  </si>
  <si>
    <t>Vykopávky v uzavřených prostorech v hornině třídy těžitelnosti I skupiny 1 až 3 ručně</t>
  </si>
  <si>
    <t>2017306992</t>
  </si>
  <si>
    <t>"nový základový pás, viz. výkres Půdorys 1.PP"</t>
  </si>
  <si>
    <t>9,9*0,5*1,0</t>
  </si>
  <si>
    <t>5</t>
  </si>
  <si>
    <t>162211311</t>
  </si>
  <si>
    <t>Vodorovné přemístění výkopku z horniny třídy těžitelnosti I skupiny 1 až 3 stavebním kolečkem do 10 m</t>
  </si>
  <si>
    <t>-1987165616</t>
  </si>
  <si>
    <t>6</t>
  </si>
  <si>
    <t>162211319</t>
  </si>
  <si>
    <t>Příplatek k vodorovnému přemístění výkopku z horniny třídy těžitelnosti I skupiny 1 až 3 stavebním kolečkem ZKD 10 m</t>
  </si>
  <si>
    <t>1506213226</t>
  </si>
  <si>
    <t>7</t>
  </si>
  <si>
    <t>162751117.R01</t>
  </si>
  <si>
    <t>Odvoz suti a vybouraných hmot na skládku se složením, vzdálenost si určí nabízející dle svých možností</t>
  </si>
  <si>
    <t>1193025715</t>
  </si>
  <si>
    <t>8</t>
  </si>
  <si>
    <t>-762774005</t>
  </si>
  <si>
    <t>9</t>
  </si>
  <si>
    <t>171201221</t>
  </si>
  <si>
    <t>Poplatek za uložení na skládce (skládkovné) zeminy a kamení kód odpadu 17 05 04</t>
  </si>
  <si>
    <t>t</t>
  </si>
  <si>
    <t>250408561</t>
  </si>
  <si>
    <t>10</t>
  </si>
  <si>
    <t>171251201</t>
  </si>
  <si>
    <t>-1485126909</t>
  </si>
  <si>
    <t>11</t>
  </si>
  <si>
    <t>1007512144</t>
  </si>
  <si>
    <t>zpětný zásyp po výkopu pro zateplení soklu</t>
  </si>
  <si>
    <t>(0,80-0,10)*0,40*(14,40+13,00+27,40)</t>
  </si>
  <si>
    <t>12</t>
  </si>
  <si>
    <t>174112101</t>
  </si>
  <si>
    <t>Zásyp jam, šachet a rýh do 30 m3 sypaninou se zhutněním při překopech inženýrských sítí ručně</t>
  </si>
  <si>
    <t>1339816667</t>
  </si>
  <si>
    <t>13</t>
  </si>
  <si>
    <t>M</t>
  </si>
  <si>
    <t>14</t>
  </si>
  <si>
    <t>-621934136</t>
  </si>
  <si>
    <t>zatravnění plochy po vybourání stávajícího betonového žlábku</t>
  </si>
  <si>
    <t>16</t>
  </si>
  <si>
    <t>17</t>
  </si>
  <si>
    <t>181411131</t>
  </si>
  <si>
    <t>Založení parkového trávníku výsevem pl do 1000 m2 v rovině a ve svahu do 1:5</t>
  </si>
  <si>
    <t>53639629</t>
  </si>
  <si>
    <t>18</t>
  </si>
  <si>
    <t>00572410</t>
  </si>
  <si>
    <t>osivo směs travní parková</t>
  </si>
  <si>
    <t>kg</t>
  </si>
  <si>
    <t>-109855077</t>
  </si>
  <si>
    <t>19</t>
  </si>
  <si>
    <t>181951112</t>
  </si>
  <si>
    <t>Úprava pláně v hornině třídy těžitelnosti I skupiny 1 až 3 se zhutněním strojně</t>
  </si>
  <si>
    <t>1902013623</t>
  </si>
  <si>
    <t>ZP.03</t>
  </si>
  <si>
    <t>Zakládání</t>
  </si>
  <si>
    <t>20</t>
  </si>
  <si>
    <t>273313611</t>
  </si>
  <si>
    <t>Základové desky z betonu tř. C 16/20</t>
  </si>
  <si>
    <t>2088289529</t>
  </si>
  <si>
    <t>(0,33-0,18)*(1,80*1,90)</t>
  </si>
  <si>
    <t>273351121</t>
  </si>
  <si>
    <t>Zřízení bednění základových desek</t>
  </si>
  <si>
    <t>349758058</t>
  </si>
  <si>
    <t>(0,33-0,18)*(1,80+1,90*2)</t>
  </si>
  <si>
    <t>22</t>
  </si>
  <si>
    <t>273351122</t>
  </si>
  <si>
    <t>Odstranění bednění základových desek</t>
  </si>
  <si>
    <t>111567937</t>
  </si>
  <si>
    <t>23</t>
  </si>
  <si>
    <t>274313611</t>
  </si>
  <si>
    <t>Základové pásy z betonu tř. C 16/20</t>
  </si>
  <si>
    <t>338584844</t>
  </si>
  <si>
    <t>schody vstup do 1.01</t>
  </si>
  <si>
    <t>(1,50-0,36)*0,60*(2,46+1,64*2)</t>
  </si>
  <si>
    <t>schody vstup do 1.21</t>
  </si>
  <si>
    <t>1,35*(1,20-0,36)*0,33</t>
  </si>
  <si>
    <t>1,35*(1,20-0,18)+(0,505+0,30)</t>
  </si>
  <si>
    <t>schody vstup do 1.22</t>
  </si>
  <si>
    <t>1,65*(1,20-0,36)*0,33</t>
  </si>
  <si>
    <t>1,65*(1,20-0,18)+(0,505+0,30)</t>
  </si>
  <si>
    <t>24</t>
  </si>
  <si>
    <t>274351121</t>
  </si>
  <si>
    <t>Zřízení bednění základových pasů rovného</t>
  </si>
  <si>
    <t>-835764661</t>
  </si>
  <si>
    <t>25</t>
  </si>
  <si>
    <t>274351122</t>
  </si>
  <si>
    <t>Odstranění bednění základových pasů rovného</t>
  </si>
  <si>
    <t>17475110</t>
  </si>
  <si>
    <t>26</t>
  </si>
  <si>
    <t>274321511</t>
  </si>
  <si>
    <t>Základové pasy ze ŽB bez zvýšených nároků na prostředí tř. C 25/30</t>
  </si>
  <si>
    <t>-924966596</t>
  </si>
  <si>
    <t>27</t>
  </si>
  <si>
    <t>274361821</t>
  </si>
  <si>
    <t>Výztuž základových pasů betonářskou ocelí 10 505 (R)</t>
  </si>
  <si>
    <t>1534181711</t>
  </si>
  <si>
    <t>28</t>
  </si>
  <si>
    <t>275313711</t>
  </si>
  <si>
    <t>Základové patky z betonu tř. C 20/25</t>
  </si>
  <si>
    <t>55601614</t>
  </si>
  <si>
    <t>Svislé a kompletní konstrukce</t>
  </si>
  <si>
    <t>29</t>
  </si>
  <si>
    <t>310279842</t>
  </si>
  <si>
    <t>Zazdívka otvorů pl přes 1 do 4 m2 ve zdivu nadzákladovém z nepálených tvárnic tl do 300 mm</t>
  </si>
  <si>
    <t>-1178756345</t>
  </si>
  <si>
    <t>"2.14"</t>
  </si>
  <si>
    <t>"2.13A"</t>
  </si>
  <si>
    <t>"2.17"</t>
  </si>
  <si>
    <t>1,575*2,9*0,3</t>
  </si>
  <si>
    <t>1,50*1,50*0,30*3</t>
  </si>
  <si>
    <t>(6,21*2,90-2,10*1,50*2 )*0,30</t>
  </si>
  <si>
    <t>(1,80*0,88+0,10*1,50)*0,30</t>
  </si>
  <si>
    <t>dozdění parapetu okno m.č. 1.20</t>
  </si>
  <si>
    <t>1,50*0,90*0,30</t>
  </si>
  <si>
    <t>30</t>
  </si>
  <si>
    <t>311272031</t>
  </si>
  <si>
    <t>Zdivo z pórobetonových tvárnic hladkých přes P2 do P4 přes 450 do 600 kg/m3 na tenkovrstvou maltu tl 200 mm</t>
  </si>
  <si>
    <t>1945004444</t>
  </si>
  <si>
    <t>"1.16 a 1.15"</t>
  </si>
  <si>
    <t>-0,9*2*3</t>
  </si>
  <si>
    <t>31</t>
  </si>
  <si>
    <t>311272241</t>
  </si>
  <si>
    <t>Zdivo z pórobetonových tvárnic na pero a drážku přes P2 do P4 přes 450 do 600 kg/m3 na tenkovrstvou maltu tl 300 mm</t>
  </si>
  <si>
    <t>-182040579</t>
  </si>
  <si>
    <t>šíty administrativní části</t>
  </si>
  <si>
    <t>32</t>
  </si>
  <si>
    <t>317142420</t>
  </si>
  <si>
    <t>Překlad nenosný pórobetonový š 100 mm v do 250 mm na tenkovrstvou maltu dl do 1000 mm</t>
  </si>
  <si>
    <t>kus</t>
  </si>
  <si>
    <t>466060554</t>
  </si>
  <si>
    <t>výpis překladů</t>
  </si>
  <si>
    <t>1. NP</t>
  </si>
  <si>
    <t>33</t>
  </si>
  <si>
    <t>317142422</t>
  </si>
  <si>
    <t>Překlad nenosný pórobetonový š 100 mm v do 250 mm na tenkovrstvou maltu dl přes 1000 do 1250 mm</t>
  </si>
  <si>
    <t>-1418144844</t>
  </si>
  <si>
    <t>2. NP</t>
  </si>
  <si>
    <t>34</t>
  </si>
  <si>
    <t>317142442</t>
  </si>
  <si>
    <t>Překlad nenosný pórobetonový š 150 mm v do 250 mm na tenkovrstvou maltu dl přes 1000 do 1250 mm</t>
  </si>
  <si>
    <t>-1147154246</t>
  </si>
  <si>
    <t>35</t>
  </si>
  <si>
    <t>317234410</t>
  </si>
  <si>
    <t>Vyzdívka mezi nosníky z cihel pálených na MC</t>
  </si>
  <si>
    <t>-2060541964</t>
  </si>
  <si>
    <t>I140</t>
  </si>
  <si>
    <t>2,10*0,12*2*0,14*3</t>
  </si>
  <si>
    <t>I100</t>
  </si>
  <si>
    <t>0,60*0,10*2*0,10*3</t>
  </si>
  <si>
    <t>36</t>
  </si>
  <si>
    <t>317944321</t>
  </si>
  <si>
    <t>Válcované nosníky do č.12 dodatečně osazované do připravených otvorů</t>
  </si>
  <si>
    <t>1979384098</t>
  </si>
  <si>
    <t>37</t>
  </si>
  <si>
    <t>317944323</t>
  </si>
  <si>
    <t>Válcované nosníky č.14 až 22 dodatečně osazované do připravených otvorů</t>
  </si>
  <si>
    <t>950992282</t>
  </si>
  <si>
    <t>I140, výpis překladů, hmotnost 14,3 kg/m, délky 2 500 m, 9 ks</t>
  </si>
  <si>
    <t>9*2,50*14,30/1000</t>
  </si>
  <si>
    <t>38</t>
  </si>
  <si>
    <t>39</t>
  </si>
  <si>
    <t>340271021</t>
  </si>
  <si>
    <t>Zazdívka otvorů v příčkách nebo stěnách pl přes 0,25 do 1 m2 tvárnicemi pórobetonovými tl 100 mm</t>
  </si>
  <si>
    <t>1100545504</t>
  </si>
  <si>
    <t>"1.02"</t>
  </si>
  <si>
    <t>"2.09"</t>
  </si>
  <si>
    <t>0,9*2</t>
  </si>
  <si>
    <t>40</t>
  </si>
  <si>
    <t>342272215</t>
  </si>
  <si>
    <t>Příčka z pórobetonových hladkých tvárnic na tenkovrstvou maltu tl 75 mm</t>
  </si>
  <si>
    <t>-1255557305</t>
  </si>
  <si>
    <t>"2.13 a 2.13A"</t>
  </si>
  <si>
    <t>41</t>
  </si>
  <si>
    <t>342272225</t>
  </si>
  <si>
    <t>Příčka z pórobetonových hladkých tvárnic na tenkovrstvou maltu tl 100 mm</t>
  </si>
  <si>
    <t>958866763</t>
  </si>
  <si>
    <t xml:space="preserve">"1.08" </t>
  </si>
  <si>
    <t>"1.07"</t>
  </si>
  <si>
    <t>"1.12 a 1.13"</t>
  </si>
  <si>
    <t>"1.14"</t>
  </si>
  <si>
    <t>"1.14A"</t>
  </si>
  <si>
    <t>"1.11"</t>
  </si>
  <si>
    <t>42</t>
  </si>
  <si>
    <t>342272235</t>
  </si>
  <si>
    <t>Příčka z pórobetonových hladkých tvárnic na tenkovrstvou maltu tl 125 mm</t>
  </si>
  <si>
    <t>711450767</t>
  </si>
  <si>
    <t xml:space="preserve">"1.07" </t>
  </si>
  <si>
    <t>43</t>
  </si>
  <si>
    <t>342272245</t>
  </si>
  <si>
    <t>Příčka z pórobetonových hladkých tvárnic na tenkovrstvou maltu tl 150 mm</t>
  </si>
  <si>
    <t>1211047375</t>
  </si>
  <si>
    <t>"1.09"</t>
  </si>
  <si>
    <t>"1.10"</t>
  </si>
  <si>
    <t>"1,12+1,13"</t>
  </si>
  <si>
    <t>"1,11"</t>
  </si>
  <si>
    <t xml:space="preserve">"1.14 a 1.15" </t>
  </si>
  <si>
    <t>"2.03 a 2.04"</t>
  </si>
  <si>
    <t>(0,45+2,25)*2,95</t>
  </si>
  <si>
    <t>"2.06"</t>
  </si>
  <si>
    <t>3,85*2,95</t>
  </si>
  <si>
    <t>"2.15 a 2.16"</t>
  </si>
  <si>
    <t>44</t>
  </si>
  <si>
    <t>346244381</t>
  </si>
  <si>
    <t>Plentování jednostranné v do 200 mm válcovaných nosníků cihlami</t>
  </si>
  <si>
    <t>-949954217</t>
  </si>
  <si>
    <t>45</t>
  </si>
  <si>
    <t>346272236</t>
  </si>
  <si>
    <t>Přizdívka z pórobetonových tvárnic tl 100 mm</t>
  </si>
  <si>
    <t>-165147917</t>
  </si>
  <si>
    <t>"2.16 a 2.17"</t>
  </si>
  <si>
    <t>46</t>
  </si>
  <si>
    <t>346272256</t>
  </si>
  <si>
    <t>Přizdívka z pórobetonových tvárnic tl 150 mm</t>
  </si>
  <si>
    <t>380825830</t>
  </si>
  <si>
    <t>47</t>
  </si>
  <si>
    <t>48</t>
  </si>
  <si>
    <t>49</t>
  </si>
  <si>
    <t>50</t>
  </si>
  <si>
    <t>348172114</t>
  </si>
  <si>
    <t>1916467325</t>
  </si>
  <si>
    <t>vjezdová brána 3 000 x 1 700 mm</t>
  </si>
  <si>
    <t>podrobný popis viz PD</t>
  </si>
  <si>
    <t>51</t>
  </si>
  <si>
    <t>696481222</t>
  </si>
  <si>
    <t>52</t>
  </si>
  <si>
    <t>348401130</t>
  </si>
  <si>
    <t>-886488916</t>
  </si>
  <si>
    <t>53</t>
  </si>
  <si>
    <t>31324768</t>
  </si>
  <si>
    <t>1013654277</t>
  </si>
  <si>
    <t>Vodorovné konstrukce</t>
  </si>
  <si>
    <t>54</t>
  </si>
  <si>
    <t>417321313</t>
  </si>
  <si>
    <t>Ztužující pásy a věnce ze ŽB tř. C 16/20</t>
  </si>
  <si>
    <t>-732136446</t>
  </si>
  <si>
    <t>věnec na příčkou skladby V.04</t>
  </si>
  <si>
    <t>55</t>
  </si>
  <si>
    <t>417351115</t>
  </si>
  <si>
    <t>Zřízení bednění ztužujících věnců</t>
  </si>
  <si>
    <t>-259295222</t>
  </si>
  <si>
    <t>56</t>
  </si>
  <si>
    <t>417351116</t>
  </si>
  <si>
    <t>Odstranění bednění ztužujících věnců</t>
  </si>
  <si>
    <t>-1034111437</t>
  </si>
  <si>
    <t>57</t>
  </si>
  <si>
    <t>417361821</t>
  </si>
  <si>
    <t>Výztuž ztužujících pásů a věnců betonářskou ocelí 10 505</t>
  </si>
  <si>
    <t>1452141033</t>
  </si>
  <si>
    <t>výztuž R10, hmotnost 0,62 kg/m + 20% přesahy</t>
  </si>
  <si>
    <t>výztuž R6, hmotnost 0,22 kg/m, 4x do bm</t>
  </si>
  <si>
    <t>58</t>
  </si>
  <si>
    <t>430321313</t>
  </si>
  <si>
    <t>Schodišťová konstrukce a rampa ze ŽB tř. C 16/20</t>
  </si>
  <si>
    <t>-836129083</t>
  </si>
  <si>
    <t>vstup do 1.21</t>
  </si>
  <si>
    <t>vstup do 1.22</t>
  </si>
  <si>
    <t>59</t>
  </si>
  <si>
    <t>358714191</t>
  </si>
  <si>
    <t>60</t>
  </si>
  <si>
    <t>431351121</t>
  </si>
  <si>
    <t>Zřízení bednění podest schodišť a ramp přímočarých v do 4 m</t>
  </si>
  <si>
    <t>1532069503</t>
  </si>
  <si>
    <t>61</t>
  </si>
  <si>
    <t>431351122</t>
  </si>
  <si>
    <t>Odstranění bednění podest schodišť a ramp přímočarých v do 4 m</t>
  </si>
  <si>
    <t>74324329</t>
  </si>
  <si>
    <t>Komunikace pozemní</t>
  </si>
  <si>
    <t>62</t>
  </si>
  <si>
    <t>564831111</t>
  </si>
  <si>
    <t>Podklad ze štěrkodrtě ŠD tl 100 mm</t>
  </si>
  <si>
    <t>129809986</t>
  </si>
  <si>
    <t>okapový chodník</t>
  </si>
  <si>
    <t>0,50*(36,65+28,70+13,75)</t>
  </si>
  <si>
    <t>63</t>
  </si>
  <si>
    <t>564851111</t>
  </si>
  <si>
    <t>Podklad ze štěrkodrtě ŠD tl 150 mm</t>
  </si>
  <si>
    <t>772965830</t>
  </si>
  <si>
    <t>64</t>
  </si>
  <si>
    <t>564871111</t>
  </si>
  <si>
    <t>Podklad ze štěrkodrtě ŠD tl 250 mm</t>
  </si>
  <si>
    <t>1557534489</t>
  </si>
  <si>
    <t>zpevněná plocha - betonová dlažba ZP.01</t>
  </si>
  <si>
    <t>65</t>
  </si>
  <si>
    <t>566901134</t>
  </si>
  <si>
    <t>66</t>
  </si>
  <si>
    <t>566901172</t>
  </si>
  <si>
    <t>67</t>
  </si>
  <si>
    <t>567122114</t>
  </si>
  <si>
    <t>Podklad ze směsi stmelené cementem SC C 8/10 (KSC I) tl 150 mm</t>
  </si>
  <si>
    <t>-1862675084</t>
  </si>
  <si>
    <t>68</t>
  </si>
  <si>
    <t>571908112</t>
  </si>
  <si>
    <t>Kryt vymývaným dekoračním kamenivem (kačírkem) tl 300 mm</t>
  </si>
  <si>
    <t>1412989533</t>
  </si>
  <si>
    <t>pod tepelné čerpadlo</t>
  </si>
  <si>
    <t>0,93*0,78*2</t>
  </si>
  <si>
    <t>69</t>
  </si>
  <si>
    <t>581121212</t>
  </si>
  <si>
    <t>Kryt cementobetonový vozovek skupiny CB II tl 120 mm</t>
  </si>
  <si>
    <t>-1881466212</t>
  </si>
  <si>
    <t>70</t>
  </si>
  <si>
    <t>71</t>
  </si>
  <si>
    <t>581141216</t>
  </si>
  <si>
    <t>Kryt cementobetonový vozovek skupiny CB II tl 250 mm</t>
  </si>
  <si>
    <t>-219990106</t>
  </si>
  <si>
    <t>72</t>
  </si>
  <si>
    <t>596212221</t>
  </si>
  <si>
    <t>Kladení zámkové dlažby pozemních komunikací tl 80 mm skupiny B pl přes 50 do 100 m2</t>
  </si>
  <si>
    <t>-655345025</t>
  </si>
  <si>
    <t>73</t>
  </si>
  <si>
    <t>59245020</t>
  </si>
  <si>
    <t>dlažba tvar obdélník betonová 200x100x80mm přírodní</t>
  </si>
  <si>
    <t>1252137538</t>
  </si>
  <si>
    <t>Úpravy povrchů, podlahy a osazování výplní</t>
  </si>
  <si>
    <t>74</t>
  </si>
  <si>
    <t>273362021</t>
  </si>
  <si>
    <t>Výztuž základových desek svařovanými sítěmi Kari</t>
  </si>
  <si>
    <t>-1132600769</t>
  </si>
  <si>
    <t>75</t>
  </si>
  <si>
    <t>"1NP"</t>
  </si>
  <si>
    <t>"1.19.-1.22"</t>
  </si>
  <si>
    <t>21,44+17,68+22,6+47,21</t>
  </si>
  <si>
    <t>"2NP"</t>
  </si>
  <si>
    <t>76</t>
  </si>
  <si>
    <t>-1832749850</t>
  </si>
  <si>
    <t>"2.01,2.02,2.04, 2.05,2.06,2.10,2.11"</t>
  </si>
  <si>
    <t>22,72+32,64+29,47+15,83+9,12+21,72+18,28</t>
  </si>
  <si>
    <t>77</t>
  </si>
  <si>
    <t>"1.15, 1.23 - 1.26"</t>
  </si>
  <si>
    <t>78</t>
  </si>
  <si>
    <t>79</t>
  </si>
  <si>
    <t>612142001</t>
  </si>
  <si>
    <t>Potažení vnitřních stěn sklovláknitým pletivem vtlačeným do tenkovrstvé hmoty</t>
  </si>
  <si>
    <t>-1161345387</t>
  </si>
  <si>
    <t>"nové zdivo porobeton"</t>
  </si>
  <si>
    <t>S.03</t>
  </si>
  <si>
    <t>izolace atiky</t>
  </si>
  <si>
    <t>(0,925+0,50)*(26,80+12,40)*2</t>
  </si>
  <si>
    <t>část mezi technickou a administrativní částí</t>
  </si>
  <si>
    <t>0,965*(12,40)</t>
  </si>
  <si>
    <t>80</t>
  </si>
  <si>
    <t>612321131</t>
  </si>
  <si>
    <t>Potažení vnitřních stěn vápenocementovým štukem tloušťky do 3 mm</t>
  </si>
  <si>
    <t>80575221</t>
  </si>
  <si>
    <t>81</t>
  </si>
  <si>
    <t>300793092</t>
  </si>
  <si>
    <t xml:space="preserve">"na zazdívky" </t>
  </si>
  <si>
    <t>82</t>
  </si>
  <si>
    <t>612325402</t>
  </si>
  <si>
    <t>751230476</t>
  </si>
  <si>
    <t>83</t>
  </si>
  <si>
    <t>615142002</t>
  </si>
  <si>
    <t>Potažení vnitřních nosníků sklovláknitým pletivem</t>
  </si>
  <si>
    <t>1773226400</t>
  </si>
  <si>
    <t>2,50*(0,14*2+0,30)*3</t>
  </si>
  <si>
    <t>1,00*(0,10+0,475)*3</t>
  </si>
  <si>
    <t>84</t>
  </si>
  <si>
    <t>621273001</t>
  </si>
  <si>
    <t>114175496</t>
  </si>
  <si>
    <t>fasáda pod přesahem střechy</t>
  </si>
  <si>
    <t>řez B2-B2</t>
  </si>
  <si>
    <t>0,625*(29,04+14,825)</t>
  </si>
  <si>
    <t>řez A2-A2</t>
  </si>
  <si>
    <t>0,755*(24,745)*2</t>
  </si>
  <si>
    <t>řez I2-I2 "podbití"</t>
  </si>
  <si>
    <t>0,545*(7,63*2+7,50*2)</t>
  </si>
  <si>
    <t>85</t>
  </si>
  <si>
    <t>13814026.R01</t>
  </si>
  <si>
    <t>-1850048220</t>
  </si>
  <si>
    <t>86</t>
  </si>
  <si>
    <t>622142001</t>
  </si>
  <si>
    <t>Potažení vnějších stěn sklovláknitým pletivem vtlačeným do tenkovrstvé hmoty</t>
  </si>
  <si>
    <t>1192554247</t>
  </si>
  <si>
    <t>skladba S01</t>
  </si>
  <si>
    <t>7,625*(22,80*2+13,00)</t>
  </si>
  <si>
    <t>odpočet otvorů</t>
  </si>
  <si>
    <t>skladba S02</t>
  </si>
  <si>
    <t>87</t>
  </si>
  <si>
    <t>88</t>
  </si>
  <si>
    <t>89</t>
  </si>
  <si>
    <t>90</t>
  </si>
  <si>
    <t>91</t>
  </si>
  <si>
    <t>622273001</t>
  </si>
  <si>
    <t>-772483502</t>
  </si>
  <si>
    <t>0,425*(29,04+14,825)</t>
  </si>
  <si>
    <t>0,425*(24,745)*2</t>
  </si>
  <si>
    <t>92</t>
  </si>
  <si>
    <t>1534725253</t>
  </si>
  <si>
    <t>93</t>
  </si>
  <si>
    <t>622273031.R01</t>
  </si>
  <si>
    <t>1865578342</t>
  </si>
  <si>
    <t>6,575*(14,40+13,36+27,86)</t>
  </si>
  <si>
    <t>94</t>
  </si>
  <si>
    <t>472369854</t>
  </si>
  <si>
    <t>95</t>
  </si>
  <si>
    <t>622273091</t>
  </si>
  <si>
    <t>-1684645670</t>
  </si>
  <si>
    <t>96</t>
  </si>
  <si>
    <t>-1302431116</t>
  </si>
  <si>
    <t>97</t>
  </si>
  <si>
    <t>622511112</t>
  </si>
  <si>
    <t>-1752105960</t>
  </si>
  <si>
    <t>0,30*(14,40+13,00+27,40)</t>
  </si>
  <si>
    <t>98</t>
  </si>
  <si>
    <t>631311124</t>
  </si>
  <si>
    <t>Mazanina tl přes 80 do 120 mm z betonu prostého bez zvýšených nároků na prostředí tř. C 16/20</t>
  </si>
  <si>
    <t>842712546</t>
  </si>
  <si>
    <t>0,11*(1,14*1,575)</t>
  </si>
  <si>
    <t>99</t>
  </si>
  <si>
    <t>631312141</t>
  </si>
  <si>
    <t>Doplnění rýh v dosavadních mazaninách betonem prostým</t>
  </si>
  <si>
    <t>-444732345</t>
  </si>
  <si>
    <t>"Z1"</t>
  </si>
  <si>
    <t>100</t>
  </si>
  <si>
    <t>631319012</t>
  </si>
  <si>
    <t>Příplatek k mazanině tl přes 80 do 120 mm za přehlazení povrchu</t>
  </si>
  <si>
    <t>547192248</t>
  </si>
  <si>
    <t>101</t>
  </si>
  <si>
    <t>631351101</t>
  </si>
  <si>
    <t>Zřízení bednění rýh a hran v podlahách</t>
  </si>
  <si>
    <t>805359849</t>
  </si>
  <si>
    <t>0,11*(1,14+1,575)*2</t>
  </si>
  <si>
    <t>102</t>
  </si>
  <si>
    <t>631351102</t>
  </si>
  <si>
    <t>Odstranění bednění rýh a hran v podlahách</t>
  </si>
  <si>
    <t>-529000700</t>
  </si>
  <si>
    <t>103</t>
  </si>
  <si>
    <t>335033103</t>
  </si>
  <si>
    <t>632683112</t>
  </si>
  <si>
    <t>-950357220</t>
  </si>
  <si>
    <t>"(předpoklad do 20% plochy)"</t>
  </si>
  <si>
    <t>"D08"</t>
  </si>
  <si>
    <t>29,86*0,2</t>
  </si>
  <si>
    <t xml:space="preserve">"D09, D10, D11, D12" </t>
  </si>
  <si>
    <t>(21,56+18,10+23,02+47,69)*0,2</t>
  </si>
  <si>
    <t>"D13, D14, D15, D16"</t>
  </si>
  <si>
    <t>(59,79+66,32+41,21+74,37)*0,2</t>
  </si>
  <si>
    <t>-1118454322</t>
  </si>
  <si>
    <t>Ostatní konstrukce a práce, bourání</t>
  </si>
  <si>
    <t>916131213</t>
  </si>
  <si>
    <t>Osazení silničního obrubníku betonového stojatého s boční opěrou do lože z betonu prostého</t>
  </si>
  <si>
    <t>1176027393</t>
  </si>
  <si>
    <t>59217026</t>
  </si>
  <si>
    <t>obrubník betonový silniční 500x150x250mm</t>
  </si>
  <si>
    <t>1956245288</t>
  </si>
  <si>
    <t>1618239540</t>
  </si>
  <si>
    <t>1589069696</t>
  </si>
  <si>
    <t>941221111</t>
  </si>
  <si>
    <t>Montáž lešení řadového rámového těžkého zatížení do 300 kg/m2 š přes 0,9 do 1,2 m v do 10 m</t>
  </si>
  <si>
    <t>-192383872</t>
  </si>
  <si>
    <t>1932552140</t>
  </si>
  <si>
    <t>941221811</t>
  </si>
  <si>
    <t>Demontáž lešení řadového rámového těžkého zatížení do 300 kg/m2 š přes 0,9 do 1,2 m v do 10 m</t>
  </si>
  <si>
    <t>-1338102350</t>
  </si>
  <si>
    <t>953965122</t>
  </si>
  <si>
    <t>Kotevní šroub pro chemické kotvy M 12 dl 220 mm</t>
  </si>
  <si>
    <t>-2025431003</t>
  </si>
  <si>
    <t>kotvení nosníků skladby V.04</t>
  </si>
  <si>
    <t>961044111</t>
  </si>
  <si>
    <t>Bourání základů z betonu prostého</t>
  </si>
  <si>
    <t>-1310049942</t>
  </si>
  <si>
    <t>962031133</t>
  </si>
  <si>
    <t>Bourání příček z cihel pálených na MVC tl do 150 mm</t>
  </si>
  <si>
    <t>524801359</t>
  </si>
  <si>
    <t xml:space="preserve">"2.11" </t>
  </si>
  <si>
    <t>2,1*3,05</t>
  </si>
  <si>
    <t xml:space="preserve">"2.04-2.05" </t>
  </si>
  <si>
    <t xml:space="preserve">"2.09" </t>
  </si>
  <si>
    <t>"2.08+2.07"</t>
  </si>
  <si>
    <t>962032230</t>
  </si>
  <si>
    <t>Bourání zdiva z cihel pálených nebo vápenopískových na MV nebo MVC do 1 m3</t>
  </si>
  <si>
    <t>744589350</t>
  </si>
  <si>
    <t>vstup</t>
  </si>
  <si>
    <t>962081141.R01</t>
  </si>
  <si>
    <t>Bourání copilitové stěny, včetně ocelového rámu</t>
  </si>
  <si>
    <t>-2041526291</t>
  </si>
  <si>
    <t>(2,80*6,26)</t>
  </si>
  <si>
    <t>963012520</t>
  </si>
  <si>
    <t>Bourání stropů z ŽB desek š přes 300 mm tl přes 140 mm</t>
  </si>
  <si>
    <t>538590021</t>
  </si>
  <si>
    <t>stříška nad vstupem</t>
  </si>
  <si>
    <t>2,00*1,20*0,175</t>
  </si>
  <si>
    <t>964011211</t>
  </si>
  <si>
    <t>Vybourání ŽB překladů prefabrikovaných dl do 3 m hmotnosti do 50 kg/m</t>
  </si>
  <si>
    <t>159171066</t>
  </si>
  <si>
    <t xml:space="preserve">"při rozšíření stávajících otvorů" </t>
  </si>
  <si>
    <t>m.č. 1.19 a 1.20</t>
  </si>
  <si>
    <t>2,4*0,3*0,15*2</t>
  </si>
  <si>
    <t>965042241</t>
  </si>
  <si>
    <t>Bourání podkladů pod dlažby nebo mazanin betonových nebo z litého asfaltu tl přes 100 mm pl přes 4 m2</t>
  </si>
  <si>
    <t>104344848</t>
  </si>
  <si>
    <t>"pro základový pás"</t>
  </si>
  <si>
    <t xml:space="preserve">"2NP" </t>
  </si>
  <si>
    <t>"D01,D02,D03,D04, D06" (26,73+16,96+15,16+15,47+13,16)</t>
  </si>
  <si>
    <t>"D32,D33,D34" (18,13+28,29+28,41)</t>
  </si>
  <si>
    <t>966071822</t>
  </si>
  <si>
    <t>Rozebrání oplocení z drátěného pletiva se čtvercovými oky v přes 1,6 do 2,0 m</t>
  </si>
  <si>
    <t>-2037508453</t>
  </si>
  <si>
    <t>stávající plot</t>
  </si>
  <si>
    <t>966073811</t>
  </si>
  <si>
    <t>Rozebrání vrat a vrátek k oplocení pl přes 4 do 6 m2</t>
  </si>
  <si>
    <t>1568272239</t>
  </si>
  <si>
    <t>stávající brána</t>
  </si>
  <si>
    <t>966080115.R01</t>
  </si>
  <si>
    <t>Bourání kontaktního zateplení z desek z minerální vlny tl přes 120 do 180 mm se zakrytím plechovými lamelami</t>
  </si>
  <si>
    <t>891564550</t>
  </si>
  <si>
    <t>7,825*(22,925*2+13,25)</t>
  </si>
  <si>
    <t>968062356</t>
  </si>
  <si>
    <t>Vybourání dřevěných rámů oken dvojitých včetně křídel pl do 4 m2</t>
  </si>
  <si>
    <t>1037135577</t>
  </si>
  <si>
    <t>968072455</t>
  </si>
  <si>
    <t>Vybourání kovových dveřních zárubní pl do 2 m2</t>
  </si>
  <si>
    <t>-2011344291</t>
  </si>
  <si>
    <t>968072456</t>
  </si>
  <si>
    <t>Vybourání kovových dveřních zárubní pl přes 2 m2</t>
  </si>
  <si>
    <t>1968186320</t>
  </si>
  <si>
    <t>971033561</t>
  </si>
  <si>
    <t>Vybourání otvorů ve zdivu cihelném pl do 1 m2 na MVC nebo MV tl do 600 mm</t>
  </si>
  <si>
    <t>1121912123</t>
  </si>
  <si>
    <t>"m.č. 1.10, pro okna D28"</t>
  </si>
  <si>
    <t>0,6*0,63*3*0,55</t>
  </si>
  <si>
    <t>"m.č. 1.02, rozšíření otvoru"</t>
  </si>
  <si>
    <t>971033641</t>
  </si>
  <si>
    <t>Vybourání otvorů ve zdivu cihelném pl do 4 m2 na MVC nebo MV tl do 300 mm</t>
  </si>
  <si>
    <t>2071076874</t>
  </si>
  <si>
    <t>973031345</t>
  </si>
  <si>
    <t>Vysekání kapes ve zdivu cihelném na MV nebo MVC pl do 0,25 m2 hl do 300 mm</t>
  </si>
  <si>
    <t>1286832799</t>
  </si>
  <si>
    <t>3*2*3</t>
  </si>
  <si>
    <t>973032863</t>
  </si>
  <si>
    <t>Vysekání kapes pro zavázání příček nebo zdí ve zdivu z dutých cihel nebo tvárnic tl do 150 mm</t>
  </si>
  <si>
    <t>-569746025</t>
  </si>
  <si>
    <t>3,0*5</t>
  </si>
  <si>
    <t>977151125</t>
  </si>
  <si>
    <t>Jádrové vrty diamantovými korunkami do stavebních materiálů D přes 180 do 200 mm</t>
  </si>
  <si>
    <t>1811371803</t>
  </si>
  <si>
    <t>1917558420</t>
  </si>
  <si>
    <t>997</t>
  </si>
  <si>
    <t>Přesun sutě</t>
  </si>
  <si>
    <t>997013212</t>
  </si>
  <si>
    <t>Vnitrostaveništní doprava suti a vybouraných hmot pro budovy v přes 6 do 9 m ručně</t>
  </si>
  <si>
    <t>-613141021</t>
  </si>
  <si>
    <t>-841216809</t>
  </si>
  <si>
    <t>997013601</t>
  </si>
  <si>
    <t>Poplatek za uložení na skládce (skládkovné) stavebního odpadu betonového kód odpadu 17 01 01</t>
  </si>
  <si>
    <t>-624145984</t>
  </si>
  <si>
    <t>997013602</t>
  </si>
  <si>
    <t>Poplatek za uložení na skládce (skládkovné) stavebního odpadu železobetonového kód odpadu 17 01 01</t>
  </si>
  <si>
    <t>-270177704</t>
  </si>
  <si>
    <t>997013603</t>
  </si>
  <si>
    <t>Poplatek za uložení na skládce (skládkovné) stavebního odpadu cihelného kód odpadu 17 01 02</t>
  </si>
  <si>
    <t>-1582777211</t>
  </si>
  <si>
    <t>997013607</t>
  </si>
  <si>
    <t>Poplatek za uložení na skládce (skládkovné) stavebního odpadu keramického kód odpadu 17 01 03</t>
  </si>
  <si>
    <t>1197956419</t>
  </si>
  <si>
    <t>997013631</t>
  </si>
  <si>
    <t>Poplatek za uložení na skládce (skládkovné) stavebního odpadu směsného kód odpadu 17 09 04</t>
  </si>
  <si>
    <t>-1209335636</t>
  </si>
  <si>
    <t>997013645</t>
  </si>
  <si>
    <t>Poplatek za uložení na skládce (skládkovné) odpadu asfaltového bez dehtu kód odpadu 17 03 02</t>
  </si>
  <si>
    <t>-431167306</t>
  </si>
  <si>
    <t>0,638</t>
  </si>
  <si>
    <t>997013804</t>
  </si>
  <si>
    <t>Poplatek za uložení na skládce (skládkovné) stavebního odpadu ze skla kód odpadu 17 02 02</t>
  </si>
  <si>
    <t>755882363</t>
  </si>
  <si>
    <t>997013811</t>
  </si>
  <si>
    <t>Poplatek za uložení na skládce (skládkovné) stavebního odpadu dřevěného kód odpadu 17 02 01</t>
  </si>
  <si>
    <t>1386245402</t>
  </si>
  <si>
    <t>997013814</t>
  </si>
  <si>
    <t>Poplatek za uložení na skládce (skládkovné) stavebního odpadu izolací kód odpadu 17 06 04</t>
  </si>
  <si>
    <t>1283968184</t>
  </si>
  <si>
    <t>998</t>
  </si>
  <si>
    <t>Přesun hmot</t>
  </si>
  <si>
    <t>2106196512</t>
  </si>
  <si>
    <t>PSV</t>
  </si>
  <si>
    <t>Práce a dodávky PSV</t>
  </si>
  <si>
    <t>711</t>
  </si>
  <si>
    <t>Izolace proti vodě, vlhkosti a plynům</t>
  </si>
  <si>
    <t>711111001</t>
  </si>
  <si>
    <t>Provedení izolace proti zemní vlhkosti vodorovné za studena nátěrem penetračním</t>
  </si>
  <si>
    <t>-289162379</t>
  </si>
  <si>
    <t>"P03,P04,P05,P08,P09"</t>
  </si>
  <si>
    <t>izolace mezi novým vstupních schodištěm a stěnou</t>
  </si>
  <si>
    <t>1,40*2,46</t>
  </si>
  <si>
    <t>11163150</t>
  </si>
  <si>
    <t>lak penetrační asfaltový</t>
  </si>
  <si>
    <t>-507006006</t>
  </si>
  <si>
    <t>711131811</t>
  </si>
  <si>
    <t>Odstranění izolace proti zemní vlhkosti vodorovné</t>
  </si>
  <si>
    <t>-2022676093</t>
  </si>
  <si>
    <t>711141559</t>
  </si>
  <si>
    <t>Provedení izolace proti zemní vlhkosti pásy přitavením vodorovné NAIP</t>
  </si>
  <si>
    <t>-1712490264</t>
  </si>
  <si>
    <t>62853004</t>
  </si>
  <si>
    <t>pás asfaltový natavitelný modifikovaný SBS tl 4,0mm s vložkou ze skleněné tkaniny a spalitelnou PE fólií nebo jemnozrnným minerálním posypem na horním povrchu</t>
  </si>
  <si>
    <t>-799026319</t>
  </si>
  <si>
    <t>711142559</t>
  </si>
  <si>
    <t>Provedení izolace proti zemní vlhkosti pásy přitavením svislé NAIP</t>
  </si>
  <si>
    <t>-945899989</t>
  </si>
  <si>
    <t>970505297</t>
  </si>
  <si>
    <t>711161212</t>
  </si>
  <si>
    <t>Izolace proti zemní vlhkosti nopovou fólií svislá, nopek v 8,0 mm, tl do 0,6 mm</t>
  </si>
  <si>
    <t>739052144</t>
  </si>
  <si>
    <t>711161383</t>
  </si>
  <si>
    <t>Izolace proti zemní vlhkosti nopovou fólií ukončení horní lištou</t>
  </si>
  <si>
    <t>-523573233</t>
  </si>
  <si>
    <t>998711202</t>
  </si>
  <si>
    <t>-111667251</t>
  </si>
  <si>
    <t>712</t>
  </si>
  <si>
    <t>Povlakové krytiny</t>
  </si>
  <si>
    <t>712311101</t>
  </si>
  <si>
    <t>Provedení povlakové krytiny střech do 10° za studena lakem penetračním nebo asfaltovým</t>
  </si>
  <si>
    <t>-233740306</t>
  </si>
  <si>
    <t>skladba V.02</t>
  </si>
  <si>
    <t>vytažení na atiku</t>
  </si>
  <si>
    <t>skladba V.03</t>
  </si>
  <si>
    <t>26,80*12,40</t>
  </si>
  <si>
    <t>-1062502875</t>
  </si>
  <si>
    <t>712340831</t>
  </si>
  <si>
    <t>Odstranění povlakové krytiny střech do 10° z pásů NAIP přitavených v plné ploše jednovrstvé</t>
  </si>
  <si>
    <t>-1158628338</t>
  </si>
  <si>
    <t>712340832</t>
  </si>
  <si>
    <t>Odstranění povlakové krytiny střech do 10° z pásů NAIP přitavených v plné ploše dvouvrstvé</t>
  </si>
  <si>
    <t>-1128745527</t>
  </si>
  <si>
    <t>atika</t>
  </si>
  <si>
    <t>712341559</t>
  </si>
  <si>
    <t>Provedení povlakové krytiny střech do 10° pásy NAIP přitavením v plné ploše</t>
  </si>
  <si>
    <t>-1166527038</t>
  </si>
  <si>
    <t>62855001.R01</t>
  </si>
  <si>
    <t>pás asfaltový natavitelný modifikovaný SBS tl 4,0mm</t>
  </si>
  <si>
    <t>1323619754</t>
  </si>
  <si>
    <t>998712202</t>
  </si>
  <si>
    <t>33345979</t>
  </si>
  <si>
    <t>713</t>
  </si>
  <si>
    <t>Izolace tepelné</t>
  </si>
  <si>
    <t>713120821</t>
  </si>
  <si>
    <t>Odstranění tepelné izolace podlah volně kladené z polystyrenu suchého tl do 100 mm</t>
  </si>
  <si>
    <t>-1437532557</t>
  </si>
  <si>
    <t>713121111</t>
  </si>
  <si>
    <t>Montáž izolace tepelné podlah volně kladenými rohožemi, pásy, dílci, deskami 1 vrstva</t>
  </si>
  <si>
    <t>1313529981</t>
  </si>
  <si>
    <t>"P13,P14"</t>
  </si>
  <si>
    <t>"2.12,2.13A,2.13,2.14,2.15,2.16,2.17"</t>
  </si>
  <si>
    <t>28372305.1</t>
  </si>
  <si>
    <t>-1413820757</t>
  </si>
  <si>
    <t>3,4+1,4</t>
  </si>
  <si>
    <t>713121121</t>
  </si>
  <si>
    <t>Montáž izolace tepelné podlah volně kladenými rohožemi, pásy, dílci, deskami 2 vrstvy</t>
  </si>
  <si>
    <t>-1763933619</t>
  </si>
  <si>
    <t>28372303</t>
  </si>
  <si>
    <t>1100107936</t>
  </si>
  <si>
    <t>713131141</t>
  </si>
  <si>
    <t>Montáž izolace tepelné stěn a základů lepením celoplošně rohoží, pásů, dílců, desek</t>
  </si>
  <si>
    <t>1582973622</t>
  </si>
  <si>
    <t>"TI předstěna 2.16+2.17"</t>
  </si>
  <si>
    <t>28375935</t>
  </si>
  <si>
    <t>deska EPS 70 fasádní λ=0,039 tl 150mm</t>
  </si>
  <si>
    <t>-686743666</t>
  </si>
  <si>
    <t>751451763</t>
  </si>
  <si>
    <t>-73072560</t>
  </si>
  <si>
    <t>713131145</t>
  </si>
  <si>
    <t>Montáž izolace tepelné stěn a základů lepením bodově rohoží, pásů, dílců, desek</t>
  </si>
  <si>
    <t>1572171242</t>
  </si>
  <si>
    <t>28376422</t>
  </si>
  <si>
    <t>deska z polystyrénu XPS, hrana polodrážková a hladký povrch 300kPA tl 100mm</t>
  </si>
  <si>
    <t>2018163851</t>
  </si>
  <si>
    <t>713131161.R01</t>
  </si>
  <si>
    <t>Montáž pojistné difúzní folie stěn, spoje budou lepeny</t>
  </si>
  <si>
    <t>1754000125</t>
  </si>
  <si>
    <t>28329038</t>
  </si>
  <si>
    <t>pojistná difúzní folie tl. 0,4 mm polyester/polymer, plošná hmotnost 210 g/m2 (lepené spoje) - faktor dirúzního odporu 375 (+- 125)</t>
  </si>
  <si>
    <t>477410245</t>
  </si>
  <si>
    <t>713140825.R01</t>
  </si>
  <si>
    <t>Odstranění tepelné izolace střech nadstřešní volně kladené z desek plynosilikátových tl do 200 mm</t>
  </si>
  <si>
    <t>223599293</t>
  </si>
  <si>
    <t>713140841</t>
  </si>
  <si>
    <t>Odstranění tepelné izolace střech nadstřešní připevněné z polystyrenu suchého tl do 100 mm</t>
  </si>
  <si>
    <t>1348938189</t>
  </si>
  <si>
    <t>713141151</t>
  </si>
  <si>
    <t>Montáž izolace tepelné střech plochých kladené volně 1 vrstva rohoží, pásů, dílců, desek</t>
  </si>
  <si>
    <t>-1425284617</t>
  </si>
  <si>
    <t>-1898234431</t>
  </si>
  <si>
    <t>713190814</t>
  </si>
  <si>
    <t>Odstranění tepelné izolace škvárového lože tl přes 150 do 200 mm</t>
  </si>
  <si>
    <t>-1584956000</t>
  </si>
  <si>
    <t>998713202</t>
  </si>
  <si>
    <t>273791224</t>
  </si>
  <si>
    <t>725</t>
  </si>
  <si>
    <t>Zdravotechnika - zařizovací předměty</t>
  </si>
  <si>
    <t>725110811</t>
  </si>
  <si>
    <t>Demontáž klozetů splachovací s nádrží</t>
  </si>
  <si>
    <t>soubor</t>
  </si>
  <si>
    <t>1336525692</t>
  </si>
  <si>
    <t>1+1</t>
  </si>
  <si>
    <t>725130811</t>
  </si>
  <si>
    <t>Demontáž pisoárových stání s nádrží jednodílných</t>
  </si>
  <si>
    <t>-66791755</t>
  </si>
  <si>
    <t>"2.08"</t>
  </si>
  <si>
    <t>725210821</t>
  </si>
  <si>
    <t>Demontáž umyvadel bez výtokových armatur</t>
  </si>
  <si>
    <t>-1303823534</t>
  </si>
  <si>
    <t>"2.07"</t>
  </si>
  <si>
    <t>725240812</t>
  </si>
  <si>
    <t>Demontáž vaniček sprchových bez výtokových armatur</t>
  </si>
  <si>
    <t>524276230</t>
  </si>
  <si>
    <t>"2.07</t>
  </si>
  <si>
    <t>741</t>
  </si>
  <si>
    <t>Elektroinstalace - silnoproud</t>
  </si>
  <si>
    <t>741.R01</t>
  </si>
  <si>
    <t>Demontáž vedení hromosvodu včetně odvozu, uložení suti na skládku a včetně poplatku za skládku</t>
  </si>
  <si>
    <t>kpl</t>
  </si>
  <si>
    <t>-95226703</t>
  </si>
  <si>
    <t>762</t>
  </si>
  <si>
    <t>Konstrukce tesařské</t>
  </si>
  <si>
    <t>762332131</t>
  </si>
  <si>
    <t>Montáž vázaných kcí krovů pravidelných z hraněného řeziva průřezové pl do 120 cm2</t>
  </si>
  <si>
    <t>-1698670626</t>
  </si>
  <si>
    <t>5.1 kleština 24/120 mm</t>
  </si>
  <si>
    <t>50*4,20</t>
  </si>
  <si>
    <t>7.1 vzpěra 80/120 mm</t>
  </si>
  <si>
    <t>9.1 krajový příhradový nosník 60/120 mm</t>
  </si>
  <si>
    <t>16,00</t>
  </si>
  <si>
    <t>60512125</t>
  </si>
  <si>
    <t>hranol stavební řezivo průřezu do 120cm2 do dl 6m</t>
  </si>
  <si>
    <t>-524405905</t>
  </si>
  <si>
    <t>50*4,20*0,024*0,12</t>
  </si>
  <si>
    <t>16,00*0,06*0,12</t>
  </si>
  <si>
    <t>762332132</t>
  </si>
  <si>
    <t>Montáž vázaných kcí krovů pravidelných z hraněného řeziva průřezové pl přes 120 do 224 cm2</t>
  </si>
  <si>
    <t>-249803622</t>
  </si>
  <si>
    <t>1.1 úžlabí krokev 100/220</t>
  </si>
  <si>
    <t>2*12,00</t>
  </si>
  <si>
    <t>1.2 krokev 80/180</t>
  </si>
  <si>
    <t>82*7,80+75*7,8+(18+20)*((1,00+7,80))/2</t>
  </si>
  <si>
    <t>2.1 vaznice 120/180 mm</t>
  </si>
  <si>
    <t>2*(25,00+29,00)</t>
  </si>
  <si>
    <t>3.1 hřebenová vaznice 80/180 mm</t>
  </si>
  <si>
    <t>25,00+29,00+6,40</t>
  </si>
  <si>
    <t>3.4 mezilehlá vaznice 120/180 mm</t>
  </si>
  <si>
    <t>4.1 - 4.5 sloupek 120/120 mm</t>
  </si>
  <si>
    <t>10*1,70+20*1,00+15*1,60+23*0,80+2*1,30</t>
  </si>
  <si>
    <t>6.1 - 6.3 pozednice 140/120 mm</t>
  </si>
  <si>
    <t>6.4 bačkora 140/100 mm</t>
  </si>
  <si>
    <t>2*2,00</t>
  </si>
  <si>
    <t>9.1 krajový příhradový nosník 120/120 mm</t>
  </si>
  <si>
    <t>30,00</t>
  </si>
  <si>
    <t>60512132</t>
  </si>
  <si>
    <t>hranol stavební řezivo průřezu do 224cm2</t>
  </si>
  <si>
    <t>2114089748</t>
  </si>
  <si>
    <t>2*12,00*0,10*0,22</t>
  </si>
  <si>
    <t>(82*7,80+75*7,8+(18+20)*((1,00+7,80))/2)*0,08*0,18</t>
  </si>
  <si>
    <t>2*(25,00+29,00)*0,12*0,18</t>
  </si>
  <si>
    <t>(25,00+29,00+6,40)*0,08*0,18</t>
  </si>
  <si>
    <t>(10*1,70+20*1,00+15*1,60+23*0,80+2*1,30)*0,12*0,12</t>
  </si>
  <si>
    <t>2*2,00*0,14*0,10</t>
  </si>
  <si>
    <t>30,00*0,12*0,12</t>
  </si>
  <si>
    <t>762341210</t>
  </si>
  <si>
    <t>Montáž bednění střech rovných a šikmých sklonu do 60° z hrubých prken na sraz tl do 32 mm</t>
  </si>
  <si>
    <t>30876739</t>
  </si>
  <si>
    <t>skladba V.01</t>
  </si>
  <si>
    <t>řez A2</t>
  </si>
  <si>
    <t>7,63*2*24,725</t>
  </si>
  <si>
    <t>řez B2</t>
  </si>
  <si>
    <t>7,50*(14,825+29,06)</t>
  </si>
  <si>
    <t>6,90*7,50/2</t>
  </si>
  <si>
    <t>7,33*7,50/2</t>
  </si>
  <si>
    <t>část viz řez I2</t>
  </si>
  <si>
    <t>6,30*6,90</t>
  </si>
  <si>
    <t>Mezisoučet</t>
  </si>
  <si>
    <t>druhá vrstva</t>
  </si>
  <si>
    <t>60515111</t>
  </si>
  <si>
    <t>řezivo jehličnaté boční prkno 20-30mm</t>
  </si>
  <si>
    <t>-457218713</t>
  </si>
  <si>
    <t>762342511</t>
  </si>
  <si>
    <t>Montáž kontralatí na podklad bez tepelné izolace</t>
  </si>
  <si>
    <t>1574885044</t>
  </si>
  <si>
    <t>60514114</t>
  </si>
  <si>
    <t>řezivo jehličnaté lať impregnovaná dl 4 m</t>
  </si>
  <si>
    <t>-1082326548</t>
  </si>
  <si>
    <t>762361310.R01</t>
  </si>
  <si>
    <t>Podložka dubová, 200 x 200 mm, tl. 40 mm</t>
  </si>
  <si>
    <t>1344966007</t>
  </si>
  <si>
    <t>8.1 dubová podložka 200x200 mm</t>
  </si>
  <si>
    <t>70*0,20*0,20</t>
  </si>
  <si>
    <t>762395000</t>
  </si>
  <si>
    <t>Spojovací prostředky krovů, bednění, laťování, nadstřešních konstrukcí</t>
  </si>
  <si>
    <t>-2133629863</t>
  </si>
  <si>
    <t>762526110</t>
  </si>
  <si>
    <t>Položení polštáře pod podlahy při osové vzdálenosti 65 cm</t>
  </si>
  <si>
    <t>1977981186</t>
  </si>
  <si>
    <t>-263338279</t>
  </si>
  <si>
    <t>hranoly 60/160 mm, á 625 mm</t>
  </si>
  <si>
    <t>762811210</t>
  </si>
  <si>
    <t>Montáž vrchního záklopu z hrubých prken na sraz spáry zakryté</t>
  </si>
  <si>
    <t>-408573943</t>
  </si>
  <si>
    <t>1732073484</t>
  </si>
  <si>
    <t>762895000</t>
  </si>
  <si>
    <t>Spojovací prostředky pro montáž záklopu, stropnice a podbíjení</t>
  </si>
  <si>
    <t>-7258277</t>
  </si>
  <si>
    <t>762812140</t>
  </si>
  <si>
    <t>Montáž vrchního záklopu z hoblovaných prken na sraz spáry nekryté</t>
  </si>
  <si>
    <t>-2047906642</t>
  </si>
  <si>
    <t>V.04</t>
  </si>
  <si>
    <t>60511081</t>
  </si>
  <si>
    <t>řezivo jehličnaté smrk tl 18-32mm dl 4-5m</t>
  </si>
  <si>
    <t>-1153217668</t>
  </si>
  <si>
    <t>tl. prken 24 mm</t>
  </si>
  <si>
    <t>762822120</t>
  </si>
  <si>
    <t>Montáž stropního trámu z hraněného řeziva průřezové pl přes 144 do 288 cm2 s výměnami</t>
  </si>
  <si>
    <t>-1918070801</t>
  </si>
  <si>
    <t>N.1 - 80/200 mm</t>
  </si>
  <si>
    <t>N.2 - 80/200 mm</t>
  </si>
  <si>
    <t>7*1,75</t>
  </si>
  <si>
    <t>N.3 - 100/120 mm</t>
  </si>
  <si>
    <t>N.4 - 100/120 mm</t>
  </si>
  <si>
    <t>1*3,28</t>
  </si>
  <si>
    <t>60512135</t>
  </si>
  <si>
    <t>hranol stavební řezivo průřezu do 288cm2 do dl 6m</t>
  </si>
  <si>
    <t>1085401514</t>
  </si>
  <si>
    <t>7*1,75*0,08*0,20</t>
  </si>
  <si>
    <t>1*3,28*0,10*0,12</t>
  </si>
  <si>
    <t>998762202</t>
  </si>
  <si>
    <t>54559973</t>
  </si>
  <si>
    <t>763</t>
  </si>
  <si>
    <t>Konstrukce suché výstavby</t>
  </si>
  <si>
    <t>763131411</t>
  </si>
  <si>
    <t>SDK podhled desky 1xA 12,5 bez izolace dvouvrstvá spodní kce profil CD+UD</t>
  </si>
  <si>
    <t>-928173049</t>
  </si>
  <si>
    <t>2,59</t>
  </si>
  <si>
    <t>2,77</t>
  </si>
  <si>
    <t>2,96</t>
  </si>
  <si>
    <t>763131451</t>
  </si>
  <si>
    <t>SDK podhled deska 1xH2 12,5 bez izolace dvouvrstvá spodní kce profil CD+UD</t>
  </si>
  <si>
    <t>-37855665</t>
  </si>
  <si>
    <t xml:space="preserve">"1.06, 1.07, 1.08, 1.09, 1.10, 1.11, 1.12, 1.13, 1.14, 1.14A" </t>
  </si>
  <si>
    <t>"2.13A, 2.13"</t>
  </si>
  <si>
    <t>763131751</t>
  </si>
  <si>
    <t>Montáž parotěsné zábrany do SDK podhledu</t>
  </si>
  <si>
    <t>974131461</t>
  </si>
  <si>
    <t>28329274</t>
  </si>
  <si>
    <t>fólie PE vyztužená pro parotěsnou vrstvu (reakce na oheň - třída E) 110g/m2</t>
  </si>
  <si>
    <t>-962012600</t>
  </si>
  <si>
    <t>763135101</t>
  </si>
  <si>
    <t>1379432518</t>
  </si>
  <si>
    <t>"1.01, 1.02, 1.03, 1.04, 1.05, 1.16, 1.17"</t>
  </si>
  <si>
    <t>"2.03"</t>
  </si>
  <si>
    <t>31,7</t>
  </si>
  <si>
    <t>59030570</t>
  </si>
  <si>
    <t>podhled kazetový bez děrování viditelný rastr tl 10mm 600x600mm</t>
  </si>
  <si>
    <t>-638058216</t>
  </si>
  <si>
    <t>763164531</t>
  </si>
  <si>
    <t>SDK obklad kcí tvaru L š do 0,8 m desky 1xA 12,5</t>
  </si>
  <si>
    <t>-701300808</t>
  </si>
  <si>
    <t>"1.17" 1,6</t>
  </si>
  <si>
    <t>"1.01" 1,8</t>
  </si>
  <si>
    <t>763172352</t>
  </si>
  <si>
    <t>Montáž dvířek revizních jednoplášťových SDK kcí vel. 300 x 300 mm pro podhledy</t>
  </si>
  <si>
    <t>1409172715</t>
  </si>
  <si>
    <t>"Z13"</t>
  </si>
  <si>
    <t>59030711</t>
  </si>
  <si>
    <t>dvířka revizní jednokřídlá s automatickým zámkem 300x300mm</t>
  </si>
  <si>
    <t>-91643727</t>
  </si>
  <si>
    <t>998763402</t>
  </si>
  <si>
    <t>666421535</t>
  </si>
  <si>
    <t>764</t>
  </si>
  <si>
    <t>Konstrukce klempířské</t>
  </si>
  <si>
    <t>764001821</t>
  </si>
  <si>
    <t>Demontáž krytiny ze svitků nebo tabulí do suti</t>
  </si>
  <si>
    <t>-455462069</t>
  </si>
  <si>
    <t>2,00*1,20</t>
  </si>
  <si>
    <t>764002851</t>
  </si>
  <si>
    <t>Demontáž oplechování parapetů do suti</t>
  </si>
  <si>
    <t>1600951261</t>
  </si>
  <si>
    <t>(2,10+0,90+2,10*5+0,60*3)</t>
  </si>
  <si>
    <t>(2,10*10+0,60*3+1,50)</t>
  </si>
  <si>
    <t>(1,50*8)</t>
  </si>
  <si>
    <t>764002871</t>
  </si>
  <si>
    <t>Demontáž lemování zdí do suti</t>
  </si>
  <si>
    <t>892207961</t>
  </si>
  <si>
    <t>atika střechy</t>
  </si>
  <si>
    <t>764101111</t>
  </si>
  <si>
    <t>1999242989</t>
  </si>
  <si>
    <t>-571899278</t>
  </si>
  <si>
    <t>764511602</t>
  </si>
  <si>
    <t>-2094192055</t>
  </si>
  <si>
    <t>podrobný popis viz PSV klempířské</t>
  </si>
  <si>
    <t>K.01</t>
  </si>
  <si>
    <t>25,00*2</t>
  </si>
  <si>
    <t>K.02</t>
  </si>
  <si>
    <t>K.03</t>
  </si>
  <si>
    <t>29,00</t>
  </si>
  <si>
    <t>K.06</t>
  </si>
  <si>
    <t>0,50</t>
  </si>
  <si>
    <t>764518622</t>
  </si>
  <si>
    <t>-1806278211</t>
  </si>
  <si>
    <t>K.04</t>
  </si>
  <si>
    <t>9,00*7</t>
  </si>
  <si>
    <t>K.05 - napojení žlabu dešťovým svodem</t>
  </si>
  <si>
    <t>1,00*2</t>
  </si>
  <si>
    <t>998764202</t>
  </si>
  <si>
    <t>-1785797587</t>
  </si>
  <si>
    <t>765</t>
  </si>
  <si>
    <t>Krytina skládaná</t>
  </si>
  <si>
    <t>765191001</t>
  </si>
  <si>
    <t>Montáž pojistné hydroizolační nebo parotěsné fólie kladené ve sklonu do 20° lepením na bednění nebo izolaci</t>
  </si>
  <si>
    <t>517845130</t>
  </si>
  <si>
    <t>28329036</t>
  </si>
  <si>
    <t>1715682256</t>
  </si>
  <si>
    <t>998765202</t>
  </si>
  <si>
    <t>198689174</t>
  </si>
  <si>
    <t>766</t>
  </si>
  <si>
    <t>Konstrukce truhlářské</t>
  </si>
  <si>
    <t>O.04/P</t>
  </si>
  <si>
    <t>podrobný popis viz PSV výplně</t>
  </si>
  <si>
    <t>766660001</t>
  </si>
  <si>
    <t>Montáž dveřních křídel otvíravých jednokřídlových š do 0,8 m do ocelové zárubně</t>
  </si>
  <si>
    <t>-1334688889</t>
  </si>
  <si>
    <t>"š.700 plné"</t>
  </si>
  <si>
    <t>"š.800 plné"</t>
  </si>
  <si>
    <t>"š.800, 2/3 prosklené"</t>
  </si>
  <si>
    <t>"T08, T16, T21"</t>
  </si>
  <si>
    <t>61162085</t>
  </si>
  <si>
    <t>-773042315</t>
  </si>
  <si>
    <t>61162086</t>
  </si>
  <si>
    <t>-1933068263</t>
  </si>
  <si>
    <t>61162092</t>
  </si>
  <si>
    <t>653754210</t>
  </si>
  <si>
    <t>766660011</t>
  </si>
  <si>
    <t>Montáž dveřních křídel otvíravých dvoukřídlových š do 1,45 m do ocelové zárubně</t>
  </si>
  <si>
    <t>-329560225</t>
  </si>
  <si>
    <t>"T22"</t>
  </si>
  <si>
    <t>61162121</t>
  </si>
  <si>
    <t>-585338863</t>
  </si>
  <si>
    <t>766660031</t>
  </si>
  <si>
    <t>Montáž dveřních křídel otvíravých dvoukřídlových požárních do ocelové zárubně</t>
  </si>
  <si>
    <t>-1670536177</t>
  </si>
  <si>
    <t>61161055.R01</t>
  </si>
  <si>
    <t>48640099</t>
  </si>
  <si>
    <t>766695212</t>
  </si>
  <si>
    <t>Montáž truhlářských prahů dveří jednokřídlových š do 10 cm</t>
  </si>
  <si>
    <t>-1635313272</t>
  </si>
  <si>
    <t>"T27, T28"</t>
  </si>
  <si>
    <t>14+5</t>
  </si>
  <si>
    <t>61187156</t>
  </si>
  <si>
    <t>-897264028</t>
  </si>
  <si>
    <t>"T27"</t>
  </si>
  <si>
    <t>61187136</t>
  </si>
  <si>
    <t>-257264273</t>
  </si>
  <si>
    <t>"T28"</t>
  </si>
  <si>
    <t>766812840</t>
  </si>
  <si>
    <t>Demontáž kuchyňských linek dřevěných nebo kovových dl přes 1,8 do 2,1 m</t>
  </si>
  <si>
    <t>264041718</t>
  </si>
  <si>
    <t>"1.12"</t>
  </si>
  <si>
    <t>998766202</t>
  </si>
  <si>
    <t>738442272</t>
  </si>
  <si>
    <t>767</t>
  </si>
  <si>
    <t>Konstrukce zámečnické</t>
  </si>
  <si>
    <t>767995115</t>
  </si>
  <si>
    <t>Montáž atypických zámečnických konstrukcí hm přes 50 do 100 kg</t>
  </si>
  <si>
    <t>1196277115</t>
  </si>
  <si>
    <t>-1900708414</t>
  </si>
  <si>
    <t>13010816</t>
  </si>
  <si>
    <t>1961683678</t>
  </si>
  <si>
    <t>Z01</t>
  </si>
  <si>
    <t>-959967219</t>
  </si>
  <si>
    <t>podrobný popis viz PSV zámečnické</t>
  </si>
  <si>
    <t>-652695797</t>
  </si>
  <si>
    <t>Z04</t>
  </si>
  <si>
    <t>-117299937</t>
  </si>
  <si>
    <t>ovládací tlačítko součástí dodávky a montáže, bez příslušné elektroinstalace (vodiče)</t>
  </si>
  <si>
    <t>Z05</t>
  </si>
  <si>
    <t>163755529</t>
  </si>
  <si>
    <t>Z06</t>
  </si>
  <si>
    <t>362490206</t>
  </si>
  <si>
    <t>Z07</t>
  </si>
  <si>
    <t>1779317887</t>
  </si>
  <si>
    <t>Z08</t>
  </si>
  <si>
    <t>-887568166</t>
  </si>
  <si>
    <t>Z11</t>
  </si>
  <si>
    <t>1157761719</t>
  </si>
  <si>
    <t>Z12</t>
  </si>
  <si>
    <t>1667500420</t>
  </si>
  <si>
    <t>Z16</t>
  </si>
  <si>
    <t>-226399285</t>
  </si>
  <si>
    <t>Z18</t>
  </si>
  <si>
    <t>D + M plastový parapet okna, délka 2 100 mm, šířka 250 mm, výška 20 mm (pohledová výška 40 mm), komůrková konstrukce, včetně bočních krytek, barva bílá, povrchová úprava fólie odolná proti poškrábání a vůči ultrafialovému záření</t>
  </si>
  <si>
    <t>-1985103983</t>
  </si>
  <si>
    <t>Z19</t>
  </si>
  <si>
    <t>D + M plastový parapet okna, délka 900 mm, šířka 250 mm, komůrková konstrukce, včetně bočních krytek, barva bílá, povrchová úprava fólie odolná proti poškrábání a vůči ultrafialovému záření</t>
  </si>
  <si>
    <t>1341812616</t>
  </si>
  <si>
    <t>Z20</t>
  </si>
  <si>
    <t>D + M plastový parapet okna, délka 600 mm, šířka 250 mm, výška 20 mm (pohledová výška 40 mm), komůrková konstrukce, včetně bočních krytek, barva bílá, povrchová úprava fólie odolná proti poškrábání a vůči ultrafialovému záření</t>
  </si>
  <si>
    <t>1734186087</t>
  </si>
  <si>
    <t>Z21</t>
  </si>
  <si>
    <t>D + M plastový parapet okna, délka 1 500 mm, šířka 250 mm, výška 20 mm (pohledová výška 40 mm), komůrková konstrukce, včetně bočních krytek, barva bílá, povrchová úprava fólie odolná proti poškrábání a vůči ultrafialovému záření</t>
  </si>
  <si>
    <t>-1925295246</t>
  </si>
  <si>
    <t>Z22</t>
  </si>
  <si>
    <t>1028553623</t>
  </si>
  <si>
    <t>Z28</t>
  </si>
  <si>
    <t>-1999616534</t>
  </si>
  <si>
    <t>Z29, Z30</t>
  </si>
  <si>
    <t>262257641</t>
  </si>
  <si>
    <t>Z33</t>
  </si>
  <si>
    <t>1359694573</t>
  </si>
  <si>
    <t>Z34</t>
  </si>
  <si>
    <t>1152674692</t>
  </si>
  <si>
    <t>Z36, Z37</t>
  </si>
  <si>
    <t>D + M přechodová lišta (dilatační) dlažba - PVC, ušlechtilá ocel - dle výpisu prvků</t>
  </si>
  <si>
    <t>1087454896</t>
  </si>
  <si>
    <t>Z38, Z39</t>
  </si>
  <si>
    <t>D + M přechodová lišta (dilatační) dlažba - dlažba, ušlechtilá ocel - dle výpisu prvků</t>
  </si>
  <si>
    <t>1982682213</t>
  </si>
  <si>
    <t>Z42</t>
  </si>
  <si>
    <t>647480306</t>
  </si>
  <si>
    <t>Z43</t>
  </si>
  <si>
    <t>-1781488265</t>
  </si>
  <si>
    <t>998767202</t>
  </si>
  <si>
    <t>135182557</t>
  </si>
  <si>
    <t>771</t>
  </si>
  <si>
    <t>Podlahy z dlaždic</t>
  </si>
  <si>
    <t>771121011</t>
  </si>
  <si>
    <t>Nátěr penetrační na podlahu</t>
  </si>
  <si>
    <t>-2681090</t>
  </si>
  <si>
    <t>771151016</t>
  </si>
  <si>
    <t>331908302</t>
  </si>
  <si>
    <t>"2.06" 9,12</t>
  </si>
  <si>
    <t>771161011</t>
  </si>
  <si>
    <t>Montáž profilu dilatační spáry bez izolace v rovině dlažby</t>
  </si>
  <si>
    <t>-1339956612</t>
  </si>
  <si>
    <t>59054162</t>
  </si>
  <si>
    <t>profil dilatační s bočními díly z PVC/CPE tl 6mm</t>
  </si>
  <si>
    <t>343537097</t>
  </si>
  <si>
    <t>43*1,1 'Přepočtené koeficientem množství</t>
  </si>
  <si>
    <t>771161022</t>
  </si>
  <si>
    <t>-722513993</t>
  </si>
  <si>
    <t>-1964258028</t>
  </si>
  <si>
    <t>771271812</t>
  </si>
  <si>
    <t>Demontáž obkladů stupnic z dlaždic keramických kladených do malty š přes 250 do 350 mm</t>
  </si>
  <si>
    <t>510666228</t>
  </si>
  <si>
    <t>771271832</t>
  </si>
  <si>
    <t>Demontáž obkladů podstupnic z dlaždic keramických kladených do malty v do 250 mm</t>
  </si>
  <si>
    <t>1189647401</t>
  </si>
  <si>
    <t>771274123</t>
  </si>
  <si>
    <t>Montáž obkladů stupnic z dlaždic protiskluzných keramických flexibilní lepidlo š přes 250 do 300 mm</t>
  </si>
  <si>
    <t>1915086034</t>
  </si>
  <si>
    <t>59761330</t>
  </si>
  <si>
    <t>-1006704675</t>
  </si>
  <si>
    <t>771274232</t>
  </si>
  <si>
    <t>Montáž obkladů podstupnic z dlaždic hladkých keramických flexibilní lepidlo v přes 150 do 200 mm</t>
  </si>
  <si>
    <t>-1898179577</t>
  </si>
  <si>
    <t>59761434</t>
  </si>
  <si>
    <t>-915657127</t>
  </si>
  <si>
    <t>771471810</t>
  </si>
  <si>
    <t>Demontáž soklíků z dlaždic keramických kladených do malty rovných</t>
  </si>
  <si>
    <t>-2082513586</t>
  </si>
  <si>
    <t>771473113</t>
  </si>
  <si>
    <t>Montáž soklů z dlaždic keramických lepených rovných v přes 90 do 120 mm</t>
  </si>
  <si>
    <t>1603476773</t>
  </si>
  <si>
    <t>59761416.1</t>
  </si>
  <si>
    <t>753602524</t>
  </si>
  <si>
    <t>771571810</t>
  </si>
  <si>
    <t>Demontáž podlah z dlaždic keramických kladených do malty</t>
  </si>
  <si>
    <t>1829839908</t>
  </si>
  <si>
    <t>771576113</t>
  </si>
  <si>
    <t>-53958883</t>
  </si>
  <si>
    <t>-1540320661</t>
  </si>
  <si>
    <t>-1966402565</t>
  </si>
  <si>
    <t>998771202</t>
  </si>
  <si>
    <t>-2026067272</t>
  </si>
  <si>
    <t>772</t>
  </si>
  <si>
    <t>Podlahy z kamene</t>
  </si>
  <si>
    <t>772.R01</t>
  </si>
  <si>
    <t>D + M schodišťového stupně z žulového kamene, kámen masív 150/330 mm</t>
  </si>
  <si>
    <t>1026330851</t>
  </si>
  <si>
    <t>vstup do m.č. 1.01</t>
  </si>
  <si>
    <t>2,46+1,955*2+1,80+1,93*2</t>
  </si>
  <si>
    <t>998772201</t>
  </si>
  <si>
    <t>-143785858</t>
  </si>
  <si>
    <t>776</t>
  </si>
  <si>
    <t>Podlahy povlakové</t>
  </si>
  <si>
    <t>776111116</t>
  </si>
  <si>
    <t>1448660639</t>
  </si>
  <si>
    <t>776121112</t>
  </si>
  <si>
    <t>Vodou ředitelná penetrace savého podkladu povlakových podlah</t>
  </si>
  <si>
    <t>-441651005</t>
  </si>
  <si>
    <t>776201811</t>
  </si>
  <si>
    <t>Demontáž lepených povlakových podlah bez podložky ručně</t>
  </si>
  <si>
    <t>-1045671614</t>
  </si>
  <si>
    <t>"D01, D02, D03,D06"</t>
  </si>
  <si>
    <t>26,73+16,96+15,16+13,16</t>
  </si>
  <si>
    <t>776221111.1</t>
  </si>
  <si>
    <t>Lepení pásů z PVC standardním lepidlem vč. svařování pásů</t>
  </si>
  <si>
    <t>1145010326</t>
  </si>
  <si>
    <t>28410242.1</t>
  </si>
  <si>
    <t>3614075</t>
  </si>
  <si>
    <t>776410811</t>
  </si>
  <si>
    <t>Odstranění soklíků a lišt pryžových nebo plastových</t>
  </si>
  <si>
    <t>255379861</t>
  </si>
  <si>
    <t>-12161982</t>
  </si>
  <si>
    <t>-244111746</t>
  </si>
  <si>
    <t>998776202</t>
  </si>
  <si>
    <t>498656967</t>
  </si>
  <si>
    <t>777</t>
  </si>
  <si>
    <t>Podlahy lité</t>
  </si>
  <si>
    <t>777511105</t>
  </si>
  <si>
    <t>-711644716</t>
  </si>
  <si>
    <t>"Epoxidová stěrka 3-4mm"</t>
  </si>
  <si>
    <t>"barva šedá, přesný odstín dle nabídky dodavatele"</t>
  </si>
  <si>
    <t>"pevnost v tlaku min 35Mpa"</t>
  </si>
  <si>
    <t>"pevnost v tahu min 25Mpa"</t>
  </si>
  <si>
    <t>"přilnavost min 2,5 Mpa"</t>
  </si>
  <si>
    <t>777911111</t>
  </si>
  <si>
    <t>732654719</t>
  </si>
  <si>
    <t>998777202</t>
  </si>
  <si>
    <t>481706278</t>
  </si>
  <si>
    <t>781</t>
  </si>
  <si>
    <t>Dokončovací práce - obklady</t>
  </si>
  <si>
    <t>781131112</t>
  </si>
  <si>
    <t>Izolace pod obklad nátěrem nebo stěrkou ve dvou vrstvách</t>
  </si>
  <si>
    <t>-1135045588</t>
  </si>
  <si>
    <t>"1.08" (1+1+1)*3</t>
  </si>
  <si>
    <t>"1.14A" (1+3+1+4)*3</t>
  </si>
  <si>
    <t>781471810</t>
  </si>
  <si>
    <t>Demontáž obkladů z obkladaček keramických kladených do malty</t>
  </si>
  <si>
    <t>-789060629</t>
  </si>
  <si>
    <t>sokl</t>
  </si>
  <si>
    <t>0,30*(35,975+13,25+22,875)</t>
  </si>
  <si>
    <t>781474154</t>
  </si>
  <si>
    <t>-644260755</t>
  </si>
  <si>
    <t>"1.06" (0,8+1,2+0,8)*2,05</t>
  </si>
  <si>
    <t>"1.08" (0,9*1,2)+((1+1+0,1+1+1+0,3)*2,85)</t>
  </si>
  <si>
    <t>"2.03" (2,1+0,6+0,6)*0,9</t>
  </si>
  <si>
    <t>59761001</t>
  </si>
  <si>
    <t>473208316</t>
  </si>
  <si>
    <t>55919634</t>
  </si>
  <si>
    <t>998781202</t>
  </si>
  <si>
    <t>-20165846</t>
  </si>
  <si>
    <t>783</t>
  </si>
  <si>
    <t>Dokončovací práce - nátěry</t>
  </si>
  <si>
    <t>50*4,20*(0,024+0,12)*2</t>
  </si>
  <si>
    <t>2*12,00*(0,10+0,22)*2</t>
  </si>
  <si>
    <t>2*(25,00+29,00)*(0,12+0,18)*2</t>
  </si>
  <si>
    <t>(25,00+29,00+6,40)*(0,08+0,18)*2</t>
  </si>
  <si>
    <t>(10*1,70+20*1,00+15*1,60+23*0,80+2*1,30)*0,12*4</t>
  </si>
  <si>
    <t>2*2,00*(0,14+0,10)*2</t>
  </si>
  <si>
    <t>7*1,75*(0,08+0,20)*2</t>
  </si>
  <si>
    <t>1*3,28*(0,10+0,12)*2</t>
  </si>
  <si>
    <t>9.1 krajový příhradový nosník 60/120 mm + 120/120 mm</t>
  </si>
  <si>
    <t>16,00*(0,06+0,12)*2+30,00*(0,12*4)</t>
  </si>
  <si>
    <t>731266734</t>
  </si>
  <si>
    <t>783306801</t>
  </si>
  <si>
    <t>Odstranění nátěru ze zámečnických konstrukcí obroušením</t>
  </si>
  <si>
    <t>-1985681590</t>
  </si>
  <si>
    <t>"Sanace ocelových zárubní"</t>
  </si>
  <si>
    <t>783314101</t>
  </si>
  <si>
    <t>-325872315</t>
  </si>
  <si>
    <t>378</t>
  </si>
  <si>
    <t>1769234708</t>
  </si>
  <si>
    <t>784</t>
  </si>
  <si>
    <t>Dokončovací práce - malby a tapety</t>
  </si>
  <si>
    <t xml:space="preserve">"viz. výpočet oškrábaní maleb" </t>
  </si>
  <si>
    <t>784121001</t>
  </si>
  <si>
    <t>Oškrabání malby v mísnostech v do 3,80 m</t>
  </si>
  <si>
    <t>-1332040887</t>
  </si>
  <si>
    <t>784121011</t>
  </si>
  <si>
    <t>Rozmývání podkladu po oškrabání malby v místnostech v do 3,80 m</t>
  </si>
  <si>
    <t>-1479953789</t>
  </si>
  <si>
    <t>784181101</t>
  </si>
  <si>
    <t>Základní akrylátová jednonásobná bezbarvá penetrace podkladu v místnostech v do 3,80 m</t>
  </si>
  <si>
    <t>579128073</t>
  </si>
  <si>
    <t>784211101</t>
  </si>
  <si>
    <t>Dvojnásobné bílé malby ze směsí za mokra výborně oděruvzdorných v místnostech v do 3,80 m</t>
  </si>
  <si>
    <t>-133445049</t>
  </si>
  <si>
    <t>Soupis:</t>
  </si>
  <si>
    <t>01-01 - ELE</t>
  </si>
  <si>
    <t>D1 - Dodávky</t>
  </si>
  <si>
    <t>D2 - Elektromontáže</t>
  </si>
  <si>
    <t xml:space="preserve">    D3 - Kabely, ukončení kabelů</t>
  </si>
  <si>
    <t xml:space="preserve">    7002-694 - S FUNKČ.SCHOPNOSTÍ PŘI POŽÁRU</t>
  </si>
  <si>
    <t xml:space="preserve">    D4 - Přístroje</t>
  </si>
  <si>
    <t xml:space="preserve">    D5 - Demontáže</t>
  </si>
  <si>
    <t xml:space="preserve">    D6 - Uložný materiál</t>
  </si>
  <si>
    <t xml:space="preserve">    D7 - HROMOSVOD A UZEMNĚNÍ</t>
  </si>
  <si>
    <t xml:space="preserve">    1244-246 - ZEMNIČE</t>
  </si>
  <si>
    <t>D1</t>
  </si>
  <si>
    <t>Dodávky</t>
  </si>
  <si>
    <t>1182-16627</t>
  </si>
  <si>
    <t>Rozvaděč RH - celkem</t>
  </si>
  <si>
    <t>ks</t>
  </si>
  <si>
    <t>-1720433454</t>
  </si>
  <si>
    <t>1182-16627.1</t>
  </si>
  <si>
    <t>Rozvaděč R1 - celkem</t>
  </si>
  <si>
    <t>779339025</t>
  </si>
  <si>
    <t>1182-16627.2</t>
  </si>
  <si>
    <t>Rozvaděč RG - celkem</t>
  </si>
  <si>
    <t>1994165153</t>
  </si>
  <si>
    <t>1182-16627.3</t>
  </si>
  <si>
    <t>Rozvaděč R2 - celkem</t>
  </si>
  <si>
    <t>841048515</t>
  </si>
  <si>
    <t>1182-16627.4</t>
  </si>
  <si>
    <t>Rozvaděč RB - celkem</t>
  </si>
  <si>
    <t>-211769239</t>
  </si>
  <si>
    <t>D2</t>
  </si>
  <si>
    <t>Elektromontáže</t>
  </si>
  <si>
    <t>D3</t>
  </si>
  <si>
    <t>Kabely, ukončení kabelů</t>
  </si>
  <si>
    <t>1123-593</t>
  </si>
  <si>
    <t>KF 09110 TRUBKA KOPOFLEX 110</t>
  </si>
  <si>
    <t>-505962643</t>
  </si>
  <si>
    <t>7002-37</t>
  </si>
  <si>
    <t>CYKY-J 5x16 , pevně</t>
  </si>
  <si>
    <t>2084550658</t>
  </si>
  <si>
    <t>7002-36</t>
  </si>
  <si>
    <t>CYKY-J 5x10 , pevně</t>
  </si>
  <si>
    <t>2038945413</t>
  </si>
  <si>
    <t>7002-35</t>
  </si>
  <si>
    <t>CYKY-J 5x6 , pevně</t>
  </si>
  <si>
    <t>1857748844</t>
  </si>
  <si>
    <t>7002-34</t>
  </si>
  <si>
    <t>CYKY-J 5x4 , pevně</t>
  </si>
  <si>
    <t>1072166296</t>
  </si>
  <si>
    <t>7002-33</t>
  </si>
  <si>
    <t>CYKY-J 5x2.5 , pevně</t>
  </si>
  <si>
    <t>737939489</t>
  </si>
  <si>
    <t>7002-32</t>
  </si>
  <si>
    <t>CYKY-J 5x1.5 , pevně</t>
  </si>
  <si>
    <t>-4642811</t>
  </si>
  <si>
    <t>7002-23</t>
  </si>
  <si>
    <t>CYKY-J 3x2.5 , pevně</t>
  </si>
  <si>
    <t>511436603</t>
  </si>
  <si>
    <t>7002-22</t>
  </si>
  <si>
    <t>CYKY-J 3x1.5 , pevně</t>
  </si>
  <si>
    <t>-2068853874</t>
  </si>
  <si>
    <t>7002-497</t>
  </si>
  <si>
    <t>CYKY-O 3x1.5 , pevně</t>
  </si>
  <si>
    <t>-1443622334</t>
  </si>
  <si>
    <t>7002-694</t>
  </si>
  <si>
    <t>S FUNKČ.SCHOPNOSTÍ PŘI POŽÁRU</t>
  </si>
  <si>
    <t>7002-699</t>
  </si>
  <si>
    <t>1-CHKE-V-O 3x1.5 , pevně</t>
  </si>
  <si>
    <t>842140455</t>
  </si>
  <si>
    <t>7002-7</t>
  </si>
  <si>
    <t>VODIČ JEDNOŽILOVÝ  (CY) - CY 6   mm2 , pevně</t>
  </si>
  <si>
    <t>-1269321207</t>
  </si>
  <si>
    <t>7002-415</t>
  </si>
  <si>
    <t>VODIČ JEDNOŽILOVÝ  (CY) - CY 10 , pevně</t>
  </si>
  <si>
    <t>1789693532</t>
  </si>
  <si>
    <t>7002-422</t>
  </si>
  <si>
    <t>VODIČ JEDNOŽILOVÝ, IZOLACE PVC - CYA  , pevně</t>
  </si>
  <si>
    <t>-1501988796</t>
  </si>
  <si>
    <t>9998-3118</t>
  </si>
  <si>
    <t>Ukončení vodičů izolovaných s označením a zapojením v rozváděči nebo na přístroji - 6 mm2</t>
  </si>
  <si>
    <t>2136908659</t>
  </si>
  <si>
    <t>9998-3117</t>
  </si>
  <si>
    <t>Ukončení vodičů izolovaných s označením a zapojením v rozváděči nebo na přístroji - 4 mm2</t>
  </si>
  <si>
    <t>1922029128</t>
  </si>
  <si>
    <t>9998-3120</t>
  </si>
  <si>
    <t>Ukončení vodičů izolovaných s označením a zapojením v rozváděči nebo na přístroji - 16 mm2</t>
  </si>
  <si>
    <t>-1374781635</t>
  </si>
  <si>
    <t>9998-3116</t>
  </si>
  <si>
    <t>Ukončení vodičů izolovaných s označením a zapojením v rozváděči nebo na přístroji - do 2,5 mm2</t>
  </si>
  <si>
    <t>-1801466044</t>
  </si>
  <si>
    <t>D4</t>
  </si>
  <si>
    <t>Přístroje</t>
  </si>
  <si>
    <t>1002-24</t>
  </si>
  <si>
    <t>3901A-B10 B Rámeček pro elektroinstalační přístroje, jednonásobný; d. Tango; b. bílá</t>
  </si>
  <si>
    <t>2047682346</t>
  </si>
  <si>
    <t>1002-4593</t>
  </si>
  <si>
    <t>5519A-A02357 B Zásuvka jednonásobná (bezšroubové svorky), s ochranným kolíkem, s clonkami; řazení 2P+PE; d. Tango; b. bílá</t>
  </si>
  <si>
    <t>780282187</t>
  </si>
  <si>
    <t>1002-5245</t>
  </si>
  <si>
    <t>5599A-A02357 B Zásuvka jednonásobná (bezšroubové svorky), s ochranným kolíkem, s clonkami, s ochranou před přepětím, optická signalizace poruchy; řazení 2P+PE; d. Tango; b. bílá</t>
  </si>
  <si>
    <t>692453672</t>
  </si>
  <si>
    <t>1002-5759</t>
  </si>
  <si>
    <t>Zásuvka 45x45, s ochranným kolíkem; řazení 2P+PE; d. Profil 45; b. karmínová (RAL 3003)</t>
  </si>
  <si>
    <t>-499346155</t>
  </si>
  <si>
    <t>1002-5787</t>
  </si>
  <si>
    <t>Zásuvka 45x45 s ochranným kolíkem, s clonkami, s ochranou před přepětím, s optickou signalizací poruchy; řazení 2P+PE; d. Profil 45; b. karmínová (RAL 3003)</t>
  </si>
  <si>
    <t>1674678821</t>
  </si>
  <si>
    <t>1002-5758</t>
  </si>
  <si>
    <t>Zásuvka 45x45, s ochranným kolíkem; řazení 2P+PE; d. Profil 45; b. bílá (RAL 9010)</t>
  </si>
  <si>
    <t>-33025544</t>
  </si>
  <si>
    <t>1002-8325</t>
  </si>
  <si>
    <t>Zásuvka jednonásobná IP 54, s ochranným kolíkem, s víčkem; řazení 2P+PE; b. bílá</t>
  </si>
  <si>
    <t>-1402842086</t>
  </si>
  <si>
    <t>202-524</t>
  </si>
  <si>
    <t>NOUZOVÉ POŽÁRNÍ TLAČÍTKO - DLE VÝKRESOVÉ DOKUMENTACE - prosklenné, nástěnné, 1/1</t>
  </si>
  <si>
    <t>-406834245</t>
  </si>
  <si>
    <t>1002-137</t>
  </si>
  <si>
    <t>416RS6 Zásuvka průmyslová, nástěnná montáž; řazení 3P+N+PE; b. IP 44, 16 A</t>
  </si>
  <si>
    <t>1263657745</t>
  </si>
  <si>
    <t>1002-138</t>
  </si>
  <si>
    <t>432RS6 Zásuvka průmyslová, nástěnná montáž; řazení 3P+N+PE; b. IP 44, 32 A</t>
  </si>
  <si>
    <t>-2022063793</t>
  </si>
  <si>
    <t>1002-7846</t>
  </si>
  <si>
    <t>Zásuvka průmyslová, šikmá, s minimální velikostí příruby, vestavná montáž; řazení 2P+PE; b. IP 44, 16 A</t>
  </si>
  <si>
    <t>755317521</t>
  </si>
  <si>
    <t>D5</t>
  </si>
  <si>
    <t>Demontáže</t>
  </si>
  <si>
    <t>1002-4593.1</t>
  </si>
  <si>
    <t>Zásuvka jednonásobná (bezšroubové svorky), s ochranným kolíkem, s clonkami; řazení 2P+PE; b. bílá</t>
  </si>
  <si>
    <t>1492234540</t>
  </si>
  <si>
    <t>7002-22.1</t>
  </si>
  <si>
    <t>KABEL SILOVÝ,IZOLACE PVC - stávající kabely</t>
  </si>
  <si>
    <t>1218865613</t>
  </si>
  <si>
    <t>1002-138.1</t>
  </si>
  <si>
    <t>Zásuvka průmyslová, nástěnná montáž</t>
  </si>
  <si>
    <t>-237964098</t>
  </si>
  <si>
    <t>D6</t>
  </si>
  <si>
    <t>Uložný materiál</t>
  </si>
  <si>
    <t>1123-7377</t>
  </si>
  <si>
    <t>KU 68-1901 KRABICE UNIVERZÁLNÍ</t>
  </si>
  <si>
    <t>-62211389</t>
  </si>
  <si>
    <t>1123-7372</t>
  </si>
  <si>
    <t>Plastové odbočné nástěnné, 5pol. svorkovnice, do 4mm2, min. IP44</t>
  </si>
  <si>
    <t>-1049504336</t>
  </si>
  <si>
    <t>1123-6804</t>
  </si>
  <si>
    <t>8102 KRABICE PANCÉŘOVÁ</t>
  </si>
  <si>
    <t>654897728</t>
  </si>
  <si>
    <t>1123-6803</t>
  </si>
  <si>
    <t>8101 KRABICE PANCÉŘOVÁ</t>
  </si>
  <si>
    <t>-1316088669</t>
  </si>
  <si>
    <t>1123-6302</t>
  </si>
  <si>
    <t>1225HFPP SUPER MONOFLEX 750 N PP</t>
  </si>
  <si>
    <t>-115716602</t>
  </si>
  <si>
    <t>1123-6670</t>
  </si>
  <si>
    <t>1232HFPP SUPER MONOFLEX 750 N PP</t>
  </si>
  <si>
    <t>-610823126</t>
  </si>
  <si>
    <t>1123-8834</t>
  </si>
  <si>
    <t>1240HFPP SUPER MONOFLEX 750 N PP</t>
  </si>
  <si>
    <t>-1201858842</t>
  </si>
  <si>
    <t>1123-4545</t>
  </si>
  <si>
    <t>8025 TRUBKA TUHÁ PVC 1250N délka 2 m barva černá</t>
  </si>
  <si>
    <t>956727727</t>
  </si>
  <si>
    <t>1123-4547</t>
  </si>
  <si>
    <t>8040 TRUBKA TUHÁ PVC 1250N délka 2 m barva černá</t>
  </si>
  <si>
    <t>-1620186204</t>
  </si>
  <si>
    <t>1123-7537</t>
  </si>
  <si>
    <t>KABELOVÝ ŽLAB PLECHOVÝ S VÍKEM, DÉLKA 2 M VČETNĚ SPOJEK, A SPOJOVACÍHO MAT. - 60X200X1.00 ŽLAB S INT.SPOJ.</t>
  </si>
  <si>
    <t>400453798</t>
  </si>
  <si>
    <t>1123-7420</t>
  </si>
  <si>
    <t>KABELOVÝ ŽLAB PLECHOVÝ S VÍKEM, DÉLKA 2 M VČETNĚ SPOJEK, A SPOJOVACÍHO MAT. - 60X50X1.00 ŽLAB S INT.SPOJ.</t>
  </si>
  <si>
    <t>1685554521</t>
  </si>
  <si>
    <t>1005-1</t>
  </si>
  <si>
    <t>Výložník pro žlaby pozink - Výroba a montáž</t>
  </si>
  <si>
    <t>-761676981</t>
  </si>
  <si>
    <t>9999-192</t>
  </si>
  <si>
    <t>Ocelová konstrukce - pomocná konstrukce</t>
  </si>
  <si>
    <t>-2014233950</t>
  </si>
  <si>
    <t>1197-8</t>
  </si>
  <si>
    <t>PROTIPOŽÁRNÍ UCPÁVKY - utěsnění prostupů (dle skutečného stavu na stavbě)</t>
  </si>
  <si>
    <t>1855408216</t>
  </si>
  <si>
    <t>1197-12</t>
  </si>
  <si>
    <t>POŽÁRNĚ ODOLNÉ TRASY - NKZ 62/50 žlab s víkem požárně odolný</t>
  </si>
  <si>
    <t>739081755</t>
  </si>
  <si>
    <t>1123-1203</t>
  </si>
  <si>
    <t>Vrtání otvorů - otvory v betonu 100x100mm</t>
  </si>
  <si>
    <t>1366467819</t>
  </si>
  <si>
    <t>1123-1203.1</t>
  </si>
  <si>
    <t>Vrtání otvorů - otvory v betonu 50x50mm</t>
  </si>
  <si>
    <t>-397723505</t>
  </si>
  <si>
    <t>1123-1203.2</t>
  </si>
  <si>
    <t>Vrtání otvorů - otvory v betonu 20x20mm</t>
  </si>
  <si>
    <t>-1827624918</t>
  </si>
  <si>
    <t>1123-8753</t>
  </si>
  <si>
    <t>LHD 40X40 LIŠTA HRANATÁ</t>
  </si>
  <si>
    <t>-1639586512</t>
  </si>
  <si>
    <t>1123-4720</t>
  </si>
  <si>
    <t>PK 210X70 D KANÁL PARAPETNÍ DUTÝ</t>
  </si>
  <si>
    <t>-1486554317</t>
  </si>
  <si>
    <t>1123-4720.1</t>
  </si>
  <si>
    <t>Přepážka kovová do parapetního žlabu</t>
  </si>
  <si>
    <t>-1194911579</t>
  </si>
  <si>
    <t>9999-192.1</t>
  </si>
  <si>
    <t>Práce ve výškách - např. plošina</t>
  </si>
  <si>
    <t>hod</t>
  </si>
  <si>
    <t>1518922118</t>
  </si>
  <si>
    <t>9999-192.2</t>
  </si>
  <si>
    <t>Pomocná konstrukce - pomocné materiál na uchycení rozvaděčů, žlaby</t>
  </si>
  <si>
    <t>-363534077</t>
  </si>
  <si>
    <t>9999-192.3</t>
  </si>
  <si>
    <t>Podlahová krabice - komplet, kopobox 80</t>
  </si>
  <si>
    <t>-491992611</t>
  </si>
  <si>
    <t>D7</t>
  </si>
  <si>
    <t>HROMOSVOD A UZEMNĚNÍ</t>
  </si>
  <si>
    <t>1244-371</t>
  </si>
  <si>
    <t>Drát 8 drát ø 8mm AlMgSi T/2 (0,40kg/m)</t>
  </si>
  <si>
    <t>-1714771855</t>
  </si>
  <si>
    <t>1244-3</t>
  </si>
  <si>
    <t>Drát 10 drát ø 10mm(0,62kg/m), pevně</t>
  </si>
  <si>
    <t>1355331253</t>
  </si>
  <si>
    <t>1244-481</t>
  </si>
  <si>
    <t>držák oddáleného hromosvodu</t>
  </si>
  <si>
    <t>1092552868</t>
  </si>
  <si>
    <t>1244-450</t>
  </si>
  <si>
    <t>JÍMACÍ TYČ A OCHRANNÁ TRUBKA - JR 1 s rovným koncem, L 1000mm</t>
  </si>
  <si>
    <t>-1947039782</t>
  </si>
  <si>
    <t>1244-246</t>
  </si>
  <si>
    <t>ZEMNIČE</t>
  </si>
  <si>
    <t>1244-97</t>
  </si>
  <si>
    <t>ZT 2,0 zemnící tyč ø 25mm, L 2000mm</t>
  </si>
  <si>
    <t>-591537534</t>
  </si>
  <si>
    <t>1244-455</t>
  </si>
  <si>
    <t>PODPĚRA VEDENÍ - PV1 na stěnu, delku upravit dle izolace na objektu</t>
  </si>
  <si>
    <t>1612020997</t>
  </si>
  <si>
    <t>1244-180</t>
  </si>
  <si>
    <t>PODPĚRA VEDENÍ - PV23</t>
  </si>
  <si>
    <t>1116514086</t>
  </si>
  <si>
    <t>1244-180.1</t>
  </si>
  <si>
    <t>PODPĚRA VEDENÍ - PV15</t>
  </si>
  <si>
    <t>-105443785</t>
  </si>
  <si>
    <t>1244-70</t>
  </si>
  <si>
    <t>SVORKA nerez HROMOSVODNÍ,UZEMŇOVACÍ - SU univerzální</t>
  </si>
  <si>
    <t>1064755291</t>
  </si>
  <si>
    <t>1244-211</t>
  </si>
  <si>
    <t>SVORKA nerez HROMOSVODNÍ,UZEMŇOVACÍ - SK+1 křížová+mezideska</t>
  </si>
  <si>
    <t>206157948</t>
  </si>
  <si>
    <t>1244-239</t>
  </si>
  <si>
    <t>SVORKA nerez HROMOSVODNÍ,UZEMŇOVACÍ - SR 3a svorka páska-drát</t>
  </si>
  <si>
    <t>405743095</t>
  </si>
  <si>
    <t>1244-71</t>
  </si>
  <si>
    <t>SVORKA nerez HROMOSVODNÍ,UZEMŇOVACÍ - SS spojovací</t>
  </si>
  <si>
    <t>-1223352848</t>
  </si>
  <si>
    <t>1244-73</t>
  </si>
  <si>
    <t>SVORKA nerez HROMOSVODNÍ,UZEMŇOVACÍ - SP připojovací</t>
  </si>
  <si>
    <t>-1319045118</t>
  </si>
  <si>
    <t>1244-214</t>
  </si>
  <si>
    <t>SVORKA nerez HROMOSVODNÍ,UZEMŇOVACÍ - SJ 1 k jímací tyči</t>
  </si>
  <si>
    <t>1804796274</t>
  </si>
  <si>
    <t>1244-421</t>
  </si>
  <si>
    <t>SVORKA HROMOSVODNÍ,UZEMŇOVACÍ - ST</t>
  </si>
  <si>
    <t>1384488393</t>
  </si>
  <si>
    <t>1244-413</t>
  </si>
  <si>
    <t>SVORKA HROMOSVODNÍ,UZEMŇOVACÍ - SZ</t>
  </si>
  <si>
    <t>-1173442841</t>
  </si>
  <si>
    <t>1244-403</t>
  </si>
  <si>
    <t>OCHRANNÝ ÚHELNÍK A DRŽÁKY - OU 1,7 ochranný úhelník, L 1700mm</t>
  </si>
  <si>
    <t>-619634949</t>
  </si>
  <si>
    <t>1244-404</t>
  </si>
  <si>
    <t>OCHRANNÝ ÚHELNÍK A DRŽÁKY - DUDa-18 držák ochranného úhelníku, L 180mm</t>
  </si>
  <si>
    <t>-1730987486</t>
  </si>
  <si>
    <t>1244-550</t>
  </si>
  <si>
    <t>EKVIPOTENCIÁLNÍ SVORKOVNICE</t>
  </si>
  <si>
    <t>-492227829</t>
  </si>
  <si>
    <t>9999-1291</t>
  </si>
  <si>
    <t>HODINOVE ZUCTOVACI SAZBY - pomocné stavební práce stavba lešení</t>
  </si>
  <si>
    <t>1882865164</t>
  </si>
  <si>
    <t>1244-112</t>
  </si>
  <si>
    <t>Nátěr zemnícího pásku + drátu, asfaltový nátěr</t>
  </si>
  <si>
    <t>-283288462</t>
  </si>
  <si>
    <t>9999-1351</t>
  </si>
  <si>
    <t>VYSEKANI KAPES VE ZDIVU, CIHELNEM PRO KRABICE - 100x100x50 mm</t>
  </si>
  <si>
    <t>1864046277</t>
  </si>
  <si>
    <t>9999-1388</t>
  </si>
  <si>
    <t>VYSEKANI RYH VE ZDIVU CIHELNEM - HLOUBKA 30mm - Sire 30 mm</t>
  </si>
  <si>
    <t>-540100800</t>
  </si>
  <si>
    <t>9999-1492</t>
  </si>
  <si>
    <t>HRUBA VYPLN RYH MALTOU - Jakekoliv sire</t>
  </si>
  <si>
    <t>-1178754767</t>
  </si>
  <si>
    <t>1066-934</t>
  </si>
  <si>
    <t>OCHRANNÉ PŘÍPOJNICE - hlavní do 25</t>
  </si>
  <si>
    <t>-253007410</t>
  </si>
  <si>
    <t>1042-12</t>
  </si>
  <si>
    <t>ZEMNÍCÍ SVORKA - ZSA16 zemnicí svorka na potrubí</t>
  </si>
  <si>
    <t>1485956688</t>
  </si>
  <si>
    <t>7004-22157</t>
  </si>
  <si>
    <t>SVORKA UZEMŇOVACÍ - Cu pás.ZS16 20x500x0,5mm</t>
  </si>
  <si>
    <t>1025061808</t>
  </si>
  <si>
    <t>9999-1284</t>
  </si>
  <si>
    <t>HODINOVE ZUCTOVACI SAZBY - Uprava stavajicích kabelů AYKY-J 3x185+95</t>
  </si>
  <si>
    <t>-1937045376</t>
  </si>
  <si>
    <t>9999-1290</t>
  </si>
  <si>
    <t>pomocné stavební práce, pomocné lešení</t>
  </si>
  <si>
    <t>1339231184</t>
  </si>
  <si>
    <t>9999-1290.1</t>
  </si>
  <si>
    <t>pomocné stavební práce, zednické práce</t>
  </si>
  <si>
    <t>827420976</t>
  </si>
  <si>
    <t>9999-1295</t>
  </si>
  <si>
    <t>KOORDINACE POSTUPU PRACI - S ostatnimi profesemi</t>
  </si>
  <si>
    <t>9999-1298</t>
  </si>
  <si>
    <t>Revizni technik "Provedení výchozí revize elektroinstalace a uzemnění s vypracováním revizní zprávy"</t>
  </si>
  <si>
    <t>-1540795223</t>
  </si>
  <si>
    <t>9999-880</t>
  </si>
  <si>
    <t>VYTÝČENÍ TRATI - Venkovní vedení nn v přehledném terénu</t>
  </si>
  <si>
    <t>km</t>
  </si>
  <si>
    <t>9999-999</t>
  </si>
  <si>
    <t>HLOUBENÍ KABELOVÉ RÝHY - Zemina třídy 3, šíře 350mm,hloubka 800mm</t>
  </si>
  <si>
    <t>9999-1073</t>
  </si>
  <si>
    <t>9999-1118</t>
  </si>
  <si>
    <t>FOLIE VÝSTRAŽNÁ Z PVC - Do šířky 20cm</t>
  </si>
  <si>
    <t>9999-1180</t>
  </si>
  <si>
    <t>ZÁHOZ KABELOVÉ RÝHY - Zemina třídy 3, šíře 350mm,hloubka 800mm</t>
  </si>
  <si>
    <t>9999-1138</t>
  </si>
  <si>
    <t>9999-1195</t>
  </si>
  <si>
    <t>01-02 - VZT</t>
  </si>
  <si>
    <t xml:space="preserve">    751 - Vzduchotechnika</t>
  </si>
  <si>
    <t>751</t>
  </si>
  <si>
    <t>Vzduchotechnika</t>
  </si>
  <si>
    <t>751133012</t>
  </si>
  <si>
    <t>Montáž ventilátoru diagonálního nízkotlakého potrubního nevýbušného D přes 100 do 200 mm</t>
  </si>
  <si>
    <t>2045301717</t>
  </si>
  <si>
    <t>Extra tichý diagonální ventilátor do potrubí - připojení pro průměr 150 a 160 mm, pro horizontální i vertikální instalaci.</t>
  </si>
  <si>
    <t>Skříň ventilátoru je vyrobena z polypropylenu, rotor z kvalitního ABS plastu.</t>
  </si>
  <si>
    <t>Spony připojovacích hrdel umožňují jednoduché odepnutí středové části s motorem bez nutnosti demontže ventilátoru z potrubí.</t>
  </si>
  <si>
    <t>Vzduchový výkon 530/410 m3/hod</t>
  </si>
  <si>
    <t>B.1</t>
  </si>
  <si>
    <t>Extra tichý diagonální ventilátor do potrubí - připojení pro průměr 110 a 125 mm, pro horizontální i vertikální instalaci.</t>
  </si>
  <si>
    <t>Vzduchový výkon 240 m3/hod</t>
  </si>
  <si>
    <t>B.2</t>
  </si>
  <si>
    <t>42914527</t>
  </si>
  <si>
    <t>ventiláor axiální diagonální potrubní tříotáčkový plastový IP44 připojení D 160mm</t>
  </si>
  <si>
    <t>955214072</t>
  </si>
  <si>
    <t>42914525</t>
  </si>
  <si>
    <t>ventiláor axiální diagonální potrubní dvouotáčkový plastový IP44 připojení D 125mm</t>
  </si>
  <si>
    <t>-791491454</t>
  </si>
  <si>
    <t>751322012</t>
  </si>
  <si>
    <t>-90340449</t>
  </si>
  <si>
    <t>Kovový talířový ventil pro odvodz vzduchu z oceli, DN 125 mm, bílý vypalovací lak RAL 9010, středový disk s regulací množství vzduchu</t>
  </si>
  <si>
    <t>A.1</t>
  </si>
  <si>
    <t>42972207</t>
  </si>
  <si>
    <t>talířový ventil pro přívod vzduchu kovový D 125mm</t>
  </si>
  <si>
    <t>772523995</t>
  </si>
  <si>
    <t>751398041</t>
  </si>
  <si>
    <t>Montáž protidešťové žaluzie nebo žaluziové klapky na kruhové potrubí D do 300 mm</t>
  </si>
  <si>
    <t>-455287396</t>
  </si>
  <si>
    <t>Vnější mřížka protidešťová 250x250 / 160 mm</t>
  </si>
  <si>
    <t>C.1</t>
  </si>
  <si>
    <t>513911921</t>
  </si>
  <si>
    <t>751510042</t>
  </si>
  <si>
    <t>Vzduchotechnické potrubí z pozinkovaného plechu kruhové spirálně vinutá trouba bez příruby D přes 100 do 200 mm</t>
  </si>
  <si>
    <t>840406931</t>
  </si>
  <si>
    <t>Trouba hladká 125/1bm - pozink</t>
  </si>
  <si>
    <t>prostup přes stěny</t>
  </si>
  <si>
    <t>D.3</t>
  </si>
  <si>
    <t>Trouba hladká 125/3bm - pozink</t>
  </si>
  <si>
    <t>prostup přes půdní prostor</t>
  </si>
  <si>
    <t>D.5</t>
  </si>
  <si>
    <t>3,00*2</t>
  </si>
  <si>
    <t>Trouba hladká 160/1bm - pozink</t>
  </si>
  <si>
    <t>D.4</t>
  </si>
  <si>
    <t>1,00*3</t>
  </si>
  <si>
    <t>751514012</t>
  </si>
  <si>
    <t>Montáž prvku kovový na potrubí kruhové kovové D přes 100 do 200 mm</t>
  </si>
  <si>
    <t>471099354</t>
  </si>
  <si>
    <t>Kruhová tvarovka z pozinkovaného plechu, kryt koncový na tvarovku, DN 125 mm</t>
  </si>
  <si>
    <t>A.4</t>
  </si>
  <si>
    <t>42981295</t>
  </si>
  <si>
    <t>kryt koncový do roury Pz D 125mm</t>
  </si>
  <si>
    <t>1212441987</t>
  </si>
  <si>
    <t>751514262</t>
  </si>
  <si>
    <t>Montáž kalhotového kusu nebo odbočky jednostranné do plechového potrubí kruhového s přírubou D přes 100 do 200 mm</t>
  </si>
  <si>
    <t>749798687</t>
  </si>
  <si>
    <t>Kruhová tvarovka z pozinkovaného plechu s těsněním EPDM, odbočka jednostranná 90° - průměry 160/125, včetně kotvení pomocí objímky s gumou</t>
  </si>
  <si>
    <t>A.2</t>
  </si>
  <si>
    <t>Kruhová tvarovka z pozinkovaného plechu s těsněním EPDM, odbočka jednostranná 90° - průměry 125/125, včetně kotvení pomocí objímky s gumou</t>
  </si>
  <si>
    <t>A.7</t>
  </si>
  <si>
    <t>42981433</t>
  </si>
  <si>
    <t>odbočka jednostranná osová Pz T-kus 90° D1/D2 = 160/125mm</t>
  </si>
  <si>
    <t>-1382342051</t>
  </si>
  <si>
    <t>42981426</t>
  </si>
  <si>
    <t>odbočka jednostranná osová Pz T-kus 90° D1/D2 = 125/125mm</t>
  </si>
  <si>
    <t>1771367354</t>
  </si>
  <si>
    <t>751514462</t>
  </si>
  <si>
    <t>Montáž přechodu osového nebo pravoúhlého do plechového potrubí kruhového s přírubou D přes 100 do 200 mm</t>
  </si>
  <si>
    <t>-1523384481</t>
  </si>
  <si>
    <t>Kruhová tvarovka z pozinkovaného plechu s těsněním EPDM, přechod asysmetrický 125/160 mm</t>
  </si>
  <si>
    <t>A.3</t>
  </si>
  <si>
    <t>42981348</t>
  </si>
  <si>
    <t>přechod asymetrický Pz D1/D2 = 125/160mm</t>
  </si>
  <si>
    <t>-1959421272</t>
  </si>
  <si>
    <t>751514662</t>
  </si>
  <si>
    <t>Montáž škrtící klapky nebo zpětné klapky do plechového potrubí kruhové s přírubou D přes 100 do 200 mm</t>
  </si>
  <si>
    <t>1607412327</t>
  </si>
  <si>
    <t>Kruhová tvarovka z poznikovaného plechu s těsněním EPDM, těsná zpětná klapka, DN 125 mm</t>
  </si>
  <si>
    <t>A.5</t>
  </si>
  <si>
    <t>Kruhová tvarovka z poznikovaného plechu s těsněním EPDM, těsná zpětná klapka, DN 160 mm</t>
  </si>
  <si>
    <t>A.6</t>
  </si>
  <si>
    <t>42981002</t>
  </si>
  <si>
    <t>klapka kruhová regulační Pz D 125mm</t>
  </si>
  <si>
    <t>-1533288785</t>
  </si>
  <si>
    <t>42981004</t>
  </si>
  <si>
    <t>klapka kruhová regulační Pz D 160mm</t>
  </si>
  <si>
    <t>-1617095531</t>
  </si>
  <si>
    <t>751537146</t>
  </si>
  <si>
    <t>Montáž potrubí kruhového ohebného tepelně a zvukově izolovaného Al hadice D přes 100 do 150 mm</t>
  </si>
  <si>
    <t>1568590432</t>
  </si>
  <si>
    <t>Vnitřní hadice z hliníku je perforovaná jako tlumič hluku, vyztužená ocelovým drátem.</t>
  </si>
  <si>
    <t>Izolace z minerální vaty tl. 25 mm chráněna polyesterovým návlekem zabraňujícím ponikání izolačních vláken do potrubí.</t>
  </si>
  <si>
    <t>A k zabránění kondenzaci v hlukové izolaci.</t>
  </si>
  <si>
    <t>Vnější plášť hliníkový laminát stříbrné barvy.</t>
  </si>
  <si>
    <t>DN 125 mm</t>
  </si>
  <si>
    <t>D.1</t>
  </si>
  <si>
    <t>15,00</t>
  </si>
  <si>
    <t>8,00</t>
  </si>
  <si>
    <t>42981730</t>
  </si>
  <si>
    <t>hadice ohebná z Al s tepelnou a hlukovou izolací 25mm, délka 10m D 127mm</t>
  </si>
  <si>
    <t>890884941</t>
  </si>
  <si>
    <t>23,00/10,00=2,30 ks</t>
  </si>
  <si>
    <t>751537147</t>
  </si>
  <si>
    <t>Montáž potrubí kruhového ohebného tepelně a zvukově izolovaného Al hadice D přes 150 do 200 mm</t>
  </si>
  <si>
    <t>-1102867948</t>
  </si>
  <si>
    <t>DN 160 mm</t>
  </si>
  <si>
    <t>D.2</t>
  </si>
  <si>
    <t>42981732</t>
  </si>
  <si>
    <t>hadice ohebná z Al s tepelnou a hlukovou izolací 25mm, délka 10m D 160mm</t>
  </si>
  <si>
    <t>-1598847550</t>
  </si>
  <si>
    <t>8,00/10,00=0,80 ks</t>
  </si>
  <si>
    <t>751613113</t>
  </si>
  <si>
    <t>Montáž dodatečné izolovaného potrubí kruhového izolačním návlekem</t>
  </si>
  <si>
    <t>-1950804452</t>
  </si>
  <si>
    <t>Izolace potrubí (kulaté) SET 125/2200 mm, 2 ks</t>
  </si>
  <si>
    <t>2,20*2</t>
  </si>
  <si>
    <t>63152503</t>
  </si>
  <si>
    <t>návlek tepelně izolační tl 25mm s hliníkovým laminátem pro VZT potrubí, délka 10m D 127mm</t>
  </si>
  <si>
    <t>-272800303</t>
  </si>
  <si>
    <t>4,40/10,00=0,44 ks</t>
  </si>
  <si>
    <t>01-03 - ZTI</t>
  </si>
  <si>
    <t>1 - Zemní a ostatní práce</t>
  </si>
  <si>
    <t>2 - Stavební a bourací práce, ostatní práce</t>
  </si>
  <si>
    <t>3 - Kanalizace</t>
  </si>
  <si>
    <t>4 - Vodovod</t>
  </si>
  <si>
    <t>7 - Zařizovací předměty</t>
  </si>
  <si>
    <t>1004</t>
  </si>
  <si>
    <t>Hloubení rýh š do 600 mm v hornině tř. 3 objemu do 100 m3 (20x0,6x1,2+25x0,6x1+35x0,6x1+17x0,6x0,8+11x0,8x1,2+4x0,8x1,2+15x0,6x0,6)</t>
  </si>
  <si>
    <t>61532874</t>
  </si>
  <si>
    <t>1011</t>
  </si>
  <si>
    <t>Příplatek za práci v objektu (ruční hloubení) (15x0,6x0,6)</t>
  </si>
  <si>
    <t>-1519078758</t>
  </si>
  <si>
    <t>1026</t>
  </si>
  <si>
    <t>Zásyp jam, šachet rýh nebo kolem objektů sypaninou se zhutněním</t>
  </si>
  <si>
    <t>1230734196</t>
  </si>
  <si>
    <t>1028</t>
  </si>
  <si>
    <t>-655331740</t>
  </si>
  <si>
    <t>1029</t>
  </si>
  <si>
    <t>-1310734847</t>
  </si>
  <si>
    <t>1060</t>
  </si>
  <si>
    <t>-2122057729</t>
  </si>
  <si>
    <t>1084</t>
  </si>
  <si>
    <t>Odvozy a likvidace přebytečných hmot vč. nakládání na dopravní prostředky</t>
  </si>
  <si>
    <t>-1742496662</t>
  </si>
  <si>
    <t>Stavební a bourací práce, ostatní práce</t>
  </si>
  <si>
    <t>2002</t>
  </si>
  <si>
    <t>Vysekání rýh ve zdivu cihelném hl do 150 mm š do 300 mm</t>
  </si>
  <si>
    <t>629663100</t>
  </si>
  <si>
    <t>2003</t>
  </si>
  <si>
    <t>1643257615</t>
  </si>
  <si>
    <t>2015</t>
  </si>
  <si>
    <t>Demontáž stávajících rozvodů</t>
  </si>
  <si>
    <t>220746672</t>
  </si>
  <si>
    <t>2083</t>
  </si>
  <si>
    <t>Odvozy a likvidace suti a přebytečných směsných stavebních hmot vč. nakládání na dopravní prostředky</t>
  </si>
  <si>
    <t>-55767949</t>
  </si>
  <si>
    <t>Kanalizace</t>
  </si>
  <si>
    <t>3020</t>
  </si>
  <si>
    <t>Potrubí plastové kanalizační svodné, systém PVC KG DN 100 (SN8)</t>
  </si>
  <si>
    <t>-1161028370</t>
  </si>
  <si>
    <t>3021</t>
  </si>
  <si>
    <t>Potrubí plastové kanalizační svodné, systém PVC KG DN 125 (SN8)</t>
  </si>
  <si>
    <t>1906926693</t>
  </si>
  <si>
    <t>3022</t>
  </si>
  <si>
    <t>Potrubí plastové kanalizační svodné, systém PVC KG DN 160 (SN8)</t>
  </si>
  <si>
    <t>1377996404</t>
  </si>
  <si>
    <t>3044</t>
  </si>
  <si>
    <t>Potrubí plastové kanalizační vnitřní, systém PPs-HT DN 40</t>
  </si>
  <si>
    <t>-853861237</t>
  </si>
  <si>
    <t>3045</t>
  </si>
  <si>
    <t>Potrubí plastové kanalizační vnitřní, systém PPs-HT DN 50</t>
  </si>
  <si>
    <t>-447079628</t>
  </si>
  <si>
    <t>3046</t>
  </si>
  <si>
    <t>Potrubí plastové kanalizační vnitřní, systém PPs-HT DN 70</t>
  </si>
  <si>
    <t>-1899346594</t>
  </si>
  <si>
    <t>3047</t>
  </si>
  <si>
    <t>Potrubí plastové kanalizační vnitřní, systém PPs-HT DN 100</t>
  </si>
  <si>
    <t>1053527277</t>
  </si>
  <si>
    <t>3051</t>
  </si>
  <si>
    <t>Potrubí kanalizační z PP "tiché" DN 70 (20dB)</t>
  </si>
  <si>
    <t>20094321</t>
  </si>
  <si>
    <t>3052</t>
  </si>
  <si>
    <t>Potrubí kanalizační z PP "tiché" DN 100 (20dB)</t>
  </si>
  <si>
    <t>-45298598</t>
  </si>
  <si>
    <t>3073</t>
  </si>
  <si>
    <t>Návleková termoakustická izolace (tl.5mm) - D75</t>
  </si>
  <si>
    <t>425628462</t>
  </si>
  <si>
    <t>3074</t>
  </si>
  <si>
    <t>Návleková termoakustická izolace (tl.5mm) - D110</t>
  </si>
  <si>
    <t>-330295598</t>
  </si>
  <si>
    <t>3077</t>
  </si>
  <si>
    <t>Vyvedení a upevnění odpadních výpustek DN 40</t>
  </si>
  <si>
    <t>1795266141</t>
  </si>
  <si>
    <t>3078</t>
  </si>
  <si>
    <t>Vyvedení a upevnění odpadních výpustek DN 50</t>
  </si>
  <si>
    <t>591992665</t>
  </si>
  <si>
    <t>3080</t>
  </si>
  <si>
    <t>Vyvedení a upevnění odpadních výpustek DN 100</t>
  </si>
  <si>
    <t>-990841559</t>
  </si>
  <si>
    <t>3133</t>
  </si>
  <si>
    <t>Drenážní šachta s kalovým prostorem, vč. zakrytí lit. mříží (plast DN300/150, hl. 0,9m)</t>
  </si>
  <si>
    <t>-279804987</t>
  </si>
  <si>
    <t>3184</t>
  </si>
  <si>
    <t>Nerez. žlab, včetně roštu, délka 850mm, součástí zdvojený sifon s odtokem až 28 l/min</t>
  </si>
  <si>
    <t>1828535870</t>
  </si>
  <si>
    <t>3193</t>
  </si>
  <si>
    <t>Filtrační geotextílie (200 g / m2 - pro vsakovací objekty)</t>
  </si>
  <si>
    <t>883853540</t>
  </si>
  <si>
    <t>3194</t>
  </si>
  <si>
    <t>-355114172</t>
  </si>
  <si>
    <t>3230</t>
  </si>
  <si>
    <t>Lapač střešních splavenin z PP se zápach. klapkou a lapacím košem</t>
  </si>
  <si>
    <t>1795159160</t>
  </si>
  <si>
    <t>3242</t>
  </si>
  <si>
    <t>Podlahová vpusť, PP s nerezovým roštem, min. 0,5 l/s  (dle izol. vrstvy podlahy), DN50</t>
  </si>
  <si>
    <t>1632582746</t>
  </si>
  <si>
    <t>3252</t>
  </si>
  <si>
    <t>Zápachová uzávěra pro pračky, DN50</t>
  </si>
  <si>
    <t>1566613079</t>
  </si>
  <si>
    <t>3257</t>
  </si>
  <si>
    <t>Vtok pro odtok kondenzátu, se sifonem, DN40</t>
  </si>
  <si>
    <t>1294252655</t>
  </si>
  <si>
    <t>3258</t>
  </si>
  <si>
    <t>Ventil. hlavice, vč. izol. soupravy, DN100</t>
  </si>
  <si>
    <t>-81841954</t>
  </si>
  <si>
    <t>3308</t>
  </si>
  <si>
    <t>Zkouška těsnosti potrubí kanalizace vodou do DN 125</t>
  </si>
  <si>
    <t>-1131653267</t>
  </si>
  <si>
    <t>3309</t>
  </si>
  <si>
    <t>Zkouška těsnosti potrubí kanalizace vodou do DN 200</t>
  </si>
  <si>
    <t>-1425581416</t>
  </si>
  <si>
    <t>3310</t>
  </si>
  <si>
    <t>Zkouška těsnosti potrubí kanalizace kouřem do DN 300</t>
  </si>
  <si>
    <t>1456153056</t>
  </si>
  <si>
    <t>Vodovod</t>
  </si>
  <si>
    <t>4039</t>
  </si>
  <si>
    <t>Napojení vodovodní přípojky na stávající část přípojky pomocí spojky ISOFLO a přechodu (50/32)</t>
  </si>
  <si>
    <t>1386392888</t>
  </si>
  <si>
    <t>4050</t>
  </si>
  <si>
    <t>Instalační sestava pro vodoměr, na přívodu ventil se šikmým sedlem, na vývodu ventil se zpětnou klapkou - Qn 6 - 1¼ × 1¼</t>
  </si>
  <si>
    <t>-2056101369</t>
  </si>
  <si>
    <t>4057</t>
  </si>
  <si>
    <t>Potrubí vodovodní PE100 (SRD 11) D50 + montáž, vč. tvarovek</t>
  </si>
  <si>
    <t>-896883558</t>
  </si>
  <si>
    <t>4063</t>
  </si>
  <si>
    <t>osazení chráničky D90 (PEHD)</t>
  </si>
  <si>
    <t>1722465409</t>
  </si>
  <si>
    <t>4064</t>
  </si>
  <si>
    <t>Výstražná folie</t>
  </si>
  <si>
    <t>129967047</t>
  </si>
  <si>
    <t>4067</t>
  </si>
  <si>
    <t>Potrubí vod. plastové PP-RCT trubka EVO 20x2,3 S4, svar polyfuze</t>
  </si>
  <si>
    <t>-362621377</t>
  </si>
  <si>
    <t>4068</t>
  </si>
  <si>
    <t>Potrubí vod. plastové PP-RCT trubka EVO 25x2,8 S4, svar polyfuze</t>
  </si>
  <si>
    <t>1124869510</t>
  </si>
  <si>
    <t>4069</t>
  </si>
  <si>
    <t>Potrubí vod. plastové PP-RCT trubka EVO 32x3,6 S4, svar polyfuze</t>
  </si>
  <si>
    <t>-653933383</t>
  </si>
  <si>
    <t>4070</t>
  </si>
  <si>
    <t>Potrubí vod. plastové PP-RCT trubka EVO 40x4,5 S4, svar polyfuze</t>
  </si>
  <si>
    <t>-516908622</t>
  </si>
  <si>
    <t>4083</t>
  </si>
  <si>
    <t>Potrubí vodovodní plastové, třívrstvá trouba s čedičovým vláknem v kombinaci s polypropylenem D20 (20 x 2,8 mm S3,2)</t>
  </si>
  <si>
    <t>415763438</t>
  </si>
  <si>
    <t>4084</t>
  </si>
  <si>
    <t>Potrubí vodovodní plastové, třívrstvá trouba s čedičovým vláknem v kombinaci s polypropylenem D25 (25 x 3,5 mm S3,2)</t>
  </si>
  <si>
    <t>1770019513</t>
  </si>
  <si>
    <t>4085</t>
  </si>
  <si>
    <t>Potrubí vodovodní plastové, třívrstvá trouba s čedičovým vláknem v kombinaci s polypropylenem D32 (32 x 4,4 mm S3,2)</t>
  </si>
  <si>
    <t>-426205217</t>
  </si>
  <si>
    <t>4107</t>
  </si>
  <si>
    <t>Potrubí vodovodní ocelové závitové pozinkované 1" (33,7x3,2mm)</t>
  </si>
  <si>
    <t>1918316647</t>
  </si>
  <si>
    <t>4112</t>
  </si>
  <si>
    <t>Ochrana vodovodního potrubí přilepenými tepelně izolačními trubicemi z PE, s AL fólií, tl do 10 mm DN do 42 mm</t>
  </si>
  <si>
    <t>-1495222149</t>
  </si>
  <si>
    <t>4113</t>
  </si>
  <si>
    <t>Ochrana vodovodního potrubí přilepenými tepelně izolačními trubicemi z PE, s AL fólií, tl do 15 mm DN do 35 mm</t>
  </si>
  <si>
    <t>345988389</t>
  </si>
  <si>
    <t>4116</t>
  </si>
  <si>
    <t>Ochrana vodovodního potrubí přilepenými tepelně izolačními trubicemi z PE, s AL fólií, tl do 20 mm DN do 35 mm</t>
  </si>
  <si>
    <t>-978585655</t>
  </si>
  <si>
    <t>4117</t>
  </si>
  <si>
    <t>Ochrana vodovodního potrubí přilepenými tepelně izolačními trubicemi z PE, s AL fólií, tl do 20 mm DN do 65 mm</t>
  </si>
  <si>
    <t>1706201345</t>
  </si>
  <si>
    <t>4123</t>
  </si>
  <si>
    <t>Ochrana vodovodního potrubí přilepenými tepelně izolačními trubicemi z PE tl do 10 mm DN do 42 mm</t>
  </si>
  <si>
    <t>1490805988</t>
  </si>
  <si>
    <t>4127</t>
  </si>
  <si>
    <t>Ochrana vodovodního potrubí přilepenými tepelně izolačními trubicemi z PE tl do 20 mm DN do 35 mm</t>
  </si>
  <si>
    <t>1007128269</t>
  </si>
  <si>
    <t>4130</t>
  </si>
  <si>
    <t>Ochrana vodovodního potrubí přilepenými tepelně izolačními trubicemi z PE tl do 25 mm DN do 35 mm</t>
  </si>
  <si>
    <t>-739260436</t>
  </si>
  <si>
    <t>4132</t>
  </si>
  <si>
    <t>Ochrana vodovodního potrubí přilepenými tepelně izolačními trubicemi z PE tl do 30 mm DN do 35 mm</t>
  </si>
  <si>
    <t>-82056731</t>
  </si>
  <si>
    <t>4132.1</t>
  </si>
  <si>
    <t>bytový vodoměr pro pitnou vodu (do 30°C), DN20 (Qn 2,5 m3)</t>
  </si>
  <si>
    <t>15582557</t>
  </si>
  <si>
    <t>4133</t>
  </si>
  <si>
    <t>bytový vodoměr pro teplou vodu (do 90°C), DN20 (Qn 2,5 m3)</t>
  </si>
  <si>
    <t>1951562163</t>
  </si>
  <si>
    <t>4133.1</t>
  </si>
  <si>
    <t>Filtr mosazný s 2x vnitřním závitem PN 16, T 120 °C G 1/2"</t>
  </si>
  <si>
    <t>860875011</t>
  </si>
  <si>
    <t>4134</t>
  </si>
  <si>
    <t>Zaizolování tvarovek a armatur na vodovodním potrubí plstěnými pásy (cca 25% procent z izolování přímých tras)</t>
  </si>
  <si>
    <t>-705546990</t>
  </si>
  <si>
    <t>4139</t>
  </si>
  <si>
    <t>Ventil zpětný mosazný G 1/2" PN 10 do 110°C se dvěma závity</t>
  </si>
  <si>
    <t>942694258</t>
  </si>
  <si>
    <t>4140</t>
  </si>
  <si>
    <t>Ventil zpětný mosazný G 1" PN 10 do 110°C se dvěma závity</t>
  </si>
  <si>
    <t>1055332621</t>
  </si>
  <si>
    <t>4165</t>
  </si>
  <si>
    <t>Uzavírací ventil se šikmým sedlem 1/2"</t>
  </si>
  <si>
    <t>-367651043</t>
  </si>
  <si>
    <t>4166</t>
  </si>
  <si>
    <t>Uzavírací ventil se šikmým sedlem 3/4"</t>
  </si>
  <si>
    <t>-666035282</t>
  </si>
  <si>
    <t>4167</t>
  </si>
  <si>
    <t>Uzavírací ventil se šikmým sedlem 1"</t>
  </si>
  <si>
    <t>-445785930</t>
  </si>
  <si>
    <t>4206</t>
  </si>
  <si>
    <t>Uzavírací ventil se šikmým sedlem 1" s vypouštěním</t>
  </si>
  <si>
    <t>200191591</t>
  </si>
  <si>
    <t>4208</t>
  </si>
  <si>
    <t>Ventil pojistný mosazný G 3/4" PN 6 do 100°C k bojleru</t>
  </si>
  <si>
    <t>-1641267169</t>
  </si>
  <si>
    <t>4211</t>
  </si>
  <si>
    <t>Rohový ventil 1/2"</t>
  </si>
  <si>
    <t>608378435</t>
  </si>
  <si>
    <t>4212</t>
  </si>
  <si>
    <t>Pračkový ventil  1/2"</t>
  </si>
  <si>
    <t>-1317056211</t>
  </si>
  <si>
    <t>4213</t>
  </si>
  <si>
    <t>Nástěnka závitová K 247 pro baterii G 1/2 s jedním závitem</t>
  </si>
  <si>
    <t>-2047609563</t>
  </si>
  <si>
    <t>4214</t>
  </si>
  <si>
    <t>pár</t>
  </si>
  <si>
    <t>54305090</t>
  </si>
  <si>
    <t>4226</t>
  </si>
  <si>
    <t>Teploměr (0-100°C), včetně jímky na potrubí</t>
  </si>
  <si>
    <t>-439019202</t>
  </si>
  <si>
    <t>4227</t>
  </si>
  <si>
    <t>Tlakoměr (0-6kPa), včetně jímky na potrubí</t>
  </si>
  <si>
    <t>-1364390269</t>
  </si>
  <si>
    <t>4230</t>
  </si>
  <si>
    <t>Expanzní nádoba (8litrů-10barů)</t>
  </si>
  <si>
    <t>-282755036</t>
  </si>
  <si>
    <t>4231</t>
  </si>
  <si>
    <t>Připojovací armatura 3/4 - uzavírací armatura s vypouštěním zajišťující průtok expanzní nádobou</t>
  </si>
  <si>
    <t>-1398739434</t>
  </si>
  <si>
    <t>4232</t>
  </si>
  <si>
    <t>Cirkulační čerpadlo s možností časování (0,3 m3/hod, H=1,0 m)</t>
  </si>
  <si>
    <t>-842557497</t>
  </si>
  <si>
    <t>4254</t>
  </si>
  <si>
    <t>Kohout závitový plnicí nebo vypouštěcí PN 6 G 1/2 s jedním závitem</t>
  </si>
  <si>
    <t>1217848372</t>
  </si>
  <si>
    <t>4272</t>
  </si>
  <si>
    <t>Kontrolovatelná zpětná armatura EA 1"</t>
  </si>
  <si>
    <t>-1836998563</t>
  </si>
  <si>
    <t>4340</t>
  </si>
  <si>
    <t>Hydrantový systém s tvarově stálou hadicí D19 -20bm - plná dvířka - proudnice ekv. 6, skříň z ocelového plechu, povrchová úprava z práškové barvy pro vnitřní prostředí</t>
  </si>
  <si>
    <t>-700527301</t>
  </si>
  <si>
    <t>4341</t>
  </si>
  <si>
    <t>Hydrantový systém s tvarově stálou hadicí D19 -30bm - plná dvířka - proudnice ekv. 6, skříň z ocelového plechu, povrchová úprava z práškové barvy pro vnitřní prostředí</t>
  </si>
  <si>
    <t>295741668</t>
  </si>
  <si>
    <t>4352</t>
  </si>
  <si>
    <t>Podpůrné vynešení hlavního horizontálního rozvodu na konzoly (vč. uchycení rozvodu).</t>
  </si>
  <si>
    <t>916092344</t>
  </si>
  <si>
    <t>4386</t>
  </si>
  <si>
    <t>Zkouška těsnosti vodovodního potrubí</t>
  </si>
  <si>
    <t>-871919895</t>
  </si>
  <si>
    <t>4389</t>
  </si>
  <si>
    <t>Proplach vodovodního potrubí</t>
  </si>
  <si>
    <t>412465457</t>
  </si>
  <si>
    <t>4390</t>
  </si>
  <si>
    <t>-507898095</t>
  </si>
  <si>
    <t>Zařizovací předměty</t>
  </si>
  <si>
    <t>7003</t>
  </si>
  <si>
    <t>-926564193</t>
  </si>
  <si>
    <t>7032</t>
  </si>
  <si>
    <t>(P) Urinál ze sanitární keramiky bílé barvy, venkovní délka min. 350 mm, včetně instalační sady, splachování spínané radarem, napájení elektrické, minimální splachovací objem 1 L.</t>
  </si>
  <si>
    <t>-2064513896</t>
  </si>
  <si>
    <t>7043</t>
  </si>
  <si>
    <t>518224071</t>
  </si>
  <si>
    <t>7077</t>
  </si>
  <si>
    <t>(U) Stojánková páková směšovací umyvadlová baterie s chromovým povrchem a keramickou kartuší. Otočné  ramínko délky min. 170 mm. Součástí flexi připojovací tlakové hadice.</t>
  </si>
  <si>
    <t>2004570129</t>
  </si>
  <si>
    <t>7088</t>
  </si>
  <si>
    <t>(S2) Sprchový kout 90 x 90 x 190 cm, čtvrtkruh, neprůhledné sklo, celokovové pojezdy, vanička z litého mramoru</t>
  </si>
  <si>
    <t>1412712290</t>
  </si>
  <si>
    <t>7102</t>
  </si>
  <si>
    <t>(S1,S2) Nástěnná páková směšovací sprchová baterie s chromovým povrchem a keramickou kartuší. Součástí je i sprchová hadice délky 1,7 m s pochromovaným povrchem, ruční sprcha a držák sprchy.</t>
  </si>
  <si>
    <t>1886016161</t>
  </si>
  <si>
    <t>7136</t>
  </si>
  <si>
    <t>(VÝ) Závěsná výlevka ze sanit. keramiky bílé barvy, venkovní délka min. 510 mm, odnímatelná plast. mříž, podomítk. modul pro zavěšení výlevky s nádržkou a splach. ventilem s tlačítkem, nosnost 400 kg.</t>
  </si>
  <si>
    <t>1321676890</t>
  </si>
  <si>
    <t>7138</t>
  </si>
  <si>
    <t>(D) Dřez s odkládací ploškou (kartáčovaná nerez)</t>
  </si>
  <si>
    <t>1772158967</t>
  </si>
  <si>
    <t>7139</t>
  </si>
  <si>
    <t>(D) Zápachové uzávěrky pro zařizovací předměty dřezové s přepadem a s připojením na myčku DN 50</t>
  </si>
  <si>
    <t>-1515873324</t>
  </si>
  <si>
    <t>7140</t>
  </si>
  <si>
    <t>(D, VÝ) Nástěnná páková směšovací baterie s chromovým povrchem a keramickou kartuší. Otočné  ramínko délky min. 300 mm.</t>
  </si>
  <si>
    <t>-1921404646</t>
  </si>
  <si>
    <t>01-04 - ÚT</t>
  </si>
  <si>
    <t xml:space="preserve">    731 - Ústřední vytápění - kotelny</t>
  </si>
  <si>
    <t xml:space="preserve">    732 - Ústřední vytápění - strojovny</t>
  </si>
  <si>
    <t xml:space="preserve">    733 - Ústřední vytápění - rozvodné potrubí</t>
  </si>
  <si>
    <t xml:space="preserve">    734 - Ústřední vytápění - armatury</t>
  </si>
  <si>
    <t xml:space="preserve">    735 - Ústřední vytápění - otopná tělesa</t>
  </si>
  <si>
    <t>HZS - Ostatní práce</t>
  </si>
  <si>
    <t>731</t>
  </si>
  <si>
    <t>Ústřední vytápění - kotelny</t>
  </si>
  <si>
    <t>731200825</t>
  </si>
  <si>
    <t>Demontáž kotle ocelového elektro včetně rozvaděče výkon přes 25 do 40 kW</t>
  </si>
  <si>
    <t>-44893994</t>
  </si>
  <si>
    <t>731890801</t>
  </si>
  <si>
    <t>1053133061</t>
  </si>
  <si>
    <t>732</t>
  </si>
  <si>
    <t>Ústřední vytápění - strojovny</t>
  </si>
  <si>
    <t>100001</t>
  </si>
  <si>
    <t>Kompaktní ultrazvukový měřič tepla heatsonic 0,6m3/h komplet včetně čidel a jímek</t>
  </si>
  <si>
    <t>2103690427</t>
  </si>
  <si>
    <t>30100</t>
  </si>
  <si>
    <t>Montáž tepelného čerpadla vnější</t>
  </si>
  <si>
    <t>1367908810</t>
  </si>
  <si>
    <t>30101</t>
  </si>
  <si>
    <t>Uvedení do provozu tepleného čerpadla</t>
  </si>
  <si>
    <t>1354157074</t>
  </si>
  <si>
    <t>30102</t>
  </si>
  <si>
    <t>Montáž měření a regulace strojovny tepleného čerpadla</t>
  </si>
  <si>
    <t>1799403158</t>
  </si>
  <si>
    <t>732111314</t>
  </si>
  <si>
    <t>Trubková hrdla rozdělovačů a sběračů bez přírub DN 25</t>
  </si>
  <si>
    <t>1423621044</t>
  </si>
  <si>
    <t>732111315</t>
  </si>
  <si>
    <t>Trubková hrdla rozdělovačů a sběračů bez přírub DN 32</t>
  </si>
  <si>
    <t>-1569052790</t>
  </si>
  <si>
    <t>732112228</t>
  </si>
  <si>
    <t>Rozdělovač sdružený hydraulický DN 65 závitový</t>
  </si>
  <si>
    <t>1457650790</t>
  </si>
  <si>
    <t>732199100</t>
  </si>
  <si>
    <t>Montáž a dodávka orientačních štítků</t>
  </si>
  <si>
    <t>295958264</t>
  </si>
  <si>
    <t>732211223</t>
  </si>
  <si>
    <t>Ohřívač stacionární zásobníkový se dvěma výměníky PN 1,0/1,6 o objemu 500 l v.pl. 1,9 m2/1,3 m2 smaltovaný , tepelná izolace tl 100mm opláštěná plechem</t>
  </si>
  <si>
    <t>-324479912</t>
  </si>
  <si>
    <t>732212815</t>
  </si>
  <si>
    <t>Demontáž ohříváku zásobníkového stojatého obsah do 1600 l</t>
  </si>
  <si>
    <t>1333894738</t>
  </si>
  <si>
    <t>732219315</t>
  </si>
  <si>
    <t>Montáž ohříváku vody stojatého PN 0,6/0,6,PN 1,6/0,6 o obsahu 1000 litrů</t>
  </si>
  <si>
    <t>-761687039</t>
  </si>
  <si>
    <t>732231101</t>
  </si>
  <si>
    <t>Akumulační nádrž topné vody bez výměníku PN 0,3 o objemu 300 l smaltovaný , tepelná izolace tl 100mm opláštěná plechem</t>
  </si>
  <si>
    <t>1572323175</t>
  </si>
  <si>
    <t>732294315</t>
  </si>
  <si>
    <t>Elektrická topná jednotka vestavná přírubová o výkonu 6,0 kW</t>
  </si>
  <si>
    <t>1249957102</t>
  </si>
  <si>
    <t>732294318</t>
  </si>
  <si>
    <t>Elektrická topná jednotka vestavná přírubová o výkonu 12,0 kW</t>
  </si>
  <si>
    <t>1063580958</t>
  </si>
  <si>
    <t>732320812</t>
  </si>
  <si>
    <t>Demontáž nádrže beztlaké nebo tlakové odpojení od rozvodů potrubí obsah do 100 l</t>
  </si>
  <si>
    <t>692254488</t>
  </si>
  <si>
    <t>732331617</t>
  </si>
  <si>
    <t>Nádoba tlaková expanzní pro topnou a chladicí soustavu s membránou závitové připojení PN 0,6 o objemu 80 l</t>
  </si>
  <si>
    <t>160867418</t>
  </si>
  <si>
    <t>732331778</t>
  </si>
  <si>
    <t>Příslušenství k expanzním nádobám bezpečnostní uzávěr G 1 k měření tlaku</t>
  </si>
  <si>
    <t>-1229016212</t>
  </si>
  <si>
    <t>732420811</t>
  </si>
  <si>
    <t>Demontáž čerpadla oběhového spirálního DN 25</t>
  </si>
  <si>
    <t>-1989639976</t>
  </si>
  <si>
    <t>732421412</t>
  </si>
  <si>
    <t>Čerpadlo teplovodní mokroběžné závitové oběhové DN 25 výtlak do 6,0 m průtok 2,8 m3/h pro vytápění</t>
  </si>
  <si>
    <t>-2084830817</t>
  </si>
  <si>
    <t>732421412.GRS</t>
  </si>
  <si>
    <t>Čerpadlo teplovodní mokroběžné závitové oběhovéCPD 11-25/75</t>
  </si>
  <si>
    <t>-495507716</t>
  </si>
  <si>
    <t>10000</t>
  </si>
  <si>
    <t>měřič tepla pro zásobník TeV  DN 20 qp 3,5m3/h včetně kabeláže a čidel</t>
  </si>
  <si>
    <t>-2070552710</t>
  </si>
  <si>
    <t>732429212</t>
  </si>
  <si>
    <t>Montáž čerpadla oběhového mokroběžného závitového DN 25</t>
  </si>
  <si>
    <t>527277916</t>
  </si>
  <si>
    <t>998732101</t>
  </si>
  <si>
    <t>-1622831238</t>
  </si>
  <si>
    <t>2030</t>
  </si>
  <si>
    <t>Závěsný a konstrukční materiál pro technologii - betonový základ ztracené bednění pro rozměr čerpadla 1300/600/600</t>
  </si>
  <si>
    <t>477701548</t>
  </si>
  <si>
    <t>3000</t>
  </si>
  <si>
    <t>Tepelné čerpadlo venkovní monoblok vzduch/voda např.Nibe F2120-16 topení</t>
  </si>
  <si>
    <t>1223343824</t>
  </si>
  <si>
    <t>30001</t>
  </si>
  <si>
    <t>Tepelné čerpadlo regulace SMO 40, kaskáda 2x TČ, 4x směšovaná větev, 1x ohřev vody</t>
  </si>
  <si>
    <t>184827018</t>
  </si>
  <si>
    <t>30002</t>
  </si>
  <si>
    <t>Tepelné čerpadlo odkapní elektricky vhřívaná vana</t>
  </si>
  <si>
    <t>-1023342469</t>
  </si>
  <si>
    <t>30006</t>
  </si>
  <si>
    <t>Tepelné čerpadlo přípojovací hadice nerez DN25 délka 500mm vč izolace tl 20mm</t>
  </si>
  <si>
    <t>2020504077</t>
  </si>
  <si>
    <t>30004</t>
  </si>
  <si>
    <t>Třícestný přepínací ventil VST 21 DN 32 vč pohonu 230V</t>
  </si>
  <si>
    <t>1054918862</t>
  </si>
  <si>
    <t>300047</t>
  </si>
  <si>
    <t>Tepelné čerpadlo kabeláž pro systém měření a regulace, kompletní dodávka kabeláže pro regulaci 3x třícestných armatur ,3x napájení oběhových čerpadel a kaskády 2x tepelné čerpadlo</t>
  </si>
  <si>
    <t>578687648</t>
  </si>
  <si>
    <t>300048</t>
  </si>
  <si>
    <t>Podružný rozvaděč TČ - rozvaděč pro připojení teplených čerpadel na rozvod elektroinstlace</t>
  </si>
  <si>
    <t>-627734901</t>
  </si>
  <si>
    <t>733</t>
  </si>
  <si>
    <t>Ústřední vytápění - rozvodné potrubí</t>
  </si>
  <si>
    <t>733110806</t>
  </si>
  <si>
    <t>Demontáž potrubí ocelového závitového DN přes 15 do 32</t>
  </si>
  <si>
    <t>-1023837446</t>
  </si>
  <si>
    <t>733110808</t>
  </si>
  <si>
    <t>Demontáž potrubí ocelového závitového DN přes 32 do 50</t>
  </si>
  <si>
    <t>-2051747636</t>
  </si>
  <si>
    <t>733110810</t>
  </si>
  <si>
    <t>Demontáž potrubí ocelového závitového DN přes 50 do 80</t>
  </si>
  <si>
    <t>1247084088</t>
  </si>
  <si>
    <t>733222102</t>
  </si>
  <si>
    <t>Potrubí měděné polotvrdé spojované měkkým pájením D 15x1 mm</t>
  </si>
  <si>
    <t>1444644939</t>
  </si>
  <si>
    <t>155+92</t>
  </si>
  <si>
    <t>733222103</t>
  </si>
  <si>
    <t>Potrubí měděné polotvrdé spojované měkkým pájením D 18x1 mm</t>
  </si>
  <si>
    <t>-791659717</t>
  </si>
  <si>
    <t>38+18</t>
  </si>
  <si>
    <t>733222104</t>
  </si>
  <si>
    <t>Potrubí měděné polotvrdé spojované měkkým pájením D 22x1 mm</t>
  </si>
  <si>
    <t>-749122319</t>
  </si>
  <si>
    <t>285+55</t>
  </si>
  <si>
    <t>733223105</t>
  </si>
  <si>
    <t>Potrubí měděné tvrdé spojované měkkým pájením D 28x1,5 mm</t>
  </si>
  <si>
    <t>-1855293090</t>
  </si>
  <si>
    <t>6+25</t>
  </si>
  <si>
    <t>733223106</t>
  </si>
  <si>
    <t>Potrubí měděné tvrdé spojované měkkým pájením D 35x1,5 mm</t>
  </si>
  <si>
    <t>-721961862</t>
  </si>
  <si>
    <t>733291101</t>
  </si>
  <si>
    <t>Zkouška těsnosti potrubí měděné D do 35x1,5</t>
  </si>
  <si>
    <t>-80186717</t>
  </si>
  <si>
    <t>155+38+285+6+52+190</t>
  </si>
  <si>
    <t>733811241</t>
  </si>
  <si>
    <t>Ochrana potrubí ústředního vytápění termoizolačními trubicemi z PE tl přes 13 do 20 mm DN do 22 mm</t>
  </si>
  <si>
    <t>-844944422</t>
  </si>
  <si>
    <t>155+38+285+92+18+55</t>
  </si>
  <si>
    <t>733811252</t>
  </si>
  <si>
    <t>Ochrana potrubí ústředního vytápění termoizolačními trubicemi z PE tl přes 20 do 25 mm DN přes 32 do 45 mm</t>
  </si>
  <si>
    <t>-1664762493</t>
  </si>
  <si>
    <t>6+52</t>
  </si>
  <si>
    <t>998733101</t>
  </si>
  <si>
    <t>-2096751211</t>
  </si>
  <si>
    <t>734</t>
  </si>
  <si>
    <t>Ústřední vytápění - armatury</t>
  </si>
  <si>
    <t>734211127</t>
  </si>
  <si>
    <t>Ventil závitový odvzdušňovací G 1/2 PN 14 do 120°C automatický se zpětnou klapkou otopných těles</t>
  </si>
  <si>
    <t>-1121364594</t>
  </si>
  <si>
    <t>734221682</t>
  </si>
  <si>
    <t>Termostatická hlavice kapalinová PN 10 do 110°C otopných těles VK</t>
  </si>
  <si>
    <t>-845762895</t>
  </si>
  <si>
    <t>734242413</t>
  </si>
  <si>
    <t>Ventil závitový zpětný přímý G 3/4 PN 16 do 110°C</t>
  </si>
  <si>
    <t>1517712347</t>
  </si>
  <si>
    <t>734242415</t>
  </si>
  <si>
    <t>Ventil závitový zpětný přímý G 5/4 PN 16 do 110°C</t>
  </si>
  <si>
    <t>288166364</t>
  </si>
  <si>
    <t>734251211</t>
  </si>
  <si>
    <t>Ventil závitový pojistný rohový G 1/2 provozní tlak od 2,5 do 6 barů</t>
  </si>
  <si>
    <t>45997086</t>
  </si>
  <si>
    <t>734261403</t>
  </si>
  <si>
    <t>Armatura připojovací rohová G 3/4x18 PN 10 do 110°C radiátorů typu VK</t>
  </si>
  <si>
    <t>-1726654720</t>
  </si>
  <si>
    <t>734261403m</t>
  </si>
  <si>
    <t>Armatura připojovací rohová G 3/4x18 PN 10 do 110°C radiátorů typu  MM</t>
  </si>
  <si>
    <t>1477974668</t>
  </si>
  <si>
    <t>734291123</t>
  </si>
  <si>
    <t>Kohout plnící a vypouštěcí G 1/2 PN 10 do 90°C závitový</t>
  </si>
  <si>
    <t>579195525</t>
  </si>
  <si>
    <t>734291263.GCM</t>
  </si>
  <si>
    <t>Filtr závitový  přímý G 3/4 PN 30 do 110°C s vnitřními závity</t>
  </si>
  <si>
    <t>-1544616712</t>
  </si>
  <si>
    <t>734291265</t>
  </si>
  <si>
    <t>Filtr závitový přímý G 1 1/4 PN 30 do 110°C s vnitřními závity</t>
  </si>
  <si>
    <t>55484704</t>
  </si>
  <si>
    <t>734292714</t>
  </si>
  <si>
    <t>Kohout kulový přímý G 3/4 PN 42 do 185°C vnitřní závit</t>
  </si>
  <si>
    <t>1547215289</t>
  </si>
  <si>
    <t>734292715</t>
  </si>
  <si>
    <t>Kohout kulový přímý G 1 PN 42 do 185°C vnitřní závit</t>
  </si>
  <si>
    <t>-1019833257</t>
  </si>
  <si>
    <t>2+4</t>
  </si>
  <si>
    <t>734292716</t>
  </si>
  <si>
    <t>Kohout kulový přímý G 1 1/4 PN 42 do 185°C vnitřní závit</t>
  </si>
  <si>
    <t>427953513</t>
  </si>
  <si>
    <t>734295021</t>
  </si>
  <si>
    <t>Směšovací ventil otopných a chladicích systémů závitový třícestný G 1/2" kv1,6 se servomotorem</t>
  </si>
  <si>
    <t>-1804215490</t>
  </si>
  <si>
    <t>734411101</t>
  </si>
  <si>
    <t>Teploměr technický s pevným stonkem a jímkou zadní připojení průměr 63 mm délky 50 mm 0-100°C</t>
  </si>
  <si>
    <t>786787027</t>
  </si>
  <si>
    <t>734421101</t>
  </si>
  <si>
    <t>Tlakoměr s pevným stonkem a zpětnou klapkou tlak 0-16 bar průměr 50 mm spodní připojení</t>
  </si>
  <si>
    <t>2084167878</t>
  </si>
  <si>
    <t>734424101</t>
  </si>
  <si>
    <t>Kondenzační smyčka k přivaření zahnutá PN 250 do 300°C</t>
  </si>
  <si>
    <t>1660640718</t>
  </si>
  <si>
    <t>998734101</t>
  </si>
  <si>
    <t>824708747</t>
  </si>
  <si>
    <t>735</t>
  </si>
  <si>
    <t>Ústřední vytápění - otopná tělesa</t>
  </si>
  <si>
    <t>735000912</t>
  </si>
  <si>
    <t>Vyregulování ventilu nebo kohoutu dvojregulačního s termostatickým ovládáním</t>
  </si>
  <si>
    <t>222480087</t>
  </si>
  <si>
    <t>735111810</t>
  </si>
  <si>
    <t>Demontáž otopného tělesa litinového článkového</t>
  </si>
  <si>
    <t>-2076555360</t>
  </si>
  <si>
    <t>735152471</t>
  </si>
  <si>
    <t>Otopné těleso panelové VKM8 dvoudeskové 1 přídavná přestupní plocha výška/délka 600/400 mm výkon 515 W</t>
  </si>
  <si>
    <t>-614695591</t>
  </si>
  <si>
    <t>735152473</t>
  </si>
  <si>
    <t>Otopné těleso panelové VKM8 dvoudeskové 1 přídavná přestupní plocha výška/délka 600/600 mm výkon 773 W</t>
  </si>
  <si>
    <t>-2123797124</t>
  </si>
  <si>
    <t>735152474</t>
  </si>
  <si>
    <t>Otopné těleso panelové VKM8 dvoudeskové 1 přídavná přestupní plocha výška/délka 600/700 mm výkon 902 W</t>
  </si>
  <si>
    <t>2129088444</t>
  </si>
  <si>
    <t>735152479</t>
  </si>
  <si>
    <t>Otopné těleso panelové VKM8 dvoudeskové 1 přídavná přestupní plocha výška/délka 600/1200 mm výkon 1546 W</t>
  </si>
  <si>
    <t>-240952122</t>
  </si>
  <si>
    <t>735152481</t>
  </si>
  <si>
    <t>Otopné těleso panelové VKM8 dvoudeskové 1 přídavná přestupní plocha výška/délka 600/1600 mm výkon 2061 W</t>
  </si>
  <si>
    <t>-861800674</t>
  </si>
  <si>
    <t>735152573</t>
  </si>
  <si>
    <t>Otopné těleso panelové VKM8 dvoudeskové 2 přídavné přestupní plochy výška/délka 600/600 mm výkon 1007 W</t>
  </si>
  <si>
    <t>-913742059</t>
  </si>
  <si>
    <t>735152577</t>
  </si>
  <si>
    <t>Otopné těleso panelové VKM8 dvoudeskové 2 přídavné přestupní plochy výška/délka 600/1000 mm výkon 1679 W</t>
  </si>
  <si>
    <t>-919055741</t>
  </si>
  <si>
    <t>735152579</t>
  </si>
  <si>
    <t>Otopné těleso panelové VKM8 dvoudeskové 2 přídavné přestupní plochy výška/délka 600/1200 mm výkon 2015 W</t>
  </si>
  <si>
    <t>-2053154934</t>
  </si>
  <si>
    <t>735152580</t>
  </si>
  <si>
    <t>Otopné těleso panelové VKM8 dvoudeskové 2 přídavné přestupní plochy výška/délka 600/1400 mm výkon 2351 W</t>
  </si>
  <si>
    <t>-543999901</t>
  </si>
  <si>
    <t>735152581</t>
  </si>
  <si>
    <t>Otopné těleso panelové VKM8 dvoudeskové 2 přídavné přestupní plochy výška/délka 600/1600 mm výkon 2686 W</t>
  </si>
  <si>
    <t>-783815823</t>
  </si>
  <si>
    <t>735152595</t>
  </si>
  <si>
    <t>Otopné těleso panelové VKM8 dvoudeskové 2 přídavné přestupní plochy výška/délka 900/800 mm výkon 1850 W</t>
  </si>
  <si>
    <t>-1243428260</t>
  </si>
  <si>
    <t>735152597</t>
  </si>
  <si>
    <t>Otopné těleso panelové VKM8 dvoudeskové 2 přídavné přestupní plochy výška/délka 900/1000 mm výkon 2313 W</t>
  </si>
  <si>
    <t>-457276026</t>
  </si>
  <si>
    <t>735152598</t>
  </si>
  <si>
    <t>Otopné těleso panelové VKM8 dvoudeskové 2 přídavné přestupní plochy výška/délka 900/1100 mm výkon 2544 W</t>
  </si>
  <si>
    <t>-348185473</t>
  </si>
  <si>
    <t>735152698</t>
  </si>
  <si>
    <t>Otopné těleso panelové VKM8 třídeskové 3 přídavné přestupní plochy výška/délka 900/1100 mm výkon 3661 W</t>
  </si>
  <si>
    <t>-1020830125</t>
  </si>
  <si>
    <t>735159240</t>
  </si>
  <si>
    <t>Montáž otopných těles panelových dvouřadých dl přes 1980 do 2820 mm</t>
  </si>
  <si>
    <t>1592142239</t>
  </si>
  <si>
    <t>735159310</t>
  </si>
  <si>
    <t>Montáž otopných těles panelových třířadých dl do 1140 mm</t>
  </si>
  <si>
    <t>-727579978</t>
  </si>
  <si>
    <t>735164221</t>
  </si>
  <si>
    <t>Otopné těleso trubkové  výška/délka 700/450 mm rovné se spodním středním připojením</t>
  </si>
  <si>
    <t>-447627530</t>
  </si>
  <si>
    <t>735164231</t>
  </si>
  <si>
    <t>Otopné těleso trubkové  výška/délka 900/450 mm  rovné se spodním středním připojením</t>
  </si>
  <si>
    <t>-2111514091</t>
  </si>
  <si>
    <t>735164271</t>
  </si>
  <si>
    <t>Otopné těleso trubkové  výška/délka 1820/450 mm  rovné se spodním středním připojením</t>
  </si>
  <si>
    <t>963421483</t>
  </si>
  <si>
    <t>735164272</t>
  </si>
  <si>
    <t>Otopné těleso trubkové  výška/délka 1820/600 mm  rovné se spodním středním připojením</t>
  </si>
  <si>
    <t>-555520400</t>
  </si>
  <si>
    <t>735164273</t>
  </si>
  <si>
    <t>Otopné těleso trubkové  výška/délka 1850/750 mm  rovné se spodním středním připojením</t>
  </si>
  <si>
    <t>2046589606</t>
  </si>
  <si>
    <t>735164511</t>
  </si>
  <si>
    <t>Montáž otopného tělesa trubkového na stěnu v tělesa do 1500 mm</t>
  </si>
  <si>
    <t>1200184625</t>
  </si>
  <si>
    <t>735164512</t>
  </si>
  <si>
    <t>Montáž otopného tělesa trubkového na stěnu v tělesa přes 1500 mm</t>
  </si>
  <si>
    <t>2141685827</t>
  </si>
  <si>
    <t>735191905</t>
  </si>
  <si>
    <t>Odvzdušnění otopných těles</t>
  </si>
  <si>
    <t>-1014320242</t>
  </si>
  <si>
    <t>735191910</t>
  </si>
  <si>
    <t>Napuštění vody do otopných těles</t>
  </si>
  <si>
    <t>1751632259</t>
  </si>
  <si>
    <t>428+52,2+164,25</t>
  </si>
  <si>
    <t>735291800</t>
  </si>
  <si>
    <t>Demontáž konzoly nebo držáku otopných těles, registrů nebo konvektorů do odpadu</t>
  </si>
  <si>
    <t>-2130841875</t>
  </si>
  <si>
    <t>998735101</t>
  </si>
  <si>
    <t>-967061869</t>
  </si>
  <si>
    <t>HZS</t>
  </si>
  <si>
    <t>Ostatní práce</t>
  </si>
  <si>
    <t>HZS1301</t>
  </si>
  <si>
    <t>Hodinová zúčtovací sazba zedník</t>
  </si>
  <si>
    <t>262144</t>
  </si>
  <si>
    <t>-1110321746</t>
  </si>
  <si>
    <t>HZS4111</t>
  </si>
  <si>
    <t>Hodinová zúčtovací sazba řidič odvoz demontovaného materiálu</t>
  </si>
  <si>
    <t>-640324515</t>
  </si>
  <si>
    <t>HZS4211</t>
  </si>
  <si>
    <t>revizní technik - topná zkouška</t>
  </si>
  <si>
    <t>553248364</t>
  </si>
  <si>
    <t>HZS4211d</t>
  </si>
  <si>
    <t>revizní technik dilatační zkouška</t>
  </si>
  <si>
    <t>-1442999644</t>
  </si>
  <si>
    <t>HZS4211e</t>
  </si>
  <si>
    <t>zaškolení uživatele a seznámení obsluhy</t>
  </si>
  <si>
    <t>642953320</t>
  </si>
  <si>
    <t>622273081.R01</t>
  </si>
  <si>
    <t>1255720005</t>
  </si>
  <si>
    <t>-750360831</t>
  </si>
  <si>
    <t>-936752625</t>
  </si>
  <si>
    <t>632481213</t>
  </si>
  <si>
    <t>Separační vrstva z PE fólie</t>
  </si>
  <si>
    <t>-742173506</t>
  </si>
  <si>
    <t>634111113</t>
  </si>
  <si>
    <t>Obvodová dilatace pružnou těsnicí páskou mezi stěnou a mazaninou nebo potěrem v 80 mm</t>
  </si>
  <si>
    <t>-740799597</t>
  </si>
  <si>
    <t>968062354</t>
  </si>
  <si>
    <t>Vybourání dřevěných rámů oken dvojitých včetně křídel pl do 1 m2</t>
  </si>
  <si>
    <t>-2059005591</t>
  </si>
  <si>
    <t>968062355</t>
  </si>
  <si>
    <t>Vybourání dřevěných rámů oken dvojitých včetně křídel pl do 2 m2</t>
  </si>
  <si>
    <t>-669942084</t>
  </si>
  <si>
    <t>(0,90*1,50)</t>
  </si>
  <si>
    <t>28375873</t>
  </si>
  <si>
    <t>deska EPS 70 pro konstrukce s malým zatížením λ=0,039 tl 100mm</t>
  </si>
  <si>
    <t>28376451</t>
  </si>
  <si>
    <t>deska z polystyrénu XPS, hrana polodrážková a hladký povrch 300kPA tl 200mm</t>
  </si>
  <si>
    <t>845385440</t>
  </si>
  <si>
    <t>713141152</t>
  </si>
  <si>
    <t>Montáž izolace tepelné střech plochých kladené volně 2 vrstvy rohoží, pásů, dílců, desek</t>
  </si>
  <si>
    <t>1971609666</t>
  </si>
  <si>
    <t>1447732747</t>
  </si>
  <si>
    <t>O.01</t>
  </si>
  <si>
    <t>1446411541</t>
  </si>
  <si>
    <t>O.02</t>
  </si>
  <si>
    <t>-1930482123</t>
  </si>
  <si>
    <t>-1267657759</t>
  </si>
  <si>
    <t>O.05</t>
  </si>
  <si>
    <t>-1634127628</t>
  </si>
  <si>
    <t>O.06/L</t>
  </si>
  <si>
    <t>672470082</t>
  </si>
  <si>
    <t>O.07/L</t>
  </si>
  <si>
    <t>1456047933</t>
  </si>
  <si>
    <t>O.08</t>
  </si>
  <si>
    <t>931276308</t>
  </si>
  <si>
    <t>O.09</t>
  </si>
  <si>
    <t>1730738566</t>
  </si>
  <si>
    <t>O.11</t>
  </si>
  <si>
    <t>826693531</t>
  </si>
  <si>
    <t>O.12</t>
  </si>
  <si>
    <t>1964446840</t>
  </si>
  <si>
    <t>O.13</t>
  </si>
  <si>
    <t>1095790101</t>
  </si>
  <si>
    <t>O.14/L</t>
  </si>
  <si>
    <t>757133730</t>
  </si>
  <si>
    <t>O.15</t>
  </si>
  <si>
    <t>-1785255671</t>
  </si>
  <si>
    <t>O.16</t>
  </si>
  <si>
    <t>1391413846</t>
  </si>
  <si>
    <t>546667243</t>
  </si>
  <si>
    <t xml:space="preserve">    D - Kabely, ukončení kabelů</t>
  </si>
  <si>
    <t xml:space="preserve">    D2 - Přístroje</t>
  </si>
  <si>
    <t xml:space="preserve">    1002-8304 - OVLÁDAČ, IP 44 (PLAST)</t>
  </si>
  <si>
    <t xml:space="preserve">    D3 - Svítidla, světelné zdroje</t>
  </si>
  <si>
    <t xml:space="preserve">    D4 - Demontáže</t>
  </si>
  <si>
    <t>1123-594</t>
  </si>
  <si>
    <t>KF 09063 TRUBKA KOPOFLEX 63</t>
  </si>
  <si>
    <t>1468837362</t>
  </si>
  <si>
    <t>-455443671</t>
  </si>
  <si>
    <t>-32044111</t>
  </si>
  <si>
    <t>Napojit stávajícím kabelem stejného typu a průřezů.  AYKY-J 5x4</t>
  </si>
  <si>
    <t>-366040291</t>
  </si>
  <si>
    <t>1272084899</t>
  </si>
  <si>
    <t>Ukončení vodičů izolovaných s označením a zapojením v rozváděči nebo na přístroji do 2,5 mm2</t>
  </si>
  <si>
    <t>2095711638</t>
  </si>
  <si>
    <t>1002-4448</t>
  </si>
  <si>
    <t>Přístroj spínače jednopólového (bezšroubové svorky); řazení 1, 1So (do hořlavých podkladů B až F)</t>
  </si>
  <si>
    <t>1058990988</t>
  </si>
  <si>
    <t>1002-4450</t>
  </si>
  <si>
    <t>Přístroj přepínače sériového (bezšroubové svorky); řazení 5 (do hořlavých podkladů B až F)</t>
  </si>
  <si>
    <t>276158602</t>
  </si>
  <si>
    <t>1002-6988</t>
  </si>
  <si>
    <t>Přístroj přepínače střídavého, se svorkou N (bezšroubové svorky); řazení 6S, 6So, 6 (do hořlavých podkladů B až F)</t>
  </si>
  <si>
    <t>-2045643922</t>
  </si>
  <si>
    <t>1002-4452</t>
  </si>
  <si>
    <t>Přístroj přepínače křížového (bezšroubové svorky); řazení 7, 7So (do hořlavých podkladů B až F)</t>
  </si>
  <si>
    <t>1963160183</t>
  </si>
  <si>
    <t>1002-4456</t>
  </si>
  <si>
    <t>Přístroj ovládače zapínacího se svorkou N (bezšroubové svorky); řazení 1/0, 1/0So, 1/0S (do hořlavých podkladů B až F)</t>
  </si>
  <si>
    <t>455642202</t>
  </si>
  <si>
    <t>1002-14</t>
  </si>
  <si>
    <t>3558A-A651 B Kryt spínače kolébkového; d. Tango; b. bílá</t>
  </si>
  <si>
    <t>2147272007</t>
  </si>
  <si>
    <t>1002-15</t>
  </si>
  <si>
    <t>3558A-A652 B Kryt spínače kolébkového, dělený; d. Tango; b. bílá</t>
  </si>
  <si>
    <t>-2101168763</t>
  </si>
  <si>
    <t>-727151955</t>
  </si>
  <si>
    <t>1002-8304</t>
  </si>
  <si>
    <t>OVLÁDAČ, IP 44 (PLAST)</t>
  </si>
  <si>
    <t>1002-8305</t>
  </si>
  <si>
    <t>Ovládač přepínací IP 54; řazení 6/0; b. bílá</t>
  </si>
  <si>
    <t>1379655939</t>
  </si>
  <si>
    <t>1202-524</t>
  </si>
  <si>
    <t>Multifukční relé do krabice</t>
  </si>
  <si>
    <t>776241448</t>
  </si>
  <si>
    <t>1002-524</t>
  </si>
  <si>
    <t>Pohybové čidlo PIR na strop, st. 360, vzdálenost 3-12m</t>
  </si>
  <si>
    <t>1987787844</t>
  </si>
  <si>
    <t>Svítidla, světelné zdroje</t>
  </si>
  <si>
    <t>1243-23654</t>
  </si>
  <si>
    <t>A - Kancelářské svítidlo LED 6000/840 OP svítidlo vestavné do podhledu 600x600, 38W, 6000lm, 4000K, difuzor opal</t>
  </si>
  <si>
    <t>-963815039</t>
  </si>
  <si>
    <t>1243-23654.1</t>
  </si>
  <si>
    <t>B - Kancelářské svítidlo LED 3410/840 OP svítidlo vestavné do podhledu 600x600, 24W, 2700lm, 4000K, difuzor opal</t>
  </si>
  <si>
    <t>-373176481</t>
  </si>
  <si>
    <t>1243-23654.2</t>
  </si>
  <si>
    <t>BN - Kancelářské svítidlo LED 3410/840 OP svítidlo vestavné do podhledu 600x600, 24W, 2700lm, 4000K, difuzor opal + nouzový modul 1h</t>
  </si>
  <si>
    <t>-1548767649</t>
  </si>
  <si>
    <t>1243-23654.3</t>
  </si>
  <si>
    <t>C - Svítidlo průmyslové s modulem LED, 8000/840, 53W, IP66</t>
  </si>
  <si>
    <t>839124498</t>
  </si>
  <si>
    <t>1243-23654.4</t>
  </si>
  <si>
    <t>D - Svítidlo LED 3200/840 svítidlo přisazené, 22W, 4000K, difuzor opal</t>
  </si>
  <si>
    <t>1821934618</t>
  </si>
  <si>
    <t>1243-23654.5</t>
  </si>
  <si>
    <t>DN - Svítidlo LED 3200/840 svítidlo přisazené, 22W, 4000K, difuzor opal + nouzový modul 1h</t>
  </si>
  <si>
    <t>-2004964479</t>
  </si>
  <si>
    <t>1243-23654.6</t>
  </si>
  <si>
    <t>E - Svítidlo průmyslové s modulem LED, 4400/840, 30W, IP66</t>
  </si>
  <si>
    <t>-52669694</t>
  </si>
  <si>
    <t>1243-23654.7</t>
  </si>
  <si>
    <t>F - Svítidlo LED 2820/840 svítidlo interiérové kruhové vestavné do podhledu s LED modulem 2820lm, spektrum 840, 19W</t>
  </si>
  <si>
    <t>-770516936</t>
  </si>
  <si>
    <t>1243-23654.8</t>
  </si>
  <si>
    <t>G - Svitidlo NO, LED NM1h svítidlo pro nouzové a orientační netrvalé osvětlení s modulem LED 1x70ml, spektrum 840, difuzor z čirého PC - zdroj 1 hod. vč. piktogramu</t>
  </si>
  <si>
    <t>1898056170</t>
  </si>
  <si>
    <t>1243-23654.9</t>
  </si>
  <si>
    <t>H - Svítidlo LED pod kuhyňskou linkou nebo nad umyvadlem, IP44</t>
  </si>
  <si>
    <t>248907486</t>
  </si>
  <si>
    <t>1243-23654.10</t>
  </si>
  <si>
    <t>J - Svítidlo LED 2220/840 svítidlo interiérové kruhové vestavné do podhledu s LED modulem 1660lm, spektrum 840, 15W</t>
  </si>
  <si>
    <t>544183608</t>
  </si>
  <si>
    <t>1243-23654.11</t>
  </si>
  <si>
    <t>K - Venkovní svítidlo + pohybové čidlo, svítidlo přisazené na omítce s LED modulem, IP44</t>
  </si>
  <si>
    <t>-918482740</t>
  </si>
  <si>
    <t>1243-23654.12</t>
  </si>
  <si>
    <t>L - Svítidlo LED 3600/840 svítidlo přisazené, 24W, 4000K, difuzor opal</t>
  </si>
  <si>
    <t>-1308180947</t>
  </si>
  <si>
    <t>1243-23654.13</t>
  </si>
  <si>
    <t>LN - Svítidlo LED 3600/840 svítidlo přisazené, 24W, 4000K, difuzor opal + nouzové modul 1h</t>
  </si>
  <si>
    <t>-211080528</t>
  </si>
  <si>
    <t>1243-23654.14</t>
  </si>
  <si>
    <t>M - Venkovní svítidlo LED 5200/840 svítidlo přisazené na fasádě, 35W</t>
  </si>
  <si>
    <t>573462581</t>
  </si>
  <si>
    <t>202-501</t>
  </si>
  <si>
    <t>Světelný vývod ukončen objímkou</t>
  </si>
  <si>
    <t>648282074</t>
  </si>
  <si>
    <t>9998-5142</t>
  </si>
  <si>
    <t>Osvětlovácí stožár - stožár 6,2m</t>
  </si>
  <si>
    <t>-1954926024</t>
  </si>
  <si>
    <t>9998-5151</t>
  </si>
  <si>
    <t>Výložník 1,5m V1-1500</t>
  </si>
  <si>
    <t>-2007877225</t>
  </si>
  <si>
    <t>9998-5151.1</t>
  </si>
  <si>
    <t>Silníční osvětlení 100W, IP 65</t>
  </si>
  <si>
    <t>-2014692306</t>
  </si>
  <si>
    <t>1002-4448.1</t>
  </si>
  <si>
    <t>Přístroj spínače jednopólového</t>
  </si>
  <si>
    <t>-1104074866</t>
  </si>
  <si>
    <t>1243-8044</t>
  </si>
  <si>
    <t>Stávající svítidel</t>
  </si>
  <si>
    <t>-1416006046</t>
  </si>
  <si>
    <t>KABEL SILOVÝ,IZOLACE PVC CYKY-J 3x1.5 , pevně</t>
  </si>
  <si>
    <t>-1158829030</t>
  </si>
  <si>
    <t>Práce ve výškách např. plošina</t>
  </si>
  <si>
    <t>1739148035</t>
  </si>
  <si>
    <t>-922589228</t>
  </si>
  <si>
    <t>1123-4</t>
  </si>
  <si>
    <t>KU 68-1903 KRABICE ODBOČNÁ</t>
  </si>
  <si>
    <t>1642489851</t>
  </si>
  <si>
    <t>472127164</t>
  </si>
  <si>
    <t>-472622989</t>
  </si>
  <si>
    <t>-720349858</t>
  </si>
  <si>
    <t>1066-1413</t>
  </si>
  <si>
    <t>KABEL SILOVÝ,IZOLACE PVC, KABELOVÉ VSTUPY S PŘEDLISY PRO METRICKÉ VÝVODKY, BARVA ŠEDÁ, RAL 7035, MATERIÁL TERMOPLAST -  K 9105 4-10 mm2, Cu, 5 pól. svorkovnice</t>
  </si>
  <si>
    <t>-1308359730</t>
  </si>
  <si>
    <t>764718112</t>
  </si>
  <si>
    <t>782250389</t>
  </si>
  <si>
    <t>Vrtání otvorů - otvory v betonu a plechu</t>
  </si>
  <si>
    <t>1560781117</t>
  </si>
  <si>
    <t>-105044365</t>
  </si>
  <si>
    <t>Pomocná konstrukce - zpevnění trasy a uchycení netypické, ke svítidlům, k trasam, nepředvídatelné nástrahy</t>
  </si>
  <si>
    <t>429344384</t>
  </si>
  <si>
    <t>Spojka kabelů - spojka na stávající kabel AYKY-J 5x4 venkovního osvětlení</t>
  </si>
  <si>
    <t>-859516491</t>
  </si>
  <si>
    <t>-1809847792</t>
  </si>
  <si>
    <t>VYSEKANI RYH VE ZDIVU, CIHELNEM - HLOUBKA 30mm - Sire 30 mm</t>
  </si>
  <si>
    <t>-1116469870</t>
  </si>
  <si>
    <t>-485764253</t>
  </si>
  <si>
    <t>pomocné stavební práce, pomocné lešení,</t>
  </si>
  <si>
    <t>1530616309</t>
  </si>
  <si>
    <t>pomocné stavební práce, přiseknout stavební úpravy</t>
  </si>
  <si>
    <t>949979050</t>
  </si>
  <si>
    <t>-420307261</t>
  </si>
  <si>
    <t>-2053442029</t>
  </si>
  <si>
    <t>980202238</t>
  </si>
  <si>
    <t>-967950471</t>
  </si>
  <si>
    <t>9999-945</t>
  </si>
  <si>
    <t>JÁMA PRO STOŽÁRY VER.OSVĚTLENÍ,O OBJEMU DO 2 m3 - Zemina třídy 3,ručně</t>
  </si>
  <si>
    <t>2091077640</t>
  </si>
  <si>
    <t>-1942837902</t>
  </si>
  <si>
    <t>2106788337</t>
  </si>
  <si>
    <t>-820237722</t>
  </si>
  <si>
    <t>423214381</t>
  </si>
  <si>
    <t>-85407417</t>
  </si>
  <si>
    <t>03 - Vedlejší rozpočtové náklady</t>
  </si>
  <si>
    <t>VRN -   Vedlejší rozpočtové náklady</t>
  </si>
  <si>
    <t xml:space="preserve">    VRN1 - Průzkumné, geodetické a projektové práce</t>
  </si>
  <si>
    <t xml:space="preserve">    VRN3 - Zařízení staveniště</t>
  </si>
  <si>
    <t xml:space="preserve">    VRN7 - Provozní vlivy</t>
  </si>
  <si>
    <t>VRN</t>
  </si>
  <si>
    <t xml:space="preserve">  Vedlejší rozpočtové náklady</t>
  </si>
  <si>
    <t>VRN1</t>
  </si>
  <si>
    <t>Průzkumné, geodetické a projektové práce</t>
  </si>
  <si>
    <t>1024</t>
  </si>
  <si>
    <t>-12143115</t>
  </si>
  <si>
    <t>Pasportizace stávajicích objektů (viz bod 1.11 TPVS-Technické podmínky vodohospodářských staveb objednatele)</t>
  </si>
  <si>
    <t>81116133</t>
  </si>
  <si>
    <t>Fotodokumentace postupu výstavby (viz bod 1.3 TPVS-Technické podmínky vodohospodářských staveb objednatele)</t>
  </si>
  <si>
    <t>1006003691</t>
  </si>
  <si>
    <t>VRN3</t>
  </si>
  <si>
    <t>Zařízení staveniště</t>
  </si>
  <si>
    <t>1082169744</t>
  </si>
  <si>
    <t>Osazení informační tabule (tabule bude dodána objednatelem)</t>
  </si>
  <si>
    <t>1089388653</t>
  </si>
  <si>
    <t>VRN7</t>
  </si>
  <si>
    <t>Provozní vlivy</t>
  </si>
  <si>
    <t>1508254628</t>
  </si>
  <si>
    <t>chybná výměra u místností s novými příčkami</t>
  </si>
  <si>
    <t>Montáž talířového ventilu D přes 100 do 200 mm</t>
  </si>
  <si>
    <t>(WC) Závěsný klozet ze sanitární keramiky bílé barvy, oblého tvaru , min. venkovní délka 530 mm, hluboké splachování , otevřený oplachový okruh, sedátko z termoplastu s plastovými úchyty a poklopem, závěsný systém s integrovaným splachovacím modulem  pro závěsný klozet , montáž na stěnu, nádržka izolována proti rosení povrchu, tichý chod napouštěcího ventilu, izolované odpadní koleno, nosnost konstrukce 400 kg, objem nádržky 6 L.</t>
  </si>
  <si>
    <t>(U) Umyvadlo ze sanitární keramiky bílé barvy, oblého tvaru, s min. venkovní rozměry 600 x 460 mm, s přepadem , s přípravou pro stojánkovou směšovací baterii, montáž na stěnu pomocí dvojice šroubů, sifon z trvanlivého plastu bílé barvy s umyvadlovou výpustí v chromovém provedení, uzavření výpustě ovládané stisknutím zátky</t>
  </si>
  <si>
    <t xml:space="preserve">Nakládání výkopku z hornin třídy těžitelnosti I skupiny 1 až 3 </t>
  </si>
  <si>
    <t>167101101</t>
  </si>
  <si>
    <t>(2,46+2,2*2+1,8+1,7*2)*(1,5-0,36)</t>
  </si>
  <si>
    <t>0,9*2*0,15</t>
  </si>
  <si>
    <t>(0,6*0,42+0,60*2,25)*1,30</t>
  </si>
  <si>
    <t>Montáž ostnatého drátu na ocelové sloupky</t>
  </si>
  <si>
    <t>Montáž oplocení ze strojového pletiva se 3 napínacími dráty v přes 1,6 do 2,0 m na ocelové sloupky</t>
  </si>
  <si>
    <t xml:space="preserve">pletivo drátěné se čtvercovými oky 50x50 mm výšky 2000mm, pozinkovaný drát průměr 2,5 mm, poplastovaný v zelené barvě, napínací ráty ve 3 úrovních s napínacími elementy </t>
  </si>
  <si>
    <t>ostnatý drát čtyřostný z drátu průměru 1,7 mm s poplastovaným povrchem v zelené barvě</t>
  </si>
  <si>
    <t>6,35*(2,5*3+2,75*2)</t>
  </si>
  <si>
    <t>82,55*1,03 'Přepočtené koeficientem množství</t>
  </si>
  <si>
    <t>Prefabrikovaná mikroštěrbinová trouba z betonu profil 220x260 mm s přerušovanou štěrbinou se spádem dna 0,5 % , délka prvků 1 m, uložená do betonového lože. Na konci záslepka.</t>
  </si>
  <si>
    <t xml:space="preserve">Prefabrikovaný vpusťový díl mikroštěrbinové trouby z betonu profil 220x260 mm, délka 1 m,  ve složení  : 1x vpusťový kus základní + záslepka drážka + 1x hrnec vpusti + 1x krycí deska + 2x kalový koš kovový. Uložený do betonového lože. </t>
  </si>
  <si>
    <t>9,9*0,5*(0,19+0,25)</t>
  </si>
  <si>
    <t>"Z1" - podkladní beton v administrativní části</t>
  </si>
  <si>
    <t>(3,24*1,1+3,05*0,8)*0,25</t>
  </si>
  <si>
    <t>Odstranění ostnatého drátu nad pletivem</t>
  </si>
  <si>
    <t xml:space="preserve">nad místnostmi 1,10 až 1.16 </t>
  </si>
  <si>
    <t>stávající plocha zpevněné plochy - ZP 2</t>
  </si>
  <si>
    <t>stávající beton , pro rampu - ZP 3</t>
  </si>
  <si>
    <t>9,9*0,5*(1,0-0,19-0,25)</t>
  </si>
  <si>
    <t>2,46*(1,955+0,28)*(1,2-0,2)</t>
  </si>
  <si>
    <t>0,80*0,50*(14,40+13,00+27,40)</t>
  </si>
  <si>
    <t>"výkopy pro ZTI uvnitř objektu, viz. výkres Půdorys 1.PP"</t>
  </si>
  <si>
    <t>( 8,5*0,8+3,3*1+0,5*0,7)*1,1</t>
  </si>
  <si>
    <t>( 8,5*0,8+3,3*1+0,5*0,7)*0,7</t>
  </si>
  <si>
    <t>( 8,5*0,8+3,3*1+0,5*0,7)*0,4</t>
  </si>
  <si>
    <t>1,20*(1,63*1,26)</t>
  </si>
  <si>
    <t>sokl XPS l. 100 mm technická část … 21,92-15,34</t>
  </si>
  <si>
    <t>schodiště … 5,498-2,465</t>
  </si>
  <si>
    <t>0,30*5*0,6</t>
  </si>
  <si>
    <t>pro osazení chráničky u brány … 1,2-0,9</t>
  </si>
  <si>
    <t>nový základový pás</t>
  </si>
  <si>
    <t>výkopy pro ZTI uvnitř objektu … 11,495-7,315</t>
  </si>
  <si>
    <t>*1,8 'Přepočtené koeficientem množství</t>
  </si>
  <si>
    <t xml:space="preserve">Uložení sypaniny na skládky </t>
  </si>
  <si>
    <t>131251102</t>
  </si>
  <si>
    <t>Hloubení jam nezapažených v hornině třídy těžitelnosti I skupiny 3 objem do 50 m3 strojně</t>
  </si>
  <si>
    <t>-1265151060</t>
  </si>
  <si>
    <t>ZP.01 - betonová dlažba</t>
  </si>
  <si>
    <t xml:space="preserve">Zásyp jam, šachet rýh nebo kolem objektů sypaninou se zhutněním </t>
  </si>
  <si>
    <t>174101101</t>
  </si>
  <si>
    <t>13,5*6,3</t>
  </si>
  <si>
    <t>4,95*0,025</t>
  </si>
  <si>
    <t>"2.13, 2.13A"</t>
  </si>
  <si>
    <t>(0,9*2-0,75*0,75)*0,15</t>
  </si>
  <si>
    <t>0,8*0,65</t>
  </si>
  <si>
    <t>1,65*3,05</t>
  </si>
  <si>
    <t>(1,15+2,775+0,9)*3,25-0,7*2</t>
  </si>
  <si>
    <t>1*3,25-0,7*2</t>
  </si>
  <si>
    <t>3,35*3,05-0,7*2*2</t>
  </si>
  <si>
    <t>2,75*3,05-0,7*2</t>
  </si>
  <si>
    <t>1,7*3,25</t>
  </si>
  <si>
    <t>1,2*3,25</t>
  </si>
  <si>
    <t>1,95*3,25</t>
  </si>
  <si>
    <t>4,5*3,05-0,8*2</t>
  </si>
  <si>
    <t>(3,35+0,15+3,825)*3,05-0,8*2*2</t>
  </si>
  <si>
    <t>(3,1+2,85)*3,05</t>
  </si>
  <si>
    <t>0,97*2,25</t>
  </si>
  <si>
    <t>3,35*2,85</t>
  </si>
  <si>
    <t>Montáž vjezdových bran samonosných jednokřídlových , včetně elektrického pohonu</t>
  </si>
  <si>
    <t>0,20*0,20*9,7</t>
  </si>
  <si>
    <t>2*0,3*9,7</t>
  </si>
  <si>
    <t>9,7*0,62*4*1,20/1000</t>
  </si>
  <si>
    <t>9,7*4*0,62*0,22/1000</t>
  </si>
  <si>
    <t>1,35*((0,78+0,30)*0,18+0,78*0,18)</t>
  </si>
  <si>
    <t>1,75*((0,78+0,30)*0,18+0,78*0,18)</t>
  </si>
  <si>
    <t>(1,35+(0,78+0,30)*2)*(0,18+0,18)</t>
  </si>
  <si>
    <t>(1,75+(0,78+0,30)*2)*(0,18+0,18 )</t>
  </si>
  <si>
    <t>schody vstup do 1.21, 1.22</t>
  </si>
  <si>
    <t>(1,35+1,65)*(0,4*3)</t>
  </si>
  <si>
    <t>"tl200mm" 23,625*2</t>
  </si>
  <si>
    <t>"tl.75mm" 5,03*2</t>
  </si>
  <si>
    <t>"tl100mm" 76,468*2</t>
  </si>
  <si>
    <t>"tl150mm" 95,651*2</t>
  </si>
  <si>
    <t>"tl125mm" 5,525*2</t>
  </si>
  <si>
    <t>(0,925+0,5)*(22,375+12,40)*2</t>
  </si>
  <si>
    <t>čelo přesahu střechy</t>
  </si>
  <si>
    <t>Tenkovrstvá mozaiková zrnitá omítka vnějších stěn, pojeno pryskyřicí ( např. Marmolit ) včetně penetrace</t>
  </si>
  <si>
    <t>(6,5+4,5)*0,15</t>
  </si>
  <si>
    <t>0,5*0,7*0,15</t>
  </si>
  <si>
    <t>631362021</t>
  </si>
  <si>
    <t>Výztuž mazanin ze svařovaných sítí KARI</t>
  </si>
  <si>
    <t>(6,5+4,5+0,5*0,7)*3,1/1000</t>
  </si>
  <si>
    <t>381,92*0,2</t>
  </si>
  <si>
    <t>Okapový chodník z betonových dlaždic tl 60 mm kladených do pískového lože</t>
  </si>
  <si>
    <t>schodiště do 1.19-1.22</t>
  </si>
  <si>
    <t>(1,75*2+1,45*2)*(0,75*0,5+0,3*0,35)</t>
  </si>
  <si>
    <t>schodiště vstupní</t>
  </si>
  <si>
    <t>1,8*(1,5*0,5+1,2*0,66)</t>
  </si>
  <si>
    <t>(3,7+1,85+1,1+0,8)*3,3-0,6*2*2-0,8*2</t>
  </si>
  <si>
    <t>6,25*3,05</t>
  </si>
  <si>
    <t>(1,8+1)*3,05</t>
  </si>
  <si>
    <t>1,25*3,05+1*2</t>
  </si>
  <si>
    <t>((1,725*3,05)-(0,7*2))*2+((1,725*3,05)-(0,8*2))*2+(1+1,5+0,8)*3,05</t>
  </si>
  <si>
    <t>0,20*1,20*2,67*2</t>
  </si>
  <si>
    <t xml:space="preserve">"1NP" </t>
  </si>
  <si>
    <t>"1.11+1.12+1.13+1.14+1.15" (15,47+15,16+16,96+26,73+13,16)*0,15</t>
  </si>
  <si>
    <t>"2.04+2.05+2.06" (18,13+28,29+28,41)*0,1</t>
  </si>
  <si>
    <t>"Z1" - podlaha a podkladní beton v elektrokotelně</t>
  </si>
  <si>
    <t>(3,26*0,8+1,58*0,8+0,5*0,7)*(0,2+0,25)</t>
  </si>
  <si>
    <t>1.NP</t>
  </si>
  <si>
    <t>2.NP</t>
  </si>
  <si>
    <t>1,52*0,65*0,3</t>
  </si>
  <si>
    <t>"m.č. 1.03, rozšíření otvoru"</t>
  </si>
  <si>
    <t>1,52*0,35*0,3</t>
  </si>
  <si>
    <t>"m.č. 1.11, otvor pro dveře"</t>
  </si>
  <si>
    <t>0,9*2*0,25</t>
  </si>
  <si>
    <t xml:space="preserve">"m.č.2,09, otvor pro dveře" </t>
  </si>
  <si>
    <t>974031664</t>
  </si>
  <si>
    <t>Vysekání rýh ve zdivu cihelném na jakoukoliv maltu pro vtahování nosníků do zdi do hl. 150 mm při v.nosníku do 150 mm</t>
  </si>
  <si>
    <t>mistn. Č. 1,02, 1,03 - I140, 3 ks na jednu stranu otvoru</t>
  </si>
  <si>
    <t>1,05*3*3</t>
  </si>
  <si>
    <t>1.NP - pro překlady nad novými dveřmi</t>
  </si>
  <si>
    <t>2.NP - pro překlady nad novými dveřmi</t>
  </si>
  <si>
    <t>1,3*2</t>
  </si>
  <si>
    <t>1,3*3</t>
  </si>
  <si>
    <t>"m.č. 1.10, pro ocelové sloupy "</t>
  </si>
  <si>
    <t>3,2*4</t>
  </si>
  <si>
    <t>Řezání stávajících betonových mazanin vyztužených hl do 250 mm</t>
  </si>
  <si>
    <t>3+1,5+3,5+2,5+1,1+(0,77+1,1+0,8+1,58+2,25+0,8+0,7+0,5*2)*2</t>
  </si>
  <si>
    <t>Otryskání povrchu betonu před provedením epoxydové stěrky</t>
  </si>
  <si>
    <t xml:space="preserve">Vyvěšení dveřních křídel plochy do 2 m2 </t>
  </si>
  <si>
    <t>968061125</t>
  </si>
  <si>
    <t>968061113</t>
  </si>
  <si>
    <t xml:space="preserve">Vyvěšení okenních křídel plochy přes 2 m2 </t>
  </si>
  <si>
    <t>968061112</t>
  </si>
  <si>
    <t xml:space="preserve">Vyvěšení okenních  křídel plochy do 2 m2 </t>
  </si>
  <si>
    <t>1.NP … 6*3+4*1</t>
  </si>
  <si>
    <t>2.NP … 10*3+3*1</t>
  </si>
  <si>
    <t>0,80*0,50*(35,975+13,25+22,875)</t>
  </si>
  <si>
    <t>(0,80-0,20)*0,40*(35,975+13,25+22,875)</t>
  </si>
  <si>
    <t>sokl XPS l. 200 mm aministrativní část … 28,84-17,304</t>
  </si>
  <si>
    <t>*0,02 'Přepočtené koeficientem množství</t>
  </si>
  <si>
    <t>(0,6+0,6)*0,68*0,20*4</t>
  </si>
  <si>
    <t>základy pro tepelné čerpadlo</t>
  </si>
  <si>
    <t>0,6*(0,68+0,20)*2*4</t>
  </si>
  <si>
    <t>štít západ</t>
  </si>
  <si>
    <t>12,4*(1,35+0,45)/2</t>
  </si>
  <si>
    <t>šíty sever</t>
  </si>
  <si>
    <t>12,4*(1,25+0,35)/2</t>
  </si>
  <si>
    <t>zpevněná plocha ZP.02- doplněná skladba po výkopu pro sokl</t>
  </si>
  <si>
    <t>7,66*(23,13*2+13,56)+6,62*13,18</t>
  </si>
  <si>
    <t>15,07*(1,6+0,6)/2</t>
  </si>
  <si>
    <t>15,07*1,07</t>
  </si>
  <si>
    <t>-(2,1*1,5*10+0,6*0,75*3+1,5*1,5+2,8*2,63)</t>
  </si>
  <si>
    <t>-(1,75*2,4*2+0,9*1,5+1,45*2,4*2+2,8*(6,26-2,63)+1,8*2,4+2,1*1,5*6+0,6*0,75*3)</t>
  </si>
  <si>
    <t>-(1,75*2,4*2+0,9*1,5+1,45*2,4*2+2,8*(6,26-2,63)+1,8*2,4+2,1*1,5*6+0,6*0,75*3+0,6*0,63*3)</t>
  </si>
  <si>
    <t>pod přesahem štítů</t>
  </si>
  <si>
    <t>15,07*0,45*2</t>
  </si>
  <si>
    <t xml:space="preserve">sokl </t>
  </si>
  <si>
    <t>((14,30+13,36+28,66-2,4*2-2,7)+(36,33+13,61+23,2-2,46-1,75-1,45))*0,2</t>
  </si>
  <si>
    <t>7*(14,40+1,20+27,86+1,20+13,18+1,20)+8*13,6</t>
  </si>
  <si>
    <t>8*(23,3+1,20)*2+9*14</t>
  </si>
  <si>
    <t>(0,60*0,90*3)</t>
  </si>
  <si>
    <t>1,5*1,5*8+2,10*1,50*6</t>
  </si>
  <si>
    <t>2,10*1,50*10+1,5*1,5</t>
  </si>
  <si>
    <t>968072559</t>
  </si>
  <si>
    <t>Vybourání kovových rámů vrat pl přes 5 m2</t>
  </si>
  <si>
    <t>3,00*3,30*2+3,297*3,60</t>
  </si>
  <si>
    <t>1,8*2,4+1,45*2,4*2+1,75*2,4*2</t>
  </si>
  <si>
    <t>Vyvěšení  křídel vrat plochy do 4 m2</t>
  </si>
  <si>
    <t>0,55*(14,40+13,00+27,40+35,975+13,25+22,875)</t>
  </si>
  <si>
    <t xml:space="preserve">sokl XPS </t>
  </si>
  <si>
    <t>14,40+13,00+27,40+35,975+13,25+22,875-1,8-3,3*2-3-1,75-1,45</t>
  </si>
  <si>
    <t>13,16+26,4+16,74+15,04+3,06+1,48+7,37+2,1+2,18+6,28+1,5+1,45+18,5+7,13+14,98+9,56</t>
  </si>
  <si>
    <t>"1.02,1.03,1.04,1.05,1.06,1.07,1.08,1.09,1.10,1.11,1.12,1.13,1.14,1.14A,1.15,1.16"</t>
  </si>
  <si>
    <t>150,374*0,00033 'Přepočtené koeficientem množství</t>
  </si>
  <si>
    <t>146,93*1,15 'Přepočtené koeficientem množství</t>
  </si>
  <si>
    <r>
      <t>pás asfaltový natavitelný modifikovaný SBS tl 4,0mm s vložkou ze skleněné tkaniny a spalitelnou PE fólií nebo jemnozrnným minerálním posypem na horním povrchu, radový odpor R</t>
    </r>
    <r>
      <rPr>
        <i/>
        <vertAlign val="subscript"/>
        <sz val="9"/>
        <color rgb="FF0000FF"/>
        <rFont val="Arial CE"/>
        <family val="2"/>
      </rPr>
      <t>Rn</t>
    </r>
    <r>
      <rPr>
        <i/>
        <sz val="9"/>
        <color rgb="FF0000FF"/>
        <rFont val="Arial CE"/>
        <family val="2"/>
      </rPr>
      <t xml:space="preserve"> &gt; 38Ms/m</t>
    </r>
  </si>
  <si>
    <t>22,40*12,40</t>
  </si>
  <si>
    <t>3,444*1,2'Přepočtené koeficientem množství</t>
  </si>
  <si>
    <t>610,08*0,00032 'Přepočtené koeficientem množství</t>
  </si>
  <si>
    <t>22,4*12,4</t>
  </si>
  <si>
    <t>22,4*12,40</t>
  </si>
  <si>
    <t>0,425*(22,4+12,40)*2</t>
  </si>
  <si>
    <t>0,3*(23+12,40)*2</t>
  </si>
  <si>
    <t>0,5*(26,80+12,40)*2</t>
  </si>
  <si>
    <t>0,30*(27,40+12,40)*2</t>
  </si>
  <si>
    <t>610,08*1,15 'Přepočtené koeficientem množství</t>
  </si>
  <si>
    <t>9,84+3,4+1,4+25,75+10,38+12,01+4,75</t>
  </si>
  <si>
    <t>*1,02 'Přepočtené koeficientem množství</t>
  </si>
  <si>
    <t>*2,04 'Přepočtené koeficientem množství</t>
  </si>
  <si>
    <t>(2,85+3,1)*2,85</t>
  </si>
  <si>
    <t>*1,05 'Přepočtené koeficientem množství</t>
  </si>
  <si>
    <t>0,925*(22,4+12,40)*2+22,4*0,5*2</t>
  </si>
  <si>
    <t>0,925*(26,80+12,40)*2+12,4*0,96+(26,8*2+12,4)*0,5</t>
  </si>
  <si>
    <t>sokl XPS l. 200 mm administrativní část</t>
  </si>
  <si>
    <t>(36,33+13,61+23,2-2,46-1,75-1,45)*0,8</t>
  </si>
  <si>
    <t>(14,30+13,36+28,66-2,4*2-2,7)*0,8</t>
  </si>
  <si>
    <t>53,984*1,05 'Přepočtené koeficientem množství</t>
  </si>
  <si>
    <t>39,056*1,05 'Přepočtené koeficientem množství</t>
  </si>
  <si>
    <t>480,495+147,98*0,2</t>
  </si>
  <si>
    <t>skladba S.01 administrativní část</t>
  </si>
  <si>
    <t>skladba S.02 technická část</t>
  </si>
  <si>
    <t>323,33+52,038*0,1</t>
  </si>
  <si>
    <t>(26,80-6,5)*12,20</t>
  </si>
  <si>
    <t>22,375*12,20</t>
  </si>
  <si>
    <t>12,2*6,5</t>
  </si>
  <si>
    <t>skladba V.04</t>
  </si>
  <si>
    <t>4,15*(9,475-11*0,08)+1,55*(6-7*0,08)</t>
  </si>
  <si>
    <t>4,15*9,475+1,55*6</t>
  </si>
  <si>
    <t>121101101</t>
  </si>
  <si>
    <t>Sejmutí ornice s vodorovným přemístěním na vzdálenost do 50 m</t>
  </si>
  <si>
    <t>ZP.01 - zpevněná plocha</t>
  </si>
  <si>
    <t>181311105</t>
  </si>
  <si>
    <t>Rozprostření ornice tl vrstvy do 300 mm v rovině nebo ve svahu do 1:5 ručně</t>
  </si>
  <si>
    <t>13,5*6,3*(0,52-0,30)</t>
  </si>
  <si>
    <t>13,5*6,3*0,30</t>
  </si>
  <si>
    <t>1.2 - 1.5 krokev 80/180</t>
  </si>
  <si>
    <t>2.1, 2.2  vaznice 120/180 mm</t>
  </si>
  <si>
    <t>3.1 - 3.3 hřebenová vaznice 80/180 mm</t>
  </si>
  <si>
    <t>3.4, 3.5 mezilehlá vaznice 120/180 mm</t>
  </si>
  <si>
    <t>7,50*(14,825+29,06)+(29,06-14,825)*5,6/cos(8°)</t>
  </si>
  <si>
    <t>1573,879*0,024</t>
  </si>
  <si>
    <t>osová vzdálenost 0,625 m</t>
  </si>
  <si>
    <t>786,94/0,625</t>
  </si>
  <si>
    <t>1259,104*0,08*0,08</t>
  </si>
  <si>
    <t>Ocelové táhlo s profilu 80x5 mm včetně kotvení do nosné konstrukce</t>
  </si>
  <si>
    <t>7.2, 7.3</t>
  </si>
  <si>
    <t>20*2,0+24*1,8</t>
  </si>
  <si>
    <t>osaová vzdálenost kotvení 2500 mm</t>
  </si>
  <si>
    <t>9*3+10*3+3+2*2</t>
  </si>
  <si>
    <t>3*(23,00+27,00)+6</t>
  </si>
  <si>
    <t>(3*(23,00+27,00)+6)*0,14*0,12</t>
  </si>
  <si>
    <t>1,818+30,395+37,773+8,058</t>
  </si>
  <si>
    <t>(22,975+13,125)*2</t>
  </si>
  <si>
    <t>( 13+27,4)*2</t>
  </si>
  <si>
    <t>viz položka bednění střech</t>
  </si>
  <si>
    <t xml:space="preserve">šablony pro drážkovou krytinu s dvojitou stojací drážkou, hladký povrtch , šířka profilu 0,4-0,6 m, plech ocelový tl. 0,6 mm oboustranně žárově zinkovaný min. 275g/m2,  opatřený z výroby barevnou úpravou polyester nebo PVDF tl. min. 35 µm odstín RAL 9006 </t>
  </si>
  <si>
    <t>24,6*2+29,06+14,82</t>
  </si>
  <si>
    <t>24,6+6+29,06</t>
  </si>
  <si>
    <t>mezisoučet</t>
  </si>
  <si>
    <t>pojistná hydroizolační folie, polypropylen tl. 0,5 mm, plošná hmotnost 160 g/m2, spoje  pásů přelepeny oboustranně lepící páskou</t>
  </si>
  <si>
    <t>difúzní membrána s drenážní vrstvou pro šikmé střechy s falcovanou krytinou, polypropylen tl. 8,0 mm, plošná hmotnost 500 g/m2, ekvivalentní dif. tl. 0,02 m (+0,02/-0,01 m),, spoje  pásů přelepeny oboustranně lepící páskou</t>
  </si>
  <si>
    <t>22,375*12,20*2</t>
  </si>
  <si>
    <t>26,80*12,20</t>
  </si>
  <si>
    <t>22,375*12,20/0,625*0,06*0,16*2</t>
  </si>
  <si>
    <t>22,375*12,2</t>
  </si>
  <si>
    <t>22,375*12,20*0,024</t>
  </si>
  <si>
    <t>(9,675*4,35+6,145*1,55)*0,024</t>
  </si>
  <si>
    <t>9,675*4,35+6,145*1,55</t>
  </si>
  <si>
    <t>11*4,35</t>
  </si>
  <si>
    <t>2*5,6</t>
  </si>
  <si>
    <t>11*4,35*0,08*0,20</t>
  </si>
  <si>
    <t>2*5,60*0,10*0,12</t>
  </si>
  <si>
    <t>1,239+1,135</t>
  </si>
  <si>
    <t>Montáž tepelné izolace stěn připevněním talířovými hmoždinkami jednovrstvá</t>
  </si>
  <si>
    <t>Montáž tepelné izolace stěn připevněním talířovými hmoždinkami dvouvrstvá</t>
  </si>
  <si>
    <t>6,7*(14,40+13,36+27,86)</t>
  </si>
  <si>
    <t>(7,93-0,15)*(23,13*2+13,56)+6,7*13,18</t>
  </si>
  <si>
    <t>*2*1,02 'Přepočtené koeficientem množství</t>
  </si>
  <si>
    <t>(26,80-6,5)*(12,2-0,14*3)+6,5*12,2</t>
  </si>
  <si>
    <t>((26,80-6,5)*(12,2-0,14*3)+6,5*12,2)*0,024</t>
  </si>
  <si>
    <t>13,49+14,301</t>
  </si>
  <si>
    <t>3,06+1,48+7,37+2,10+2,18+6,28+1,5+1,45+18,5+7,13</t>
  </si>
  <si>
    <t>*1,1 'Přepočtené koeficientem množství</t>
  </si>
  <si>
    <t>míst. 1.08</t>
  </si>
  <si>
    <t>Montáž kazetového podhledu z kazet 600x600 mm na zavěšenou viditelnou nosnou konstrukci</t>
  </si>
  <si>
    <t>9,2+13,16+26,4+16,74+15,04+9,56+29,64</t>
  </si>
  <si>
    <t>Výplně otvorů venkovní</t>
  </si>
  <si>
    <t>Přesun hmot  pro výplně otvorů v objektech v přes 6 do 12 m</t>
  </si>
  <si>
    <t>D + M okno plastové třídílné, otevíravé a sklápěcí, rozměr 2 100 x 1 500 mm, hloubka rámu 82,5 mm, ocelová výztuha tl. 2 mm, Uf = 0,92 W/m2K, Ug=0,60 W/m2K, středové těsnění, kování s mikroventilací, vč. parotěsné a paropropustné pásky, U=0,9 W/m2K, Rw=32 dB</t>
  </si>
  <si>
    <t>D + M dveře hliníkové otvíravé dvoukřídlé, rozměr 1 750 x 2 400 mm, křídlo š. 900 mm, Ug= 0,60 W/m2K, včetně parotěsné a paropropustné pásky, U=0,9 W/m2K, Rw=32 dB, horní 1/3 vyplněno  tepelně izolačním dvojsklem, dolní 2/3 výplň tepelně izolační vložkou, rámy s barevnou úpravou RAL 8001</t>
  </si>
  <si>
    <t>D + M dveře hliníkové otvíravé dvoukřídlé, rozměr 1 450 x 2 400 mm, křídlo š. 900 mm, Ug= 0,60 W/m2K, včetně parotěsné a paropropustné pásky, U=0,9 W/m2K, Rw=32 dB, horní 1/3 vyplněno  tepelně izolačním dvojsklem, dolní 2/3 výplň tepelně izolační vložkou, rámy s barevnou úpravou RAL 8001</t>
  </si>
  <si>
    <t>D + M okno plastové třídílné, otevíravé a sklápěcí, rozměr 2 100 x 1 500 mm, hloubka rámu 82,5 mm, ocelová výztuha tl. 2 mm, Uf = 0,92 W/m2K, Ug=0,60 W/m2K, středové těsnění, kování s mikroventilací, vč. parotěsné a paropropustné pásky, U=0,9 W/m2K, Rw=32 dB, rámy v barvě bílé ( interiér ) a zlatý dub ( exteriér )</t>
  </si>
  <si>
    <t>D + M okno plastové jednokřídlé, , otevíravé a sklápěcí, rozměr 1 500 x 1 500 mm, hloubka rámu 82,5 mm, ocelová výztuha tl. 2 mm, Uf = 0,92 W/m2K, Ug=0,60 W/m2K, středové těsnění, kování s mikroventilací, vč. parotěsné a paropropustné pásky, U=0,9 W/m2K, Rw=32 dB, rámy v barvě bílé ( interiér ) a zlatý dub ( exteriér )</t>
  </si>
  <si>
    <t>D + M okno plastové jednokřídlé, otevíravé a sklápěcí,  rozměr 900 x 1 500 mm, hloubka rámu 82,5 mm, ocelová výztuha tl. 2 mm, Uf = 0,92 W/m2K, Ug=0,60 W/m2K, středové těsnění, kování s mikroventilací, vč. parotěsné a paropropustné pásky, U=0,9 W/m2K, Rw=32 dB, rámy v barvě bílé ( interiér ) a zlatý dub ( exteriér )</t>
  </si>
  <si>
    <t>D + M okno plastové třídílné fixní, rozměr 2 100 x 1 500 mm, hloubka rámu 82,5 mm, ocelová výztuha tl. 2 mm, Uf = 0,92 W/m2K, Ug=0,60 W/m2K, středové těsnění, kování s mikroventilací, vč. parotěsné a paropropustné pásky, U=0,9 W/m2K, Rw=32 dB, rámy v barvě bílé ( interiér ) a zlatý dub ( exteriér )</t>
  </si>
  <si>
    <t>D + M okno plastové třídílné, , otevíravé a sklápěcí,rozměr 2 100 x 1 500 mm, hloubka rámu 82,5 mm, ocelová výztuha tl. 2 mm, Uf = 0,92 W/m2K, Ug=0,60 W/m2K, středové těsnění, kování s mikroventilací, vč. parotěsné a paropropustné pásky, U=0,9 W/m2K, Rw=32 dB, rámy v barvě bílé ( interiér ) a zlatý dub ( exteriér )</t>
  </si>
  <si>
    <t>D + M okno plastové jednokřídlé, , otevíravé a sklápěcí,rozměr 1 500 x 1 500 mm, hloubka rámu 82,5 mm, ocelová výztuha tl. 2 mm, Uf = 0,92 W/m2K, Ug=0,60 W/m2K, středové těsnění, kování s mikroventilací, vč. parotěsné a paropropustné pásky, U=0,9 W/m2K, Rw=32 dB, rámy v barvě bílé ( interiér ) a zlatý dub ( exteriér )</t>
  </si>
  <si>
    <t>D + M okno plastové třídílné,, otevíravé a sklápěcí, rozměr 2 100 x 1 500 mm, hloubka rámu 82,5 mm, ocelová výztuha tl. 2 mm, Uf = 0,92 W/m2K, Ug=0,60 W/m2K, středové těsnění, kování s mikroventilací, vč. parotěsné a paropropustné pásky, U=0,9 W/m2K, Rw=32 dB,pákový mechanismus, rámy v barvě bílé ( interiér ) a zlatý dub ( exteriér )</t>
  </si>
  <si>
    <t>"T01,02,03,04,05,07"</t>
  </si>
  <si>
    <t>Montáž dveřních křídel otvíravých jednokřídlových požárních do ocelové zárubně</t>
  </si>
  <si>
    <t>"T  09-13,17-20,29"</t>
  </si>
  <si>
    <t>"T23, 24"</t>
  </si>
  <si>
    <t>"T 25"</t>
  </si>
  <si>
    <t>"T 06, 14, 15, 25"</t>
  </si>
  <si>
    <t>Přesun hmot  pro kce truhlářské v objektech v přes 6 do 12 m</t>
  </si>
  <si>
    <t>Přesun hmot  pro izolace proti vodě, vlhkosti a plynům v objektech v přes 6 do 12 m</t>
  </si>
  <si>
    <t>Přesun hmot pro krytiny povlakové v objektech v přes 6 do 12 m</t>
  </si>
  <si>
    <t>Přesun hmot pro izolace tepelné v objektech v přes 6 do 12 m</t>
  </si>
  <si>
    <t>Přesun hmot pro kce tesařské v objektech v přes 6 do 12 m</t>
  </si>
  <si>
    <t>Přesun hmot pro sádrokartonové konstrukce v objektech v přes 6 do 12 m</t>
  </si>
  <si>
    <t>Přesun hmot  pro konstrukce klempířské v objektech v přes 6 do 12 m</t>
  </si>
  <si>
    <t>Přesun hmot pro krytiny skládané v objektech v přes 6 do 12 m</t>
  </si>
  <si>
    <t xml:space="preserve">JAKL 60x80x4 </t>
  </si>
  <si>
    <t xml:space="preserve">JAKL 80x80x4 </t>
  </si>
  <si>
    <t>U 140</t>
  </si>
  <si>
    <t>U 120</t>
  </si>
  <si>
    <t xml:space="preserve">ocel profilová jakost S235JR (11 375) průřez U </t>
  </si>
  <si>
    <t>(4,4*2+3,8*4)*8,211/1000</t>
  </si>
  <si>
    <t>(5,33*6+3,6+3*2)*9,222/1000</t>
  </si>
  <si>
    <t>3,9*16/1000</t>
  </si>
  <si>
    <t>3,3*2*13,4/1000</t>
  </si>
  <si>
    <t>profil ocelový tenkostěnný 80x60x4mm, 80x80x4 mm, 100x100x4 mm</t>
  </si>
  <si>
    <t xml:space="preserve">JAKL 100x100x4 </t>
  </si>
  <si>
    <t>3,19*4*12/1000</t>
  </si>
  <si>
    <t>plech</t>
  </si>
  <si>
    <t>P15 … (0,3*0,2+,15*0,275)*8*0,118</t>
  </si>
  <si>
    <t>P10 … (0,15*0,15/2)*8*0,08</t>
  </si>
  <si>
    <t>0,734+0,151+0,103</t>
  </si>
  <si>
    <t>Dodávka a montáž dvoukřídlých sprchových dveří z bezpečnostního skla, rozměr : š.950 mm, v. 2100 mm</t>
  </si>
  <si>
    <t>Dodávka a montáž jednokřídlých sprchových dveří z bezpečnostního skla, rozměr : š.950 mm, v. 2100 mm</t>
  </si>
  <si>
    <t>"kovová konstrukce pro montáž vrat Z1, Z2, Z3 a sloupky OS.01 v místn. 1.11 a 1.14"</t>
  </si>
  <si>
    <t>Z01 -podrobný popis viz PSV zámečnické</t>
  </si>
  <si>
    <t>D + M bezpečnostní mříž do okna, stavební rozměr okna 1 500 x 1 500 mm, tyčový materiál D 10 mm, žárově zinkováno, základní a vrchní nátěr v odstínu RAL 1017, včetně kotvení do stěny</t>
  </si>
  <si>
    <t>D + M bezpečnostní mříž do okna, stavební rozměr okna 2100 x 1 500 mm, tyčový materiál D 10 mm, žárově zinkováno, základní a vrchní nátěr v odstínu RAL 1017, včetně kotvení do stěny</t>
  </si>
  <si>
    <t>D + M bezpečnostní mříž do okna, stavební rozměr okna 900 x 1 500 mm, tyčový materiál D 10 mm, žárově zinkováno, základní a vrchní nátěr v odstínu RAL 1017, včetně kotvení do stěny</t>
  </si>
  <si>
    <t>D + M venkovní bezpečnostní roleta, rozměr 2 100 x 1 500 mm, zateplené PUR pěnou, motorické, třída bezpečnosti RC2, lamely hliníkové zateplené, šířka lamely 42 mm, barva RAL 1017, box skrytý v pod kazetovým opláštěním,vodítka na rám okna, ovládání nástěnným vypínačem a centrálně ze systému zabezpečovací signalizace ( v řídící jednotce pro všech 5 rolet bude bezpotenciální kontakt pro ovádání ze systému elektrické zabezpečovací signalizace )</t>
  </si>
  <si>
    <t xml:space="preserve">D + M střešní poklop, světlý rozměr 600 x 600 mm, materiál ocelový plech žárově zikovaný a opatřený barevnou povrchovou úpravou RAL 9006, zajištění v uzavřené i v otevřené poloze </t>
  </si>
  <si>
    <t>"zábradlí schodiště"</t>
  </si>
  <si>
    <t>"1.PP-1.NP" ( 3,7*4+0,4)*1,2</t>
  </si>
  <si>
    <t>"1.NP-2.NP" ( 3,7*4+2,0+0,4*4)*1,2</t>
  </si>
  <si>
    <t>"Z31"2 ks  záruběň 1450x1970 mm</t>
  </si>
  <si>
    <t>"Z32" 10 ks zárubeň 800x1970 mm</t>
  </si>
  <si>
    <t>642942111</t>
  </si>
  <si>
    <t>Osazování dveřních ocelových zárubní o ploš otvoru do 2,5 m2s vybetonováním prahu</t>
  </si>
  <si>
    <t>"Z48, Z49, Z55"</t>
  </si>
  <si>
    <t>"Z54"</t>
  </si>
  <si>
    <t>"Z52"</t>
  </si>
  <si>
    <t>"Z50, Z 51, Z56"</t>
  </si>
  <si>
    <t>"Z53"</t>
  </si>
  <si>
    <t>"Z45, 46, 48, Z49, Z50, Z51, Z52, Z53, Z54, Z55, Z56"</t>
  </si>
  <si>
    <t>"Z45, Z46 "</t>
  </si>
  <si>
    <t>642942221</t>
  </si>
  <si>
    <t>Osazování dveřních ocelových zárubní o ploš otvoru do 4,5 m2 s vybetonováním prahu</t>
  </si>
  <si>
    <t>"Z44, Z47 "</t>
  </si>
  <si>
    <t>"Z44 "</t>
  </si>
  <si>
    <t>"Z47 "</t>
  </si>
  <si>
    <t>D + M venkovní čistící zóna - hliníková gumová venkovní vstupní rohož, rozměr 1 140 x 1 575 mm, včetně osazovacího rámu výšky 25 mm</t>
  </si>
  <si>
    <t>D + M vstupní čistící zóna, rozměr 1 070 x 1 800 mm, tl. 9,00 mm, tři typy vláken různé hrubosti ve tvaru pásů, polymidové vlákna natavena na vinylovém podkladu, včetně osazovacího rámu výšky 25 mm - dle výpisu prvků</t>
  </si>
  <si>
    <t>Z41 - I140,délka 1,8 m , 2 ks, hmotnost 14,3 kg/m</t>
  </si>
  <si>
    <t>2*1,8*14,3</t>
  </si>
  <si>
    <t>2,50*0,14*2*3+1,8*0,14*2*2</t>
  </si>
  <si>
    <t>nad dveřmi T 23 a T 24</t>
  </si>
  <si>
    <t>Zazdívka otvorů v příčkách nebo stěnách pl přes 1 do 4 m2 zdivem z cihel tl. 100 mm</t>
  </si>
  <si>
    <t>Vápenocementová štuková omítka malých ploch přes 1 do 4 m2 na stěnách</t>
  </si>
  <si>
    <t>D + M anténní stožár, TR50/3, délka 3 600 mm, žárově zinkováno, včetně kotvení do konstrukce krovu</t>
  </si>
  <si>
    <t>D + M kabelový prostup s dvěma koleny vhodné pro vývod kabelů na střechu, odolný UV a mrazu, dvě natáčecí kolena pro snadné nastavení vhodné pozice, DN 100 , povrchová úprava pozinkování, včetně utěsnění po instalaci kabelů</t>
  </si>
  <si>
    <t>Přesun hmot pro zámečnické konstrukce v objektech v přes 6 do 12 m</t>
  </si>
  <si>
    <t>Z57</t>
  </si>
  <si>
    <t>Samonivelační stěrka podlah pevnosti 20 MPa tl  do 8 mm</t>
  </si>
  <si>
    <t>profil z ušlechtilé oceli na schodišťovou hranu oblý</t>
  </si>
  <si>
    <t>1,20*(12+11)*2</t>
  </si>
  <si>
    <t>55,2*0,3*1,03</t>
  </si>
  <si>
    <t>1,20*(12+11)*2*0,15*1,03</t>
  </si>
  <si>
    <t>(1,6*2+2,8)+(3,8+2,9*2+1,1-1,6-1,8)+(18,8*2+1,6-0,9*7-1,2*2)+(12,55*2+6,2*2-0,9-1,75)</t>
  </si>
  <si>
    <t>(1,6*2+2,8)+(20,4*2+2,3*2-3,6-0,9*8)+(3,7*2+4,25-0,9-0,9)</t>
  </si>
  <si>
    <t>"D29, D37, D38" 32,64+15,49+7,55+7,33</t>
  </si>
  <si>
    <t>"D04, D05, D07, D08"</t>
  </si>
  <si>
    <t>15,47+71,97+(2,9*3,6+1,7*3,6)+29,86</t>
  </si>
  <si>
    <t>"1.11" ((3,7+4,15)*2-0,9)*2</t>
  </si>
  <si>
    <t>"2.07,2.08" ((4,25+3,6)*2+1,12*2+0,4-0,8*2)*2</t>
  </si>
  <si>
    <t>"2.09"(1,8+4,25+1)*2-0,9*2</t>
  </si>
  <si>
    <t>(4,82*2+2,9*2-1,6-3,6)+(1+2,45+1,2)+(1,8+3,7+2,85+1,48+0,4*2-0,8-0,9)+(6,28*2+4,15*2-0,9*2-0,8)+(6,08*2+5,9*2-0,9)+(6,3*2+1,55*2-0,9*5-1,6)+(17,6*2+1,6-1,55*2-0,8-0,9*7)</t>
  </si>
  <si>
    <t>1NP- 1.01,1.06,1.08,1.14,1.15,1.16,1.17</t>
  </si>
  <si>
    <t>"2NP- 2.01,2.02"</t>
  </si>
  <si>
    <t>(2,3+3,6+2,4+2,4*2+3,6)+(16,7*2+1,6-0,9*5-0,8*2)</t>
  </si>
  <si>
    <t>"2.01" (3,6*2,3-0,7*0,4+3,6*2,4-0,4*0,4)</t>
  </si>
  <si>
    <t>"2.02" (16,7*1,6)</t>
  </si>
  <si>
    <t>"2.07" 1,5*1,725</t>
  </si>
  <si>
    <t>"2.08" 1,5*1,7</t>
  </si>
  <si>
    <t>"2.09" 1,85*1,6</t>
  </si>
  <si>
    <t>"2.13A" (2,28*1,65-3,14*0,9*0,9/4)</t>
  </si>
  <si>
    <t>"2.13" 1*1,65</t>
  </si>
  <si>
    <t>"1.01" (3,82*2,9+1*1,6-0,7*0,4-1*1,8)</t>
  </si>
  <si>
    <t>"1.06" (1,2*1,725+1,15*0,925+1*0,15)</t>
  </si>
  <si>
    <t>"1.07" (1,55*0,9)</t>
  </si>
  <si>
    <t>"1.09" (1,2*1,825+0,8*0,15)</t>
  </si>
  <si>
    <t>"1.10" (1,15*1,95)</t>
  </si>
  <si>
    <t>"1.11" (1,95*1,95+2,1*1,35+0,85*0,1+0,8*(0,2+0,15))</t>
  </si>
  <si>
    <t>"1.12" (1,55*1+0,7*0,1)</t>
  </si>
  <si>
    <t>"1.13" (1,55*1+0,7*0,1-0,25*0,2)</t>
  </si>
  <si>
    <t>"1.14" (4,15*3,525+2,025*0,475+1,025*(2,025+0,575)+0,9*0,2)</t>
  </si>
  <si>
    <t>"1.08" (2,675*2,85-0,4*0,4-0,9*0,1)</t>
  </si>
  <si>
    <t>"1.14A" (2,025*2,025+3,025*1+0,7*0,1-0,9*0,1*2)</t>
  </si>
  <si>
    <t>"1.15" (3,525*1,55+2,55*5,9-0,25*0,25-0,1*0,5)</t>
  </si>
  <si>
    <t>"1.16" (6*1,55+0,8*0,15+1*0,3+0,1*1)</t>
  </si>
  <si>
    <t>"1.17" (17,7*1,6+0,8*0,15)</t>
  </si>
  <si>
    <t>"1.18" (3,6*2,1)</t>
  </si>
  <si>
    <t>0,9*1,3</t>
  </si>
  <si>
    <t>1,5*1,3</t>
  </si>
  <si>
    <t>"2.05"</t>
  </si>
  <si>
    <t>"m.č. 1.15, otvor pro hydrant"</t>
  </si>
  <si>
    <t>0,75*0,75*0,25</t>
  </si>
  <si>
    <t>"m.č. 1.15, pro hydrant"</t>
  </si>
  <si>
    <t>1,05*2</t>
  </si>
  <si>
    <t>I100, výpis překladů, hmotnost 8,34 kg/m, délky 1,00 m, 11 ks</t>
  </si>
  <si>
    <t>11*1,00*8,34/1000</t>
  </si>
  <si>
    <t>1,00*0,10*2*3+1,0*2*0,1</t>
  </si>
  <si>
    <t>"2.13"</t>
  </si>
  <si>
    <t>1,0*1,3</t>
  </si>
  <si>
    <t>"1.22 - za hydrantem"</t>
  </si>
  <si>
    <t>1,6*2,98</t>
  </si>
  <si>
    <t>"přizdívky" 18,148+2,183+9,548+1,17+1,95+1,3</t>
  </si>
  <si>
    <t>(36+28,5+13)*0,5</t>
  </si>
  <si>
    <t>113106181</t>
  </si>
  <si>
    <t>Rozebrání dlažeb z betonových dlaždic s ložem z kameniva</t>
  </si>
  <si>
    <t>stříška nad vraty</t>
  </si>
  <si>
    <t>13*0,8</t>
  </si>
  <si>
    <t>stříška nad vraty- spodní líc , čelo, vrchní líc</t>
  </si>
  <si>
    <t>13*(0,5+0,2+0,5)</t>
  </si>
  <si>
    <t>(0,9*0,95*4)*1,05 'Přepočtené koeficientem množství</t>
  </si>
  <si>
    <t>"sprchové kouty 1.NP"</t>
  </si>
  <si>
    <t>"1.01, 1.15,1.16,1.17,1.18,2.01,2.02" - chodby, zádveří, kotelna</t>
  </si>
  <si>
    <t>"1.06,1.07,1.08,1.09,1.10,1.11,1.12,1.13,1.14,1.14A,2.07,2.08,2.09"- šatny, WC, uklidové místnost</t>
  </si>
  <si>
    <t>"2.13,2.13A"- WC, koupelna byt</t>
  </si>
  <si>
    <t>"2.13A" (2,28*1,65)</t>
  </si>
  <si>
    <t>Přesun hmot pro podlahy z dlaždic v objektech v přes 6 do 12 m</t>
  </si>
  <si>
    <t>Přesun hmot pro podlahy z kamene v objektech v do 6 m</t>
  </si>
  <si>
    <t>21,72+18,28+18,13+28,29+28,41+30,44+30,83</t>
  </si>
  <si>
    <t xml:space="preserve">"D30,D31,D32,D33,D34,D35,D36" </t>
  </si>
  <si>
    <t>(6,4+4,15+0,4)*2-1,45-0,9+(4,05+4,15)*2-1,45+(3,625+4,15)*2-0,9+(3,7+3,6)*2-0,9</t>
  </si>
  <si>
    <t>(6,25+3,48)*2-0,9+(6,25+2,95)*2-0,9+(6,25+2,9)*2-0,9+(6,25+4,65+1,35)*2-0,9+(8+4,075+0,4*2)*2-0,9*2+(7,2+4,25)*2-0,9+(7,3+4,25)*2-0,9*2</t>
  </si>
  <si>
    <t>"1.02" (3,7*3,6-0,4*0,4)</t>
  </si>
  <si>
    <t>"1.03" (6,4*4,15-0,4*0,4+0,9*0,25+1,6*0,25)</t>
  </si>
  <si>
    <t>"1.04" (4,15*4,05-0,15*0,4+1,6*0,25)</t>
  </si>
  <si>
    <t>"1.05" (4,15*3,63+1*0,25)</t>
  </si>
  <si>
    <t>"2.03" (7,2*4,25+2,1*0,6)</t>
  </si>
  <si>
    <t>"2.04" (7,3*4,25-2,25*0,6-0,4*0,4)</t>
  </si>
  <si>
    <t>"2.05" (3,73*4,25)</t>
  </si>
  <si>
    <t>"2,10" (6,25*3,48)</t>
  </si>
  <si>
    <t>"2.11" (6,25*2,95-0,25*0,4)</t>
  </si>
  <si>
    <t>"2.14" (6,25*4,2-0,25*0,4-1,3*0,25)</t>
  </si>
  <si>
    <t>"2.15" (3,35*3,1)</t>
  </si>
  <si>
    <t>"2.16"(3,83*3,1-0,4*0,4)</t>
  </si>
  <si>
    <t>"2.17" (2,85*1,63)</t>
  </si>
  <si>
    <t>"2.12" (3*2,1+1,1*3,5+0,8*0,1*3+0,7*0,1*3)</t>
  </si>
  <si>
    <t>"1.02 až 1.05,  2.03,2.04,2.05,2.10,2.11"- kanceláře</t>
  </si>
  <si>
    <t>189,962*1,1 'Přepočtené koeficientem množství</t>
  </si>
  <si>
    <t>"2.12,2.14,2.15,2.16,2.17"- byt</t>
  </si>
  <si>
    <t>52,569*1,1 'Přepočtené koeficientem množství</t>
  </si>
  <si>
    <t>9,51*1,1 'Přepočtené koeficientem množství</t>
  </si>
  <si>
    <t>Lepení podlahové krytiny  z formátu 600x600 mm vč. svařování a provedení elektricky vodivé mřížky</t>
  </si>
  <si>
    <t>Odstranění zbytků lepidla z podkladu povlakových podlah broušením a vysátím</t>
  </si>
  <si>
    <t>"1.02" (3,7*2+3,6*2-0,9)</t>
  </si>
  <si>
    <t>"1.05" (4,15*2+3,63*2-0,9+0,15*2)</t>
  </si>
  <si>
    <t>"1.04" (4,15*2+4,05*2-1,6+0,15*2)</t>
  </si>
  <si>
    <t>"1.03" (6,4*2+4,15*2+0,4*2-0,9-1,6+0,15*4)</t>
  </si>
  <si>
    <t>"2.03" (7,8*2+4,25*2-0,9)</t>
  </si>
  <si>
    <t>"2.04" (7,3*2+4,25*2-0,9*2)</t>
  </si>
  <si>
    <t>"2.05" (3,73*2+4,25*2-0,9-0,8)</t>
  </si>
  <si>
    <t>"2.06" (3,85*2,6-1,25*0,4)</t>
  </si>
  <si>
    <t>"2.06" (3,85*2+2,6*2+1,25*2-0,8)</t>
  </si>
  <si>
    <t>"2,10" (6,25*2+3,48*2-0,9)</t>
  </si>
  <si>
    <t>"2.11" (6,25*2+2,95*2-0,9)</t>
  </si>
  <si>
    <t>"2.12" (3*2+5,6*2-0,8*3-0,9*4)</t>
  </si>
  <si>
    <t>"2.14" (6,25*2+4,2*2-0,9)</t>
  </si>
  <si>
    <t>"2.15" (3,35*2+3,1*2-0,9)</t>
  </si>
  <si>
    <t>"2.16"(3,83*2+3,1*2+0,4*2-0,9)</t>
  </si>
  <si>
    <t>"2.17" (2,85*2+1,63*2-0,8)</t>
  </si>
  <si>
    <t>Přesun hmot pro podlahy povlakové v objektech v přes 6 do 12 m</t>
  </si>
  <si>
    <t>"1.19" 6,15*3,5+1*0,15</t>
  </si>
  <si>
    <t>"1.20" 6,15*2,88+1*0,15</t>
  </si>
  <si>
    <t>"1.21" 6,15*3,68+1*0,15+1,35*0,3</t>
  </si>
  <si>
    <t>"1.22" 6,15*7,73-0,4*0,55+1*0,15+1,75*0,3</t>
  </si>
  <si>
    <t>"1.23" 10,33*5,7-0,4*0,4+1,8*0,4+3*0,3</t>
  </si>
  <si>
    <t>"1.24" 6,4*10,33-0,4*0,8+3*0,3</t>
  </si>
  <si>
    <t>"1.25" 12,4*3,3+3*0,3</t>
  </si>
  <si>
    <t>"1.26" 12,4*6-0,4*0,4*2+3,3*0,3</t>
  </si>
  <si>
    <t xml:space="preserve">Krycí epoxidová stěrka tloušťky  3 mm </t>
  </si>
  <si>
    <t>Epoxydový nátěr soklu v. 100 mm včetně přípravy povrchu a zatmelení spáry podlaha-stěna</t>
  </si>
  <si>
    <t>"1.21" 6,15*2+3,68*2-0,6-0,75</t>
  </si>
  <si>
    <t>"1.19" 6,15*2+3,5*2-0,6</t>
  </si>
  <si>
    <t>"1.20" 6,15*2+2,88*2-0,6</t>
  </si>
  <si>
    <t>"1.22" 6,15*2+7,73*2+0,4*3-0,6-1,05</t>
  </si>
  <si>
    <t>"1.23" 10,33*2+5,7*2+0,4*2-1,8+0,4*2-3-3+0,3*2</t>
  </si>
  <si>
    <t>"1.24" 6,4*2+10,33*2+0,4*4-3+0,3*2</t>
  </si>
  <si>
    <t>"1.25" 12,4*2+3,3*2+0,1*2-3+0,3*2</t>
  </si>
  <si>
    <t>"1.26" 12,4*2+6*2+0,4*2-3,3+0,3*2</t>
  </si>
  <si>
    <t>Přesun hmot  pro podlahy lité v objektech v přes 6 do 12 m</t>
  </si>
  <si>
    <t>"1.09" (1,83+1,2)*2*2,05-0,8*2+2,8*0,15</t>
  </si>
  <si>
    <t>"1.07" (1,55+0,9)*2*2,05</t>
  </si>
  <si>
    <t>"1.10" (1,95+1,15)*2*2,05-0,9*2</t>
  </si>
  <si>
    <t>"1.11" (1,95*3+0,5+0,6+2,2+1,35+2,1+0,5+0,1)*2,05-0,9*2*2-0,8*2*2</t>
  </si>
  <si>
    <t>"1.12" (1,55+1)*2*2,05-0,8*2</t>
  </si>
  <si>
    <t>"1,13" (1,55+1)*2*2,05-0,8*2</t>
  </si>
  <si>
    <t>"1.14A" (2,025+0,95*2+0,925+0,9*4+0,1*2+2,025+0,475*2+1+2,025)*2,7)-0,8*2-0,6*0,63+(0,6*2+0,63*2)*0,4</t>
  </si>
  <si>
    <t>"2.07" (1,5+1,725)*2*2,05-0,8*2*2</t>
  </si>
  <si>
    <t>"2.08" (1,7+1,5)*2*2,05+0,15*2*(2,05-1,2)-0,8*2</t>
  </si>
  <si>
    <t>"2.09" (1,85+1,6)*2*2,05-0,8*2</t>
  </si>
  <si>
    <t>"2.13" (1,65+1)*2*2,5-0,8*2</t>
  </si>
  <si>
    <t>"2.13A" (2,275+1,65)*2*2,5-0,7*2</t>
  </si>
  <si>
    <t>"2.14" (0,6+3,9+0,6)*0,9</t>
  </si>
  <si>
    <t>"1.09" 2,05*2</t>
  </si>
  <si>
    <t>"1.11" 2,05*3</t>
  </si>
  <si>
    <t>"1.13" 2,05</t>
  </si>
  <si>
    <t>"1.14" 2,7*5+0,63*2+0,6</t>
  </si>
  <si>
    <t>"2.13A" 2,5</t>
  </si>
  <si>
    <t>Přesun hmot pro obklady keramické v objektech v přes 6 do 12 m</t>
  </si>
  <si>
    <t>1.2 - 1.4 krokev 80/180</t>
  </si>
  <si>
    <t>(82*7,80+75*7,8+(18+20)*(1,00+7,80)/2)*(0,08+0,18)*2</t>
  </si>
  <si>
    <t>(3*(23,00+27,00)+6)*(0,14+0,12)*2</t>
  </si>
  <si>
    <t>50*2,20*(0,08+0,12)*2</t>
  </si>
  <si>
    <t>50*2,20*0,08*0,12</t>
  </si>
  <si>
    <t>50*2,20</t>
  </si>
  <si>
    <t>11*4,35*(0,08+0,20)*2</t>
  </si>
  <si>
    <t>2*5,60*(0,10+0,12)*2</t>
  </si>
  <si>
    <t>"vrata Z 15"</t>
  </si>
  <si>
    <t>3,2*3,4*2</t>
  </si>
  <si>
    <t>(4,4*2+3,8*4)*(0,06+0,08)*2</t>
  </si>
  <si>
    <t>(5,33*6+3,6+3*2)*0,08*4</t>
  </si>
  <si>
    <t>3,19*4*0,1*4</t>
  </si>
  <si>
    <t>3,9*0,489</t>
  </si>
  <si>
    <t>3,3*2*0,434</t>
  </si>
  <si>
    <t>P15 … (0,3*0,2+,15*0,275)*2</t>
  </si>
  <si>
    <t>P10 … (0,15*0,15/2)*8*2</t>
  </si>
  <si>
    <t>D + M ocelové schodiště do podstřešního prostoru, schodnice z ocelového profilu 160x8 mm délky 2100 mm s prvky pro kotvení stupňů , stupně pororošt PR-33/33-30/2 rozměr 600x240 mm - 7 ks, zábradlí s madlem jednostranné z tenkostěnného profilu, madlo výsuvné 1200 mm nad střešní rovinu.</t>
  </si>
  <si>
    <t>"Z 57 - ocelové schody do půdního prostoru"</t>
  </si>
  <si>
    <t>"sloupky OS.01 v místn. 1.11 a 1.14"</t>
  </si>
  <si>
    <t>"kovová konstrukce pro montáž vrat Z1, Z2, Z3"</t>
  </si>
  <si>
    <t>zárubeň ocelová lisovaná 700x1970x100 mm , dodávka v základním nátěru</t>
  </si>
  <si>
    <t>zárubeň ocelová lisovaná  700x1970x110 mm , dodávka v základním nátěru</t>
  </si>
  <si>
    <t>zárubeň ocelová lisovaná 800x1970x150 mm , dodávka v základním nátěru</t>
  </si>
  <si>
    <t>zárubeň ocelová lisovaná  800x1970x100 mm s požární odolností REW 30  DP 3 , dodávka v základním nátěru</t>
  </si>
  <si>
    <t>zárubeň ocelová lisovaná  800x1970x150 mm s požární odolností REW 30  DP 3 , dodávka v základním nátěru</t>
  </si>
  <si>
    <t>zárubeň ocelová lisovaná  1400x1970x100 mm s požární odolností REW 30  DP 3 , dodávka v základním nátěru</t>
  </si>
  <si>
    <t>zárubeň ocelová lisovaná  1650x1970x100 mm s požární odolností REW 30  DP 3 , dodávka v základním nátěru</t>
  </si>
  <si>
    <t>2*(2,1*(0,18*2+0,008*2)+15*0,04*0,04)</t>
  </si>
  <si>
    <t>"zárubně"</t>
  </si>
  <si>
    <t>zárubeň ocelová lisovaná 700x1970x135 mm , dodávka v základním nátěru</t>
  </si>
  <si>
    <t>700x1970 … 11 ks</t>
  </si>
  <si>
    <t>800x1970  … 13 ks</t>
  </si>
  <si>
    <t>1400x1970 … 2 ks</t>
  </si>
  <si>
    <t>1650x1970 … 1 ks</t>
  </si>
  <si>
    <t>"schodišťové zábradlí"</t>
  </si>
  <si>
    <t>Impregnace řeziva tesařských konstrukcí prostředkem proti hmyzu, houbám a plísním (index FB, P, IP, n )</t>
  </si>
  <si>
    <t>ocelová táhla krovu</t>
  </si>
  <si>
    <t>(20*2+24*1,8)*(0,08*2+0,005*2)</t>
  </si>
  <si>
    <t>"2.02" (16,6+1,6)*2*2,95-1,6*2,1-0,9*2*5-0,8*2*2</t>
  </si>
  <si>
    <t>"2.04" ( 7,3+6,7+2+4,25)*2,95-0,9*2*2-2,1*1,5*2+(2,1+1,5*2)*0,25*2</t>
  </si>
  <si>
    <t>"2.03" (7,2*2+4,25+2,15)*2,7-0,8*2-2,1*1,5*2+(2,1+1,5*2)*0,25*2</t>
  </si>
  <si>
    <t>"2.05" (3,73+4,25)*2*2,95-0,9*2-0,8*2-2,1*1,5+(2,1+1,5*2)*0,25</t>
  </si>
  <si>
    <t>"2.06" (2,6*2+3,7+1,25*2)*2,95-0,8*2-0,6*0,75*3+(0,6+0,75*2)*0,25*3</t>
  </si>
  <si>
    <t>"2.10" (3,48+6,25)*2*2,95-0,9*2-2,1*1,5+(2,1+1,5*2)*0,25</t>
  </si>
  <si>
    <t>"2.11" (2,95+6,25)*2*2,95-0,9*2-2,1*1,5+(2,1+1,5*2)*0,25</t>
  </si>
  <si>
    <t>"2.12" (1,85+2,1)*2,7-0,9*2</t>
  </si>
  <si>
    <t>"2.15" (3,35+3,1+0,4)*2,7-2,1*1,5+(2,1+1,5*2)*0,25</t>
  </si>
  <si>
    <t>"2.16" (3,83+3,1+0,4*2)*2,7-2,1*1,5+(2,1+1,5*2)*0,25</t>
  </si>
  <si>
    <t>"2.07" (1,5*2+1,73-0,8*2)*2,05</t>
  </si>
  <si>
    <t>"2.08" (1,7+1,5-0,8*2)*2,05</t>
  </si>
  <si>
    <t>"2.09" ( 1,6+1,85-0,8*2)*2,05</t>
  </si>
  <si>
    <t>"2.13" 1,1*2,5</t>
  </si>
  <si>
    <t>"2.13A" 1,55*2,5</t>
  </si>
  <si>
    <t>"2.03" (0,45+2,1)*(2,7-0,9)</t>
  </si>
  <si>
    <t>"2.04" ( 0,6+2,25)*2,95</t>
  </si>
  <si>
    <t>"2.06" 3,7*2,95</t>
  </si>
  <si>
    <t>"2.07" 1,73*(2,5-2,05)</t>
  </si>
  <si>
    <t>"2.08" 1,7*(2,5-2,05)</t>
  </si>
  <si>
    <t>"2.09" 1,6*(2,5-2,05)</t>
  </si>
  <si>
    <t>"2.12" (2,8+5,6+1,1+3,4)*2,7-0,9*2*3-0,8*2*3</t>
  </si>
  <si>
    <t>"2.15" (3,35+2,7)*2,7-0,9*2</t>
  </si>
  <si>
    <t>"2.14" 4,5*2,7+0,9*2-0,9*2-0,9*0,9</t>
  </si>
  <si>
    <t>"2.16" (3,83+3,1)*2,7-0,9*2</t>
  </si>
  <si>
    <t>"2.17" (2,85+1,63)*2*2,5-0,8*2</t>
  </si>
  <si>
    <t>"2.01" (8+3,6+0,4)*2*2,95-2,1*1,5*2-1,6*2,1+(6+6+3,6)*0,35+(2,1+1,5*2)*0,25*2+3,6*8</t>
  </si>
  <si>
    <t>"2.02" (16,6+1,6)*2*2,95-1,6*2,1-0,9*2*5-0,8*2*2+16,6*1,6</t>
  </si>
  <si>
    <t>"2.03" (7,8+4,25)*2*2,7-0,8*2-2,1*1,5*2+(2,1+1,5*2)*0,25*2-3,3*0,9+7,2*4,25+2,1*0,6</t>
  </si>
  <si>
    <t>"2.04" ( 7,3+4,25)*2*2,95-0,9*2*2-2,1*1,5*2+(2,1+1,5*2)*0,25*2+6,7*2,25+7,3*2</t>
  </si>
  <si>
    <t>"2.05" (3,73+4,25)*2*2,95-0,9*2-0,8*2-2,1*1,5+(2,1+1,5*2)*0,25+3,73*4,25</t>
  </si>
  <si>
    <t>"2.06" (2,6+3,7+1,25)*2*2,95-0,8*2-0,6*0,75*3+(0,6+0,75*2)*0,25*3+3,7*2,6</t>
  </si>
  <si>
    <t>"2.07" (1,5+1,73)*2*(2,5-2,05)+1,5*1,73</t>
  </si>
  <si>
    <t>"2.07" (1,5*2+1,73)*(2,5-2,05)</t>
  </si>
  <si>
    <t>"2.08" (1,5*2+1,7)*(2,5-2,05)</t>
  </si>
  <si>
    <t>"2.09" (1,5+1,6*2)*(2,5-2,05)</t>
  </si>
  <si>
    <t>"2.08" (1,5+1,7)*2*(2,5-2,05)+1,7*1,5</t>
  </si>
  <si>
    <t>"2.09" (1,85+1,6)*2*(2,5-2,05)+1,85*1,6</t>
  </si>
  <si>
    <t>"2.10" (3,48+6,25)*2*2,95-0,9*2-2,1*1,5+(2,1+1,5*2)*0,25+3,48*6,25</t>
  </si>
  <si>
    <t>"2.11" (2,95+6,25)*2*2,95-0,9*2-2,1*1,5+(2,1+1,5*2)*0,25+2,95*6,25</t>
  </si>
  <si>
    <t>"2.14" (4,2*2+6,25+1,3)*2,7-2,1*1,5+(2,1+1,5*2)*0,25</t>
  </si>
  <si>
    <t>"1.01"(4,6+2,85*2+0,4*2)*2,75-1,6*2-1,8*2,4+(1,8+2,4*2)*0,25</t>
  </si>
  <si>
    <t>"1.02" (3,7+3,6)*2*2,9-0,9*2-2,1*1,5+(2,1+1,5*2)*0,25</t>
  </si>
  <si>
    <t>"1.03" (6,4+4,15+0,4)*2,9-0,9*2-1,55*2-2,1*1,5*2+(2,1+1,5*2)*0,25*2+(0,9+2,1*2+1,6+2,1*2)*0,15</t>
  </si>
  <si>
    <t>"1.04" (4,05+4,15)*2*2,9-1,55*2-2,1*1,5+(2,1+1,5*2)*0,25+(1,6+2,1*2)*0,15</t>
  </si>
  <si>
    <t>"1,05" (3,63+4,15)*2*2,9-(0,6*2+4,15)*0,55-0,9*2-2,1*1,5+(2,1+1,5*2)*0,25+(1+2,1*2)*0,15</t>
  </si>
  <si>
    <t>"1,06" (1,73+2,35)*2,8-0,8*2+(1+2,1*2)*0,15</t>
  </si>
  <si>
    <t>"1.07" (1,55+0,9)*(2,8-2,05)-0,6*0,75+(0,6+0,75*2)*0,25</t>
  </si>
  <si>
    <t>"1.07" (1,55+0,9)*2,05</t>
  </si>
  <si>
    <t>"1.08" (1,88+0,4*2+1,8)*2,8-0,6*0,75*2+(0,6+0,75*2)*0,25*2</t>
  </si>
  <si>
    <t>"1.09" (1,2+1,83)*(2,8-0,05)</t>
  </si>
  <si>
    <t>"1.10" 1,95*(2,7-2,05)</t>
  </si>
  <si>
    <t>"1.13" 1,65*(2,7-2,05)</t>
  </si>
  <si>
    <t>"1.14" 3,7*2,7-0,6*0,63+(0,6+0,63*2)*0,25</t>
  </si>
  <si>
    <t>"1.15" (6,08+5,9+2,55)*3,22+(6,1+12,25)*2*(5,58-3,22)-1,5*1,5*2+(1,5*3)*0,4</t>
  </si>
  <si>
    <t>"1.16" (6+1,55)*2,7-0,9*2*2+(1+2,1*2)*0,3*2</t>
  </si>
  <si>
    <t>"1.18" (5,8*2+3,6)*3,53-2,1*1,5+(2,1+1,5*2)*0,25</t>
  </si>
  <si>
    <t>"1.19" (6,15+3,5)*2*3,18-0,9*2-2,1*1,5+(1+2,1*2)*0,15+(2,1+1,5*2)*0,25</t>
  </si>
  <si>
    <t>"1.20" (6,15+2,88)*2*3,18-0,9*2-2,1*1,5+(1+2,1*2)*0,15+(2,1+1,5*2)*0,25</t>
  </si>
  <si>
    <t>"1.21" (6,15+3,68)*2*3,18-0,9*2-1,45*2,4-0,9*1,5+(1+2,1*2)*0,15+(1,45+2,4*2+0,9+1,5*2)*0,25</t>
  </si>
  <si>
    <t>"1.22" (6,15+7,73+0,4)*2*3,18-0,9*2-1,75*2,4-2,1*1,5+(1+2,1*2)*0,15+(1,75+2,4*2+2,1+1,5*2)*0,25</t>
  </si>
  <si>
    <t>"1.23" (10,325+5,7+0,4)*2*5,58-0,9*2-3*3,3*2+(1+2,1*2)*0,3*2</t>
  </si>
  <si>
    <t>"1.24"  (10,325+6,4+0,4*2)*2*5,58-3*3,3-1,5*1,5*3+(3+3,3*2)*0,25</t>
  </si>
  <si>
    <t>"1.25" (12,4+3,3)*2*5,58-3*3,3-1,5*1,5+(1,5*3)*0,25</t>
  </si>
  <si>
    <t>"1.26" (12,4+6+0,4)*2*5,58-3,3*3,6-1,5*1,5*2+(1,5*3)*2*0,25</t>
  </si>
  <si>
    <t>Oprava vnitřní vápenocementové hrubé omítky stěn v rozsahu plochy přes 10 do 30 % ( pod obklady )</t>
  </si>
  <si>
    <t>"1.06" 0,73*2,05</t>
  </si>
  <si>
    <t>"1.08" (0,9+0,95)*2,05</t>
  </si>
  <si>
    <t>"1.09" (1,2+1,825)*2,05-0,8*2+(0,92+2,1*2)*0,15</t>
  </si>
  <si>
    <t>"1.10" 1,95*2,05</t>
  </si>
  <si>
    <t>"1.11" 1,45*2,05</t>
  </si>
  <si>
    <t>"1.14 A" 2,5*2,05</t>
  </si>
  <si>
    <t>(9,675+2,55)*5,9+58,92+65,76+40,8+73,92</t>
  </si>
  <si>
    <t>"vrchní úprava na tenkovrstvou úpravu ( viz předchozí položka ) mimo keramické obklady"</t>
  </si>
  <si>
    <t>1,6*(3,18-2,15)*2</t>
  </si>
  <si>
    <t>zazdění otvoru po oknech  m.č. 1.24</t>
  </si>
  <si>
    <t>zazdění po copilotové stěně  m.č. 1.18</t>
  </si>
  <si>
    <t>zazdění po vybourání dveří m.č. 1.19</t>
  </si>
  <si>
    <t>0,9*2*2+0,9*2+(0,9*2-0,75*0,75)+1,575*2,9*2+1,5*1,5*3+6,21*2,9-1,6*1,2*2+1,8*(0,88+0,25)+0,1*1,5+1,5*0,9+0,8*0,65*2+1,6*(3,18-2,15)*2*2</t>
  </si>
  <si>
    <t>"1.06" (2,35+0,825+0,9)*2,8-0,8*2*2-(1,2+0,825)*2,05</t>
  </si>
  <si>
    <t>"1.07" (0,9+1,55)*(2,8-2,05)</t>
  </si>
  <si>
    <t>"1.08" (2,625+2,85)*2,8-0,8*2</t>
  </si>
  <si>
    <t>"1.09" (1,2+1,825)*(2,8-2,05)</t>
  </si>
  <si>
    <t>"1.10" (1,15*2+1,95)*(2,7-2,05)</t>
  </si>
  <si>
    <t>"1.12" (1+1,55)*2*(2,7-2,05)</t>
  </si>
  <si>
    <t>"1.13" (1+0,8+1,55)*(2,7-2,05)</t>
  </si>
  <si>
    <t>"1.14" (4,15*2+6,125*2-3,525)*2,7-0,9*2-0,8*2*2</t>
  </si>
  <si>
    <t>"1.14 A" (2,5+3,025*2+0,9*4)*(2,7-2,05)</t>
  </si>
  <si>
    <t>"1.15" (5,9+3,525)*3,22-0,9*2</t>
  </si>
  <si>
    <t>"1.16" (6+1,5)*2,7-0,9*2*4</t>
  </si>
  <si>
    <t>Oprava vnitřní vápenocementové štukové omítky stěn v rozsahu plochy přes 10 do 30 % s přeštukováním</t>
  </si>
  <si>
    <t>"1.11" 1,35*(2,7-2,05)-0,6*0,63+(0,6+0,63*2)*0,25</t>
  </si>
  <si>
    <t>"1.11" 1,35*2,05</t>
  </si>
  <si>
    <t>"1.14" (6,125+4,15)*2*2,7-0,8*2-0,9*2*2-0,6*0,63+(0,6+0,63*2)*0,4+18,5</t>
  </si>
  <si>
    <t>"1.13" (1+1,55)*(2,7-2,05)+1,45</t>
  </si>
  <si>
    <t>"1.12" (1+1,55)*2*(2,7-2,05)+1,5</t>
  </si>
  <si>
    <t>"1.10" 1,95*(2,7-2,05)+(1,15*2+1,95)*(2,7-2,05)+2,18</t>
  </si>
  <si>
    <t>"1.09" (1,2+1,83)*(2,8-0,05)+(1,2+1,825)*(2,8-2,05)+5,95</t>
  </si>
  <si>
    <t>"1.08" (1,88+0,4*2+1,8)*2,8-0,6*0,75*2+(0,6+0,75*2)*0,25*2+(2,625+2,85)*2,8-0,8*2+7,37</t>
  </si>
  <si>
    <t>"1.07" (1,55+0,9)*(2,8-2,05)-0,6*0,75+(0,6+0,75*2)*0,25+(0,9+1,55)*(2,8-2,05)+1,48</t>
  </si>
  <si>
    <t>"1,06" (1,73+2,35)*2,8-0,8*2+(1+2,1*2)*0,15+(2,35+0,825+0,9)*2,8-0,8*2*2-(1,2+0,825)*2,05+3,06</t>
  </si>
  <si>
    <t>"1.11" 1,35*2,7-0,6*0,63+(0,6+0,63*2)*0,4+6,28</t>
  </si>
  <si>
    <t>"1.14 A" 7,13</t>
  </si>
  <si>
    <t>"1.15" (6,08+5,9)*2*3,22+(5,9+12,225)*2*2,28-1,5*1,5*2+(1,5*3*0,4)+5,9*12,225</t>
  </si>
  <si>
    <t>"1.16" (6+1,55)*2*2,7-0,9*2*6+(1+2,1*2)*0,3*2+6*1,55</t>
  </si>
  <si>
    <t>"1.17" (17,6+1,6)*2*2,75-0,9*2*7-0,8*2-1,55*2*2-1,6*2,75</t>
  </si>
  <si>
    <t>"1.18" (5,8*2+3,6)*3,53-2,8*3,5</t>
  </si>
  <si>
    <t>"2.01" (8+3,6+0,4)*2*2,95-2,8*2,5-2,1*1,5-1,6*2,1+(6+6+3,6)*0,35+(2,1+1,5*2)*0,25</t>
  </si>
  <si>
    <t>"1.19" (6,15+3,5)*2*3,18-0,9*2-2,1*1,5+(1+2,1*2)*0,15+(2,1+1,5*2)*0,25+6,15*3,5</t>
  </si>
  <si>
    <t>"1.20" (6,15+2,88)*2*3,18-0,9*2-2,1*1,5+(1+2,1*2)*0,15+(2,1+1,5*2)*0,25+6,15*2,88</t>
  </si>
  <si>
    <t>"1.21" (6,15+3,68)*2*3,18-0,9*2-1,45*2,4-0,9*1,5+(1+2,1*2)*0,15+(1,45+2,4*2+0,9+1,5*2)*0,25+6,15*3,68</t>
  </si>
  <si>
    <t>"1.22" (6,15+7,73+0,4)*2*3,18-0,9*2-1,75*2,4-2,1*1,5+(1+2,1*2)*0,15+(1,75+2,4*2+2,1+1,5*2)*0,25+6,15*7,73</t>
  </si>
  <si>
    <t>"1.23" (10,325+5,7+0,4)*2*5,58-0,9*2-3*3,3*2+(1+2,1*2)*0,3*2+10,325*5,7</t>
  </si>
  <si>
    <t>"1.24"  (10,325+6,4+0,4*2)*2*5,58-3*3,3-1,5*1,5*3+(3+3,3*2)*0,25+10,325*6,4</t>
  </si>
  <si>
    <t>"1.25" (12,4+3,3)*2*5,58-3*3,3-1,5*1,5+(1,5*3)*0,25+12,4*3,3</t>
  </si>
  <si>
    <t>"1.26" (12,4+6+0,4)*2*5,58-3,3*3,6-1,5*1,5*2+(1,5*3)*2*0,25+12,4*6</t>
  </si>
  <si>
    <t>"2.13" 1,65*1</t>
  </si>
  <si>
    <t>Dvojnásobné bílé malby ze směsí za mokra výborně oděruvzdorných v místnostech v do 5,80 m</t>
  </si>
  <si>
    <t xml:space="preserve">"viz výpis výměr položky dvojnásobné malby" </t>
  </si>
  <si>
    <t>2026,647+946,27</t>
  </si>
  <si>
    <t xml:space="preserve">Oprava vnitřní tenkovrstvé štukové omítky stropů v rozsahu plochy  do 10 % </t>
  </si>
  <si>
    <t>"viz položka Oprava vnitřní tenkovrstvé štukové omítky stropů v rozsahu plochy  do 10 % "</t>
  </si>
  <si>
    <t>"viz položka Oprava vnitřní vápenocementové štukové omítky stěn v rozsahu plochy přes 10 do 30 % "</t>
  </si>
  <si>
    <t>"sloupky oplocení"</t>
  </si>
  <si>
    <t>332/3*2,4*(3,14*0,07)</t>
  </si>
  <si>
    <t xml:space="preserve">"D30,D31,D35,D36" </t>
  </si>
  <si>
    <t>21,72+18,28+30,44+30,83</t>
  </si>
  <si>
    <t>253,131+9,51</t>
  </si>
  <si>
    <t>Hydroizolace podlahy z dvousložkové pružné stěrky složené z cementu, jemného tříděného kameniva a syntetických polymerů nanášená ve dvou vrstvách, celková tloušťka min 2 mm. V ceně jsou i výztužné bandáže do koutů.</t>
  </si>
  <si>
    <t xml:space="preserve">Hydroizolace na stěnách z dvousložkové pružné stěrky složené z cementu, jemného tříděného kameniva a syntetických polymerů nanášená ve dvou vrstvách, celková tloušťka min 2 mm. </t>
  </si>
  <si>
    <t>"1.09" ((1,2+1,825)*2-0,8)*0,1</t>
  </si>
  <si>
    <t>"1.08" (0,9*2+0,95)*2,2+((2,85+2,675)*2-0,95-0,9-0,8+0,4*2)*0,1</t>
  </si>
  <si>
    <t>"1.10" ((1,15+1,95)*2-0,9)*0,1</t>
  </si>
  <si>
    <t>"1.11" ((4,15+1,95+0,6)*2-0,9*2-0,8*2)*0,1</t>
  </si>
  <si>
    <t>"1.12" ((1,55+1)-0,8)*0,1</t>
  </si>
  <si>
    <t>"1.13" ((1,55+1)-0,8)*0,1</t>
  </si>
  <si>
    <t>"1.14 A" (0,9*6+0,95*3)*2,2+(3,025+1,6*2-0,8)*0,1</t>
  </si>
  <si>
    <t>"1.15" ((4,9+6,075)*2-0,9)*0,1</t>
  </si>
  <si>
    <t>"2,13 A" (0,95*2)*2,2+((2,275+1,65)*2-0,8-0,95*2)*0,1</t>
  </si>
  <si>
    <t>kazeta fasádní, lakovaný pozinkovaný plech S280-320GD Z275, opatřené polyesterovým lakem, tl. 25 mikronů ,včetně všech detailů a systémových prvků, barva dle pohledů - elfenbein RAL 1014 a SAFRANGELB RA, včetně nosné konstrukce z ohýbaných ocelových pozinkovaných profilů</t>
  </si>
  <si>
    <t>Montáž odvětrávané fasády podhledů na kovový rošt bez tepelné izolace, včetně nosné kovové konstrukce</t>
  </si>
  <si>
    <t>Montáž odvětrávané fasády stěn na kovový rošt bez tepelné izolace, včetně nosné kovové konstrukce</t>
  </si>
  <si>
    <t>Montáž ostění, nadpraží a parapetů odvětrávané fasády na kovový rošt, včetně všech detailů a systémových prvků</t>
  </si>
  <si>
    <t>(2,96+3,30*2)+(2,96+3,30*2)+(3,218+3,60*2)+(1,50*4)*5</t>
  </si>
  <si>
    <t>((2,10*2+1,50*2)*9+(1,75*2+2,40*2)+(0,90*2+1,50*2)+(1,45*2+2,40*2)+(1,80*2+2,40*2)+(0,60*2+0,75*2)*3+(0,60*2+0,63*2)*3)</t>
  </si>
  <si>
    <t>((2,10*2+1,50*2)*11+(0,60*2+0,75*2)*3+(1,50*4))</t>
  </si>
  <si>
    <t>((2,96+3,30*2)+(2,96+3,30*2)+(3,218+3,60*2))*0,5+((1,50*4)*5)*0,3</t>
  </si>
  <si>
    <t>((2,10*2+1,50*2)*9+(1,75*2+2,40*2)+(0,90*2+1,50*2)+(1,45*2+2,40*2)+(1,80*2+2,40*2)+(0,60*2+0,75*2)*3+(0,60*2+0,63*2)*3)*0,4</t>
  </si>
  <si>
    <t>((2,10*2+1,50*2)*11+(0,60*2+0,75*2)*3+(1,50*2+1,50*2))*0,4</t>
  </si>
  <si>
    <t xml:space="preserve">lakovaný ohýbaný pozinkovaný plech S280-320GD Z275, opatřené polyesterovým lakem, tl. 25 mikronů ,včetně všech detailů a systémových prvků, barva dle pohledů - elfenbein RAL 1014 a SAFRANGELB RA, </t>
  </si>
  <si>
    <t>Montáž krytiny střechy rovné drážkováním ze šablon  sklonu do 30°, včetně lemování u štítu a navzující stěny, úžlabí , hřebene a okapového zakončení</t>
  </si>
  <si>
    <t>Větrací spára střešního pláště  u okapu s mřížkou z ocelového pozinkovaného plechu opatřený z výroby barevnou úpravou polyester nebo PVDF</t>
  </si>
  <si>
    <t>Větrací spára střešního pláště  u hřebene s mřížkou z ocelového pozinkovaného plechu opatřený z výroby barevnou úpravou polyester nebo PVDF</t>
  </si>
  <si>
    <t>Žlab podokapní půlkruhový z Pz tl. 0,60 mm s povrchovou úpravou rš 330 mm, oboustranně žárově zinkovaný s množstvím min. 275 g/m2, vrchní barevná vrstva na bázi polyesteru nebo PVDF tl. min. 35 µm. Včetně vytvoření kotlíků a žlabových háků.</t>
  </si>
  <si>
    <t>Svody kruhové průměru 100 mm včetně objímek, kolen, odskoků z Pz tl. 0,60 mm s povrchovou úpravou , oboustranně žárově zinkovaný s množstvím min. 275 g/m2, vrchní barevná vrstva na bázi polyesteru nebo PVDF tl. min. 35 µm</t>
  </si>
  <si>
    <t>"pro ZP.03"  13,3</t>
  </si>
  <si>
    <t>" pro osazen štěrbinového žlabu"  6*2</t>
  </si>
  <si>
    <t>Řezání stávajícího betonového krytu hl  do 200 mm</t>
  </si>
  <si>
    <t>stávající beton , pro štěrbinový žlab</t>
  </si>
  <si>
    <t>zpevněná plocha ZP.02 - doplněná skladba po výkopu pro sokl</t>
  </si>
  <si>
    <t>zpevněná plocha ZP.01 - betonová dlažba</t>
  </si>
  <si>
    <t>14,3*2</t>
  </si>
  <si>
    <t>(22,95-2+14,15-2,46)*1,0</t>
  </si>
  <si>
    <t>podél štěrbinového žlabu</t>
  </si>
  <si>
    <t>Výztuž  rampy ze svařovaných sítí SS8/12</t>
  </si>
  <si>
    <t>Ocelové spřahovací trny - hladká výztuž d=16 mm délky 0,6 m, zalepeno do předem odvrtaných otvorů chemickou maltou</t>
  </si>
  <si>
    <t>966008212</t>
  </si>
  <si>
    <t>Bourání odvodňovacího žlabu z betonových tvárnic šířky do 800 mm vč. betonového lože</t>
  </si>
  <si>
    <t>0,25*3</t>
  </si>
  <si>
    <t>délka 0,25 m ( 2xVZT, 1x kanalizace )</t>
  </si>
  <si>
    <t>Jádrové vrty diamantovými korunkami do stavebních materiálů D do 100 mm</t>
  </si>
  <si>
    <t>délka 0,35 m ( 4x vodovod , 2x kanalizace, 3x vytápění )</t>
  </si>
  <si>
    <t>0,35*9</t>
  </si>
  <si>
    <t>délka 0,35 m ( 2x kanalizace , 1x elektro )</t>
  </si>
  <si>
    <t>0,35*3</t>
  </si>
  <si>
    <t>Protipožárná ucpávka s požární odolností EI30 ve stropní železobetonové konstrukci do plochy 0,02 m2 - prostupem prochází potrubí, kabely</t>
  </si>
  <si>
    <t>Dodávka a osazení přenosného hasicího přístroje práškového s hasicí schopností 21A</t>
  </si>
  <si>
    <t>Dodávka a osazení přenosného hasicího přístroje CO2 s hasicí schopností 70B</t>
  </si>
  <si>
    <t xml:space="preserve">Dodávka a osazení bezpečnostních tabulek označujícících přenosné hasicí přístroje ( 6 ks ), hydranty ( 2 ks )hlavní uzávěr vody ( 1 ks), vypínací prvek pro elektrinu TOTAL STOP ( 1 ks ) v souladu s požárně bezpečnostním řešením </t>
  </si>
  <si>
    <t xml:space="preserve">Dodávka a osazení fluorescenčních bezpečnostních tabulek označujícících směr úniku v souladu s požárně bezpečnostním řešením </t>
  </si>
  <si>
    <t xml:space="preserve">Vodovody a kanalizace Mladá Boleslav a.s. </t>
  </si>
  <si>
    <t>Soupis výkonů / Leistungverzeichnis</t>
  </si>
  <si>
    <t>ELEKTRICKÁ POŽÁRNÍ SIGNALIZACE</t>
  </si>
  <si>
    <t xml:space="preserve">Objekt </t>
  </si>
  <si>
    <t>Okrouhlík</t>
  </si>
  <si>
    <t>Číslo pozice/ Nr. Position</t>
  </si>
  <si>
    <t>POPIS VÝKONU/ Beschreibung der Leistungen</t>
  </si>
  <si>
    <t>Měrná jednotka/ Maβeinheit</t>
  </si>
  <si>
    <t>Množství/ Masse</t>
  </si>
  <si>
    <t>Jednotková cena/ Einheitpreis</t>
  </si>
  <si>
    <t>Cena/ Betrag
CZK</t>
  </si>
  <si>
    <t>REKAPITULACE EPS</t>
  </si>
  <si>
    <t>kap.1</t>
  </si>
  <si>
    <t>Dodávka přístrojů EPS</t>
  </si>
  <si>
    <t>kap.2</t>
  </si>
  <si>
    <t>kap.3</t>
  </si>
  <si>
    <t>Dodávka nosného materiálu EPS</t>
  </si>
  <si>
    <t>Montážní práce EPS</t>
  </si>
  <si>
    <t>CELKEM SOUPIS VÝKONŮ</t>
  </si>
  <si>
    <t>kabel pro EPS nezkapávavý, červený 1x2x0,8</t>
  </si>
  <si>
    <t>kabel bezh. Pož. odolný dle ČSN 730895 1x2x0,8</t>
  </si>
  <si>
    <t>požárně odolný žlab 60x50mm vč.nosných prvků</t>
  </si>
  <si>
    <t>instal.trubka pr. 20 - bezhalogenová</t>
  </si>
  <si>
    <t>příchytky pr. 20</t>
  </si>
  <si>
    <t>spojka nasouvací 20</t>
  </si>
  <si>
    <t>trubka ohebná 20 pod omítku</t>
  </si>
  <si>
    <t>trubka ocelová závitová 25ZN/3 m</t>
  </si>
  <si>
    <t>hmoždinka 8 mm</t>
  </si>
  <si>
    <t>štítek - označení trasy SLP</t>
  </si>
  <si>
    <t>požární ucpávka INTUMEX -tmel</t>
  </si>
  <si>
    <t>certifikační štítek pož.ucpávky</t>
  </si>
  <si>
    <t>drobný instal.materiál (průchodky, šrouby, lámací svorky</t>
  </si>
  <si>
    <t>CELKEM</t>
  </si>
  <si>
    <t>mont.kabelu EPSv trubce, liště</t>
  </si>
  <si>
    <t>mont.kabelu 1x2x0,8 požárně odolného ve žlabu, pevně</t>
  </si>
  <si>
    <t>mont.požárně odolného žlabu 60x50 vč.vyložení</t>
  </si>
  <si>
    <t>mont.instal.trubky  20</t>
  </si>
  <si>
    <t>mont.příchytky 20</t>
  </si>
  <si>
    <t xml:space="preserve">mont.spojky nasouvací </t>
  </si>
  <si>
    <t>mont.trubky ohebné pr.20</t>
  </si>
  <si>
    <t>mont.hmoždinky 8 mm</t>
  </si>
  <si>
    <t xml:space="preserve">mont.požární ucpávky </t>
  </si>
  <si>
    <t xml:space="preserve">mont.certif.štítku požární ucpávky </t>
  </si>
  <si>
    <t>značení trasy vedení</t>
  </si>
  <si>
    <t>měření po úsecích</t>
  </si>
  <si>
    <t>drážka ve zdi pro tr.do 29 mm</t>
  </si>
  <si>
    <t>úklidové práce po montáži</t>
  </si>
  <si>
    <t>prostup stropem do 30 cm v betonu</t>
  </si>
  <si>
    <t>prostup stěnou do 30 cm</t>
  </si>
  <si>
    <t>vypracování podkladů pro knihu pož.ucpávek</t>
  </si>
  <si>
    <t>ústředna 2X-F1-FB2-20</t>
  </si>
  <si>
    <t>opakovač 2X-FR-C</t>
  </si>
  <si>
    <t>multisenzorový hlásič DP2061T</t>
  </si>
  <si>
    <t>opticko kouř.hlásič DP2061N</t>
  </si>
  <si>
    <t>tepelný hlásič DT2063N</t>
  </si>
  <si>
    <t>zásuvka hlásičů DB2004</t>
  </si>
  <si>
    <t>zásuvka hlásičů s izolátorem DB2016</t>
  </si>
  <si>
    <t>tlačítkový hlásič DM2010</t>
  </si>
  <si>
    <t>siréna s majákem ASC366W</t>
  </si>
  <si>
    <t>siréna interiérová AS363</t>
  </si>
  <si>
    <t>AKU 12V/17Ah</t>
  </si>
  <si>
    <t xml:space="preserve">mont.ústředny </t>
  </si>
  <si>
    <t xml:space="preserve">mont.tabla obsluhy </t>
  </si>
  <si>
    <t>mont.požárního hlásiče automatického</t>
  </si>
  <si>
    <t xml:space="preserve">mont.zásuvky </t>
  </si>
  <si>
    <t xml:space="preserve">mont.tlačítkového hlásiče </t>
  </si>
  <si>
    <t>mont.evakuační sirény, majáku</t>
  </si>
  <si>
    <t>mont.štítku-popis adres</t>
  </si>
  <si>
    <t>mont.štítku-popis trasy SLP</t>
  </si>
  <si>
    <t>mont.štítku-popis sirény</t>
  </si>
  <si>
    <t>uvedení prvku EPS do provozu</t>
  </si>
  <si>
    <t xml:space="preserve">programování ústředny EPS analog </t>
  </si>
  <si>
    <t xml:space="preserve">výchozí revize EPS </t>
  </si>
  <si>
    <t>jednání se zákazníkem, koordivace se stavebními pracemi,přejímka</t>
  </si>
  <si>
    <t>ELEKTRICKÁ ZABEZPEČOVACÍ SIGNALIZACE</t>
  </si>
  <si>
    <t>REKAPITULACE EZS</t>
  </si>
  <si>
    <t>Dodávka přístrojů EZS</t>
  </si>
  <si>
    <t>Dodávka nosného materiálu EZS</t>
  </si>
  <si>
    <t>kap.4</t>
  </si>
  <si>
    <t>Montážní práce EZS</t>
  </si>
  <si>
    <t>kabel sdělovací nízkofrekvenční, stíněný 4x0,5</t>
  </si>
  <si>
    <t>kabel CYKY 0 2x1,5</t>
  </si>
  <si>
    <t>instal.trubka  PE pr.20 - bezhalogenová</t>
  </si>
  <si>
    <t>trubka ohebná Univolt 16</t>
  </si>
  <si>
    <t>hmoždinka 6 mm</t>
  </si>
  <si>
    <t>drobný instal.materiál (průchodky, šrouby)</t>
  </si>
  <si>
    <t>stahovací pásek 130x4,6</t>
  </si>
  <si>
    <t>mont.kabelu EZS  v trubce</t>
  </si>
  <si>
    <t>mont.kabelu CYKY v trubce</t>
  </si>
  <si>
    <t>mont.příchytky  20</t>
  </si>
  <si>
    <t>mont.spojky nasouvací 20</t>
  </si>
  <si>
    <t>mont.hmoždinky 6 mm</t>
  </si>
  <si>
    <t>ústředna DIGIPLEX EVO 192</t>
  </si>
  <si>
    <t>klávesnice K641+</t>
  </si>
  <si>
    <t>detektor DM60 - dual,Quad PIR</t>
  </si>
  <si>
    <t>detektor stropní DG467 PARADOME</t>
  </si>
  <si>
    <t>detektor rozbití skla DG457 GLASSTREK</t>
  </si>
  <si>
    <t>závrtný magnet SD-50</t>
  </si>
  <si>
    <t>povrchový masivní magnet AL MET-200</t>
  </si>
  <si>
    <t>magnetický kontakt BUS - ZC1</t>
  </si>
  <si>
    <t>expander ZX1</t>
  </si>
  <si>
    <t>expander ZX8</t>
  </si>
  <si>
    <t>box E pro ZX8</t>
  </si>
  <si>
    <t>internetový modul IP150+ pro komunikaci po LAN</t>
  </si>
  <si>
    <t>přídavný zdroj PS25</t>
  </si>
  <si>
    <t>modul RV-4-4 rozbočovač sběrnice</t>
  </si>
  <si>
    <t>modul HUB2 posilovač a oddělovač sběrnice</t>
  </si>
  <si>
    <t>box kov M20 s tranformátorem a Tamperem</t>
  </si>
  <si>
    <t>vnitřní siréna SA913 -110dB</t>
  </si>
  <si>
    <t>provozní kniha EZS</t>
  </si>
  <si>
    <t>modul PGM4</t>
  </si>
  <si>
    <t>AKU 12V/18Ah</t>
  </si>
  <si>
    <t>mont.klávesnice</t>
  </si>
  <si>
    <t xml:space="preserve">mont.detektoru infrapasivního </t>
  </si>
  <si>
    <t>mont.detektoru rozbití skla</t>
  </si>
  <si>
    <t xml:space="preserve">mont.magn. detektoru otevření </t>
  </si>
  <si>
    <t xml:space="preserve">mont. sirény, </t>
  </si>
  <si>
    <t>mont.IP modulu</t>
  </si>
  <si>
    <t>mont.přídavného zdroje do boxu a TAMPER</t>
  </si>
  <si>
    <t xml:space="preserve">mont. rozbočovače </t>
  </si>
  <si>
    <t>mont. HUB2</t>
  </si>
  <si>
    <t>mont. PGM4</t>
  </si>
  <si>
    <t xml:space="preserve">mont. akumulátoru </t>
  </si>
  <si>
    <t xml:space="preserve">výchozí revize EZS </t>
  </si>
  <si>
    <t>programování ústředny a uvedení do provozu</t>
  </si>
  <si>
    <t>provozní kniha EZS - zavedení</t>
  </si>
  <si>
    <t>VaK Mladá Boleslav a.s.</t>
  </si>
  <si>
    <t xml:space="preserve">REKAPITULACE </t>
  </si>
  <si>
    <t>Dodávka přístrojů DTS</t>
  </si>
  <si>
    <t>Dodávka nosného materiálu DTS</t>
  </si>
  <si>
    <t>Montážní práce DTS</t>
  </si>
  <si>
    <t xml:space="preserve">Napájecí panel ACAR F5FA </t>
  </si>
  <si>
    <t>Police 19" 1U</t>
  </si>
  <si>
    <t xml:space="preserve">Zásuvka HDMI </t>
  </si>
  <si>
    <t>Zásuvka TV</t>
  </si>
  <si>
    <t>UPS APC SMART-UPSx7500VA(600W)- 2U</t>
  </si>
  <si>
    <t>SWITCH ARUBA 6000 12G 4xPoE</t>
  </si>
  <si>
    <t xml:space="preserve">SWITCH ARUBA 6000 24G </t>
  </si>
  <si>
    <t>Přepěťová ochrana anténního svodu BSD</t>
  </si>
  <si>
    <t>Napájecí panel</t>
  </si>
  <si>
    <t>Zásuvka HDMI</t>
  </si>
  <si>
    <t xml:space="preserve">UPS </t>
  </si>
  <si>
    <t>POE SWITCH 24x100</t>
  </si>
  <si>
    <t>SWITCH  12x100 POE</t>
  </si>
  <si>
    <t>Zprovoznění sitě - práce IT</t>
  </si>
  <si>
    <t xml:space="preserve">Přepěťová ochrana </t>
  </si>
  <si>
    <t>Měření WIFI signálu</t>
  </si>
  <si>
    <t>Kabel HDMI</t>
  </si>
  <si>
    <t>měření po úsecích - vypsání protokolu</t>
  </si>
  <si>
    <t>RACK 24U 600x600 mm</t>
  </si>
  <si>
    <t xml:space="preserve">Vyvazovací žlab vertikální </t>
  </si>
  <si>
    <t>Vyvazovací háčky D1 40x40</t>
  </si>
  <si>
    <t>Datová zásuvka Cat.6 - 1xRj45. výr. ČR</t>
  </si>
  <si>
    <t>Datová zásuvka Cat.6 - 2xRj45. výr. ČR</t>
  </si>
  <si>
    <t>SLP rozvaděč pod omítku IP30 v=549 š=308 h=88 mm</t>
  </si>
  <si>
    <t>Patch panel Cat.6 24xRj45</t>
  </si>
  <si>
    <t>UTP CAT.6  PE F venkovní kabel</t>
  </si>
  <si>
    <t>UTP CAT.6 UTP</t>
  </si>
  <si>
    <t>Koaxiální kabel venkovní 75 ohmů</t>
  </si>
  <si>
    <t>Instalační trubka PE pr.20 - bezhalogenová</t>
  </si>
  <si>
    <t>Trubka ohebná UNIVOLT vn.pr.16- bezhalogenová</t>
  </si>
  <si>
    <t>Drátěnný žlab MERKUR ARK-211110 vč.nosných prvků</t>
  </si>
  <si>
    <t>Krabice IP 54 vel. š= 177 x v= 126 x tl=69 mm</t>
  </si>
  <si>
    <t>Hmoždinka 8 mm</t>
  </si>
  <si>
    <t>Krabice pod zásuvku  68</t>
  </si>
  <si>
    <t>Drobný instal.materiál (průchodky, šrouby)</t>
  </si>
  <si>
    <t>UTP CAT.6 PEF</t>
  </si>
  <si>
    <t>UTP CAT.6</t>
  </si>
  <si>
    <t xml:space="preserve">Zásuvka 1xRj45 </t>
  </si>
  <si>
    <t>Zásuvka 2xRj45</t>
  </si>
  <si>
    <t>Koaxiální kabel venkovní</t>
  </si>
  <si>
    <t>Instalační trubka PE pr.20</t>
  </si>
  <si>
    <t>Kabel do trubky ohebné pod omítku</t>
  </si>
  <si>
    <t>Drátěný žlab 250x50</t>
  </si>
  <si>
    <t>Mont.hmoždinky 8 mm</t>
  </si>
  <si>
    <t>Mont. venkovní krabice IP 54</t>
  </si>
  <si>
    <t xml:space="preserve">Krabice pod zásuvku - včetně zasekání </t>
  </si>
  <si>
    <t>Značení trasy vedení</t>
  </si>
  <si>
    <t>Měření po úsecích - vypsání protokolu</t>
  </si>
  <si>
    <t>Stavební přípomocné práce, vysekání, zapravení atd.</t>
  </si>
  <si>
    <t>EPS ( elektrická požární signalizace )</t>
  </si>
  <si>
    <t>EZS ( elektrická zabezpečovací signalizace )</t>
  </si>
  <si>
    <t>DTS ( datové a telefonní rozvody )</t>
  </si>
  <si>
    <t>Slaboproudá elektroinstalace</t>
  </si>
  <si>
    <t>Rekapitulace:</t>
  </si>
  <si>
    <t>721: Ostatní</t>
  </si>
  <si>
    <t>001: Zemní práce</t>
  </si>
  <si>
    <t>271: Vedení trubní</t>
  </si>
  <si>
    <t>Kanalizační šachty</t>
  </si>
  <si>
    <t>Celkem</t>
  </si>
  <si>
    <t>Poř.</t>
  </si>
  <si>
    <t>D1.4 - Zdravotechnika</t>
  </si>
  <si>
    <t xml:space="preserve">Geodetické vytyčení </t>
  </si>
  <si>
    <t>Dokumentace skutečného provedení, doklady k přejímce</t>
  </si>
  <si>
    <t>Geodetické zaměření skutečného provedení ( viz techn.podmínky kapitola 1,9 )</t>
  </si>
  <si>
    <t>fotodokumentace výstavby ( viz techn.podmínky kapitola 1,3 )</t>
  </si>
  <si>
    <t>,</t>
  </si>
  <si>
    <t>121151103</t>
  </si>
  <si>
    <t>Sejmutí ornice plochy do 100 m2 tl vrstvy do 200 mm strojně</t>
  </si>
  <si>
    <t>(55-12)*1</t>
  </si>
  <si>
    <t>181311103</t>
  </si>
  <si>
    <t>Rozprostření ornice tl vrstvy do 200 mm v rovině nebo ve svahu do 1:5 ručně</t>
  </si>
  <si>
    <t>113107035</t>
  </si>
  <si>
    <t>(6,5+5,5)*0,8</t>
  </si>
  <si>
    <t>919735124</t>
  </si>
  <si>
    <t>Řezání stávajícího betonového krytu hl přes 150 do 200 mm</t>
  </si>
  <si>
    <t>6+6+5+5</t>
  </si>
  <si>
    <t>132312131</t>
  </si>
  <si>
    <t>Hloubení nezapažených rýh šířky do 800 mm v hornině třídy 3</t>
  </si>
  <si>
    <t>odpočet sond   - 4*0,8*0,8*1,3</t>
  </si>
  <si>
    <t>132551103</t>
  </si>
  <si>
    <t>Hloubení ručně kopaných sond v hornině třídy 3</t>
  </si>
  <si>
    <t>4*0,8*0,8*1,3</t>
  </si>
  <si>
    <t>162251122</t>
  </si>
  <si>
    <t xml:space="preserve">Vodorovné přemístění přes 20 do 50 m výkopku/sypaniny z horniny třídy těžitelnosti II </t>
  </si>
  <si>
    <t>162751117</t>
  </si>
  <si>
    <t>Vodorovné přemístění  výkopku/sypaniny z horniny  na skládku-odvoz přebytečného výkopku-skládku určí zhotovitel</t>
  </si>
  <si>
    <t>171201202</t>
  </si>
  <si>
    <t>Uložení sypaniny na skládku, vč. poplatku za skládkovné</t>
  </si>
  <si>
    <t>174151101</t>
  </si>
  <si>
    <t>175151101</t>
  </si>
  <si>
    <t>Obsypání potrubí strojně sypaninou z vhodných hornin tř. 1 až 4 nebo materiálem připraveným podél výkopu ve vzdálenosti do 3 m od jeho kraje, pro jakoukoliv hloubku výkopu a míru zhutnění bez prohození sypaniny</t>
  </si>
  <si>
    <t>58337310</t>
  </si>
  <si>
    <t>štěrkopísek frakce 0-4</t>
  </si>
  <si>
    <t>Zdemontování odvodňovacího žlabu z betonových příkopových tvárnic š přes 500 do 800 mm pro další použití</t>
  </si>
  <si>
    <t>3,5*1</t>
  </si>
  <si>
    <t>935112111</t>
  </si>
  <si>
    <t xml:space="preserve">Zhotovení příkopového žlabu z původních betonových žlabovek s uložením do betonu tl 100 mm </t>
  </si>
  <si>
    <t>Vyspravení podkladu po překopech inženýrských sítí plochy do 15 m2 s rozprostřením a zhutněním ze štěrkodrti tl. do 250 mm</t>
  </si>
  <si>
    <t>Vyspravení podkladu po překopech inženýrských sítí plochy do 15 m2 s rozprostřením a zhutněním ze směsi stmelenou cementem ( CBGM ) tl. do 150 mm</t>
  </si>
  <si>
    <t>Vyspravení zpevněné plochy pojížděné  po překopech inženýrských sítí plochy do 15 m2 s rozprostřením a zhutněním ze silničního betonu CB II ( C 30/37-XF4, XD3 ) tl. 120 mm</t>
  </si>
  <si>
    <t>581111111</t>
  </si>
  <si>
    <t>Odvoz a likvidace vybouraných hmot na skládku, včetně poplatku za skládkovné</t>
  </si>
  <si>
    <t>zpevněná betonová plocha (6,5+5,5)*0,8*0,2*2,4</t>
  </si>
  <si>
    <t>podklad příkopových tvrárnic 3,5*1*0,1*2,3</t>
  </si>
  <si>
    <t>potrubí 60*3,14*0,33*0,04*2,5</t>
  </si>
  <si>
    <t>831352121</t>
  </si>
  <si>
    <t>Montáž potrubí z trub kameninových hrdlových s integrovaným těsněním výkop sklon do 20 % DN 200</t>
  </si>
  <si>
    <t>899722113</t>
  </si>
  <si>
    <t>Krytí potrubí z plastů výstražnou fólií z PVC 34cm</t>
  </si>
  <si>
    <t>899643111</t>
  </si>
  <si>
    <t>Bednění pro obetonování potrubí otevřený výkop</t>
  </si>
  <si>
    <t>6*0,6</t>
  </si>
  <si>
    <t>899623151</t>
  </si>
  <si>
    <t>Betonové lože a Obetonování potrubí nebo zdiva stok betonem prostým tř. C 16/20 v otevřeném výkopu</t>
  </si>
  <si>
    <t>890211811</t>
  </si>
  <si>
    <t>Bourání šachet z prostého betonu obestavěného prostoru do 1,5 m3</t>
  </si>
  <si>
    <t>0,95*1*4</t>
  </si>
  <si>
    <t>359901211</t>
  </si>
  <si>
    <t>Kamerová prohlídka kanalizačního potrubí s vyhotovením protokolu a záznamu na DVD ( viz techn.podmínky kapitola 3.1.2 )</t>
  </si>
  <si>
    <t>721290112</t>
  </si>
  <si>
    <t>Zkouška těsnosti potrubí kanalizace vodou DN 150/DN 200 včetně vypracování protokolu ze zkoušky</t>
  </si>
  <si>
    <t>830391811</t>
  </si>
  <si>
    <t>Betonová deska pod šachtová dna, 1200x1200x100mm, C16/20 v otevřeném výkopu</t>
  </si>
  <si>
    <t>1,2*1,2*0,1*4</t>
  </si>
  <si>
    <t>Jádrové vrty diamantovými korunkami do stavebních materiálů D přes 150 do 200 mm</t>
  </si>
  <si>
    <t>zapravení původního prostupu do žumpy vodotěsnou maltou ( původní potrubí DN 300 )</t>
  </si>
  <si>
    <t>894414111</t>
  </si>
  <si>
    <t>Osazení železobetonových dílců pro šachty skruží základových (dno)</t>
  </si>
  <si>
    <t>59224339-R</t>
  </si>
  <si>
    <t>dno betonové šachty kanalizační přímé jednolité 1000/600, potrubí kamenina DN 150</t>
  </si>
  <si>
    <t>894411311</t>
  </si>
  <si>
    <t>Osazení železobetonových dílců pro šachty skruží rovných</t>
  </si>
  <si>
    <t>59224050</t>
  </si>
  <si>
    <t>skruž pro kanalizační šachty se zabudovanými stupadly 100 x 25 x 12 cm</t>
  </si>
  <si>
    <t>59224348</t>
  </si>
  <si>
    <t>těsnění elastomerové pro spojení šachetních dílů DN 1000</t>
  </si>
  <si>
    <t>894412411</t>
  </si>
  <si>
    <t>Osazení železobetonových dílců pro šachty skruží přechodových</t>
  </si>
  <si>
    <t>59224312</t>
  </si>
  <si>
    <t>kónus šachetní betonový kapsové plastové stupadlo TBR-Q 625/600/120/SPK</t>
  </si>
  <si>
    <t>5921121651</t>
  </si>
  <si>
    <t>zákrytová deska TZK-Q 625/200/120/T</t>
  </si>
  <si>
    <t>452112111</t>
  </si>
  <si>
    <t>Osazení betonových dílců prstenců nebo rámů pod poklopy a mříže, výšky do 100 mm</t>
  </si>
  <si>
    <t>59224010</t>
  </si>
  <si>
    <t>prstenec betonový vyrovnávací ke krytu šachty 62,5x4x12 cm</t>
  </si>
  <si>
    <t>59224013</t>
  </si>
  <si>
    <t>prstenec betonový vyrovnávací ke krytu šachty 62,5x10x12 cm</t>
  </si>
  <si>
    <t>899104112-R</t>
  </si>
  <si>
    <t>Osazení  poklopů litinových a ocelových včetně rámů</t>
  </si>
  <si>
    <t>Oprava kanalizační přípojky</t>
  </si>
  <si>
    <t xml:space="preserve">       Výplně otvorů venkovní</t>
  </si>
  <si>
    <t>Oprava žumpy</t>
  </si>
  <si>
    <t>6*3</t>
  </si>
  <si>
    <t>Sejmutí ornice plochy do 100 m2 tl vrstvy do 200 mm s přemístěním do 50 m</t>
  </si>
  <si>
    <t xml:space="preserve">Odstranění mazaniny z betonu vyztuženého sítěmi tl do 100 mm </t>
  </si>
  <si>
    <t>001: Zemní práce a bourání</t>
  </si>
  <si>
    <t>(5,4*2,4-0,6*0,6)*0,1</t>
  </si>
  <si>
    <t>Vybourání stropu z desek PZD 209x29x9 cm</t>
  </si>
  <si>
    <t>(4,8*2,1-0,6*0,6)*0,09</t>
  </si>
  <si>
    <t>Odstranění hydroizolace z asfaltových pásů z vnitřního povrchu dna a stěn</t>
  </si>
  <si>
    <t>4,8*1,8+(4,8+1,8)*2*0,6</t>
  </si>
  <si>
    <t>Odvoz a likvidace vybouraných hmot na skládku - beton</t>
  </si>
  <si>
    <t>(1,26+0,875)*2,3</t>
  </si>
  <si>
    <t>Poplatek za skládku - beton</t>
  </si>
  <si>
    <t>16,56*0,006</t>
  </si>
  <si>
    <t>(4,8*2)*0,15</t>
  </si>
  <si>
    <t>Montáž prefa prvku, hmotnost  do  3 t</t>
  </si>
  <si>
    <t>711: Izolace proti vodě</t>
  </si>
  <si>
    <t>Dobetonování spáry mezi panely, po obvodu</t>
  </si>
  <si>
    <t>2,09*0,22*0,03+(5,4+2,4)*2*0,2*0,15</t>
  </si>
  <si>
    <t>12,96*0,00033</t>
  </si>
  <si>
    <t>5,4*2,4*1,15</t>
  </si>
  <si>
    <t>998: Přesun hmot</t>
  </si>
  <si>
    <t>Přesun hmot pro budovy v přes 6 do 12 m</t>
  </si>
  <si>
    <t xml:space="preserve">čočka s dlouhým dosahem </t>
  </si>
  <si>
    <t>montáž expanderu ZX1</t>
  </si>
  <si>
    <t>montáž expanderu ZX8</t>
  </si>
  <si>
    <t>mont. chodbové čočky do detektoru</t>
  </si>
  <si>
    <t>mont. trubka ohebná pod omítku vn. pr.16</t>
  </si>
  <si>
    <t xml:space="preserve"> zapravení prostupů </t>
  </si>
  <si>
    <t>Montáž trubky ohebné 16 pod omítku</t>
  </si>
  <si>
    <t>Poplatek za uložení na skládce (skládkovné) stavebního odpadu z kovů kód odpadu 17 04</t>
  </si>
  <si>
    <t xml:space="preserve">svislé svody </t>
  </si>
  <si>
    <t>jívací soustava na střeše</t>
  </si>
  <si>
    <t>8*7</t>
  </si>
  <si>
    <t>23*2+13*3+27,4*2+13*3+10</t>
  </si>
  <si>
    <t>Poplatek za uložení na skládce (skládkovné) jiné stavební a demoliční odpady kód odpadu 17 09</t>
  </si>
  <si>
    <t>Naložení a odvoz suti a vybouraných hmot na skládku se složením</t>
  </si>
  <si>
    <t>Set pro údržbu střechy. Obsahuje bezpečnostní postroj a pohyblivý zachycovač pádu na poddajném vedení s tlumičem pádu v požadované délce 10. Set je dodáván ve vaku.</t>
  </si>
  <si>
    <t xml:space="preserve">revize systému </t>
  </si>
  <si>
    <t>D + M záchytný systém pro údržbu střechy - revize záchytného systému</t>
  </si>
  <si>
    <t>D + M záchytný systém pro údržbu střechy - kotvící bod</t>
  </si>
  <si>
    <t>D + M záchytný systém pro údržbu střechy - set pro údržbu</t>
  </si>
  <si>
    <t>kotvící bod s okem  pro kotvení do dřevěné konstrukce střechy, z korozivzdorné oceli, pro jištění max. 3 osob proti pádu z výšky . V ceně návrh záchytného systému</t>
  </si>
  <si>
    <t xml:space="preserve">Utěsnění prostupu kotvícího bodu záchtytného systému střešním pláštěm </t>
  </si>
  <si>
    <t>P10,P11,P12</t>
  </si>
  <si>
    <t>Provedení epoxidové penetrace pod stěrku</t>
  </si>
  <si>
    <t>22,72+32,64+31,7+29,47+15,83+2,59+2,77+2,96+21,72+18,28</t>
  </si>
  <si>
    <t>Montáž podlah keramických  lepených flexibilním lepidlem</t>
  </si>
  <si>
    <t xml:space="preserve">PVC podlahová krytina ze čtvercových dílů 600x600 mm, tloušťky min. 1,7 mm, homogenní, vnitřní elektrický odpor &lt; 1 000 000 Ohm,od českého výrobce. Konkrétní typ výběrem objednatele z nabídky dodavatele. </t>
  </si>
  <si>
    <t>Montáž obvodových soklíkůnebo fabionů  výšky 100 mm</t>
  </si>
  <si>
    <t>PVC soklový lišta nebo fabion výšky 100 mm ve stejné barvě jako podlahová krytina</t>
  </si>
  <si>
    <t>Oprava dešťové kanalizace</t>
  </si>
  <si>
    <t>55*(1,3+1)/2*0,8+4*3,14*1,55*(1,3+1)/2*0,6</t>
  </si>
  <si>
    <t>Zpracování výrobní dokumentace kovového fasádního obkladu budovy, která bude řešit i rozdělení barevných ploch, jejich návaznosti na rozích budovy, detaily obkladu teplné izolace a nosný rošt fasádního obkladu. Dokumentace bude předložena ke schválení objednateli a po dokončení stavby předána v tištěné i elektronické podobě.</t>
  </si>
  <si>
    <t>Zpracování výrobní dokumentace krovu budovy. Dokumentace bude řešit  příhradový prvek ve štítu budovy.Dokumentace bude předložena ke schválení objednateli a po dokončení stavby předána v tištěné i elektronické podobě.</t>
  </si>
  <si>
    <t>Kotvení pozednice do nosné konstrukce budovy - závitová tyč pozinkovaná d=14 mm , délka 0,35 m, matice, podložka, zavrtaná do betonové konstrukce 150 mm, lepeno chemickou maltou</t>
  </si>
  <si>
    <t>Kanalizace 8 ks, vodovod 1 ks, kabely docházkového systému 1 ks</t>
  </si>
  <si>
    <t>D + M okno plastové jednokřídlé, rozměr 600 x 900 mm, hloubka rámu 82,5 mm, ocelová výztuha tl. 2 mm, Uf = 0,92 W/m2K, Ug=0,60 W/m2K, středové těsnění, kování s mikroventilací, vč. parotěsné a paropropustné pásky, U=0,9 W/m2K, Rw=32 dB</t>
  </si>
  <si>
    <t>(1,55*2+2,2)*2,9-0,7*2*2</t>
  </si>
  <si>
    <t>(2,1+0,6)*2,9</t>
  </si>
  <si>
    <t>(2,025+2,025+0,475+1,1)*2,9-0,7*2</t>
  </si>
  <si>
    <t>0,9*2,9*2</t>
  </si>
  <si>
    <t>1,9*2,9</t>
  </si>
  <si>
    <t>4,15*3,15-0,8*2</t>
  </si>
  <si>
    <t>4,15*3,37</t>
  </si>
  <si>
    <t>9,675*3,15+3,525*0,23</t>
  </si>
  <si>
    <t>1,5*3,37-0,8*2</t>
  </si>
  <si>
    <t>0,15*0,20*9,7</t>
  </si>
  <si>
    <t>9,7*4*0,52*0,22/1000</t>
  </si>
  <si>
    <t>D + M pákový ovladač pro sklopné okno. Páka, ovládací táhlo délky do 2 m, řetězový převod.</t>
  </si>
  <si>
    <t>Litý cementový potěr  CEMFLOW C25 -F5 tl. 50-70 mm. V ceně okrajové dilatační pásky tl. 8 mm, ochranný nástřik proti vysoušení, přebroušení povrchu pro zajištění soudržnosti následné nášlapné vrstvy, vytvoření smršťovacích spár.</t>
  </si>
  <si>
    <t>"1.NP"</t>
  </si>
  <si>
    <t>"2.NP"</t>
  </si>
  <si>
    <t xml:space="preserve">"1.11" </t>
  </si>
  <si>
    <t xml:space="preserve">"1.12" </t>
  </si>
  <si>
    <t xml:space="preserve">"1.13" </t>
  </si>
  <si>
    <t>"1.15"</t>
  </si>
  <si>
    <t>"1.16"</t>
  </si>
  <si>
    <t xml:space="preserve">"2.12" </t>
  </si>
  <si>
    <t xml:space="preserve">"2.14" </t>
  </si>
  <si>
    <t>"2.15"</t>
  </si>
  <si>
    <t>"2.16"</t>
  </si>
  <si>
    <t xml:space="preserve">"2.13" </t>
  </si>
  <si>
    <t xml:space="preserve">"1.02" </t>
  </si>
  <si>
    <t xml:space="preserve">"1.03" </t>
  </si>
  <si>
    <t xml:space="preserve">"1.04" </t>
  </si>
  <si>
    <t xml:space="preserve">"1.05" </t>
  </si>
  <si>
    <t xml:space="preserve">"1.06" </t>
  </si>
  <si>
    <t xml:space="preserve">"1.10" </t>
  </si>
  <si>
    <t>Vyspravení betonových podlah - praskliny vyškrábat a zalít epoxydovou hmotou (předpoklad do 20%)</t>
  </si>
  <si>
    <t>Mobilní průhlené oplocení parkovištězaměstnanců VAK MB ( rozměr 21x38 m ) na pozemku parc.č. 1029   k.ú Staré Benátky, zhotovené z kovových trubkových rámů výšky 2m s výplní z pozinkovaného drátu, patky plastové na terénu ( oplocení se používá k ohraničení staveniště ) . Montáž , demontáž, pronájem na dobu výstavby.</t>
  </si>
  <si>
    <t>Provedení detailů u prostupů instalací ( kanalizace, vodovod, kabely ) hydroizolační vrstvou z asfaltového pásu , zajišťujících neprostupnost pro radon</t>
  </si>
  <si>
    <t>deska EPS 100 pro konstrukce s trvalým zatížením v tlaku 2000 kg/m2, λ=0,037 W.m-1.K-1,  tl 50mm</t>
  </si>
  <si>
    <t>deska EPS 100 pro konstrukce s trvalým zatížením v tlaku 2000 kg/m2, λ=0,037 W.m-1.K-1,  tl 40mm</t>
  </si>
  <si>
    <t>deska tepelně izolační minerální do fasád  , objemová hmotnost 100 kg/m3 a více, součinitel telné vodivosti λ menší nebo rovno 0,040 W.m-1.K-1, tl 100mm</t>
  </si>
  <si>
    <t>*1,03 'Přepočtené koeficientem množství</t>
  </si>
  <si>
    <t>deska tepelně izolační minerální s podélnými vlákny,  , objemová hmotnost 100 kg/m3 a více, součinitel telné vodivosti λ menší nebo rovno 0,040 W.m-1.K-1, tl 160mm</t>
  </si>
  <si>
    <t>deska tepelně izolační minerální s podélnými vlákny,  , objemová hmotnost 100 kg/m3 a více, součinitel telné vodivosti λ menší nebo rovno 0,040 W.m-1.K-1, tl 100mm</t>
  </si>
  <si>
    <t>26,80*12,20/0,625*0,06*0,16</t>
  </si>
  <si>
    <t>(9,675*4,35+6,145*1,55)*2</t>
  </si>
  <si>
    <t>803,275*1,03 'Přepočtené koeficientem množství</t>
  </si>
  <si>
    <t>dveře interiérové jednokřídlé plné, rám dřevo, výplň voština, povrch MDF, plné, 700x1 970 mm, kování nerez, štítek + klika, oblý tvar,  Rw=27 dB, barva povrchu RAL 5019</t>
  </si>
  <si>
    <t>dveře interiérové jednokřídlé plné, rám dřevo, výplň voština, povrch MDF, plné, 800x1 970 mm, kování nerez, štítek + klika, oblý tvar,  Rw=27 dB, barva povrchu RAL 5019</t>
  </si>
  <si>
    <t>dveře interiérové jednokřídlé ze 2/3 prosklené, sklo opálové,  rám dřevo, výplň voština, povrch MDF, plné, 800x1 970 mm, kování nerez, štítek + klika, oblý tvar,  Rw=27 dB, barva povrchu RAL 5019, rám zasklení v barvě RAL 5024</t>
  </si>
  <si>
    <t>dveře interiérové jednokřídlé dřevěné plné protipožární s odolností REW 30 DP3, 800x1 970 mm, kování nerez, Rw=32 dB, samozavírač, barva na povrchu RAL 5019</t>
  </si>
  <si>
    <t xml:space="preserve">dveře interiérové jednokřídlé dřevěné plné protipožární s odolností REW 30 DP3, tepelně izolační U=1,2 W/(m2.K),  800x1 970 mm, kování nerez, Rw=32 dB, samozavírač, barva na povrchu RAL 5019  </t>
  </si>
  <si>
    <t>dveře interiérové dvoukřídlé ze 2/3 prosklené, sklo opálové,  rám dřevo, výplň voština, povrch MDF, plné, 1450x1 970 mm, kování nerez, štítek + klika, oblý tvar,  Rw=27 dB, barva povrchu RAL 5019, rám zasklení v barvě RAL 5024</t>
  </si>
  <si>
    <t>dveře dvoukřídlé protipožární dřevěné PO REI 30D3-C-, samozavírač s koordinátorem, 1 400x1 970 mm, hlavní křídlo 800 mm,  prosklené křídlo z 1/3, kování nerez-paniková klika, Rw=27 dB, barva povrchu RAL 5019, rám zasklení v barvě RAL 5024</t>
  </si>
  <si>
    <t>práh dveřní dřevěný dubový tl 20mm dl 820mm š 100mm, opatřeno bezbarvým lakem</t>
  </si>
  <si>
    <t>práh dveřní dřevěný dubový tl 20mm dl 720mm š 100mm,opatřeno bezbarvým lakem</t>
  </si>
  <si>
    <t>"T 07"</t>
  </si>
  <si>
    <t>"T01,02,03,04,05"</t>
  </si>
  <si>
    <t>dveře interiérové jednokřídlé plné, rám dřevo, výplň voština, povrch MDF plus folie vzor dub, plné, 700x1 970 mm, kování nerez, štítek + klika, oblý tvar,  Rw=27 dB</t>
  </si>
  <si>
    <t>"T  09"</t>
  </si>
  <si>
    <t>"T  10-13,17-20,29"</t>
  </si>
  <si>
    <t>dveře interiérové jednokřídlé plné, rám dřevo, výplň voština, povrch MDF plus folie vzor dub, plné, 800x1 970 mm, kování nerez, štítek + klika, oblý tvar,  Rw=27 dB</t>
  </si>
  <si>
    <t>"T  08"</t>
  </si>
  <si>
    <t>"T T16, T21"</t>
  </si>
  <si>
    <t>dveře interiérové jednokřídlé ze 2/3 prosklené, sklo opálové,  rám dřevo, výplň voština, povrch MDF plus folie vzor dub, plné, 800x1 970 mm, kování nerez, štítek + klika, oblý tvar,  Rw=27 dB</t>
  </si>
  <si>
    <t>"T 14, 15"</t>
  </si>
  <si>
    <t>dveře interiérové jednokřídlé dřevěné plné protipožární s odolností REW 30 DP3, 800x1 970 mm, kování nerez, Rw=32 dB, samozavírač, barva na povrchu vzor dub</t>
  </si>
  <si>
    <t>"T 06"</t>
  </si>
  <si>
    <t>D + M sekční průmyslová vrata, rozměr průjezdního profilu 3300 x 3600 mm, konstrukce pro vyšší počet otevření/zátěž, vratové křídlo má vestavěné dveře ve středu vrat/pravé-otevíravé ven, klika/klika, klíč-III. bezp. třída (3ks klíče), lamely sendvičového typu tl. 40 mm zateplené  z ocelového plechu, povrchové úprava žárový pozink 275 g/m2 + polyesterový barevná nástřik 25 mikrometrů . Motorický pohon s vyvažovacím systémem a pojistkou proti prasknutí pružin. Prvky vedení vratového křídla z pozinkované oceli. Ovládání pohonu pomocí 4-kanálových dálkových ovladačů - 2ks / 1 kus vrat ). Křídlo vybaveno bezpečnostní optozávorou a bezpečnostní tlakovou lištou na spodním okraji křídla, utěsněno po obvou těsněním z EPDM. Barevné provedení : vnější stěna RAL 8001, vnitřní stěna bílá.</t>
  </si>
  <si>
    <t>D + M sekční průmyslová vrata, rozměr průjezdního profilu 3000 x 3300 mm, konstrukce pro vyšší počet otevření/zátěž, vratové křídlo má vestavěné dveře ve středu vrat/pravé-otevíravé ven, klika/klika, klíč-III. bezp. třída (3ks klíče), lamely sendvičového typu tl. 40 mm zateplené  z ocelového plechu, povrchové úprava žárový pozink 275 g/m2 + polyesterový barevná nástřik 25 mikrometrů . Motorický pohon s vyvažovacím systémem a pojistkou proti prasknutí pružin. Prvky vedení vratového křídla z pozinkované oceli. Ovládání pohonu pomocí 4-kanálových dálkových ovladačů - 2ks / 1 kus vrat ). Křídlo vybaveno bezpečnostní optozávorou a bezpečnostní tlakovou lištou na spodním okraji křídla, utěsněno po obvou těsněním z EPDM. Barevné provedení : vnější stěna RAL 8001, vnitřní stěna bílá.</t>
  </si>
  <si>
    <t>Z02, Z03</t>
  </si>
  <si>
    <t>Z02 , Z03- podrobný popis viz PSV zámečnické</t>
  </si>
  <si>
    <t>Z58</t>
  </si>
  <si>
    <t>D + M pevný žebřík mezi střešními rovinami, šířka 400 mm, délka 1100 mm, nad podlení příčlí 2 madla výšky 1100 mm, nad střechou výstupní lávka 500x600 mm, kotveno do nosné konstrukce střechy, žárově zinkovaná konstrukce . V ceně dodavatelská projektová dokumentace.</t>
  </si>
  <si>
    <t>D + M pevný žebřík na střechu s ochranným oblým košem, nad střechou vstupní lávka, šířka 400 mm, délka 8 880 mm, ochranný koš od 2 100 mm nad upraveným terénem, žárově zinkovaná konstrukce, nad střechou přístupová lávka délky 1530 mm včetně ochranného zábradlí. V ceně dodavatelská projektová dokumentace.</t>
  </si>
  <si>
    <t>D + M bezpečnostní mříž do okna, stavební rozměr okna 600 x 900 mm, tyčový materiál D 10 mm, žárově zinkováno, základní a vrchní nátěr v odstínu RAL 1017, včetně kotvení do stěny</t>
  </si>
  <si>
    <t>D + M zastřešní vstupu, půdorysný rozměr 2 500 x 1 600, nosná konstrukce 2 ks konzol a táhel z nerezových profilů , kotveno do nosné konstrukce pomocí ocelových kotev do chemické malty, odvod vody žlabem z nerez profilu 70x50x2 mm délka 2150 mm, odpad ze žlabu nerez profil 50x50x2 mm délky 2400 mm, zastřešení z čirého bezpečnostního skla . V ceně dodavatelská projektová dokumentace.</t>
  </si>
  <si>
    <t>80 a</t>
  </si>
  <si>
    <t>Pronájem lešení po dobu prací na venkovním opláštění</t>
  </si>
  <si>
    <t>Montáž přechodového profilu mezi podlahovou krytinou z PVC a keramickou dlažbou</t>
  </si>
  <si>
    <t>2*1,6+0,8</t>
  </si>
  <si>
    <t>dlažba keramická slinutá hladká do interiéru , od výrobce z ČR, dodavatel nabídne k výběru ze 3 vzorků</t>
  </si>
  <si>
    <t>schodovka protiskluzná šířky 300 mm, od výrobce z ČR, dodavatel nabídne k výběru ze 3 vzorků</t>
  </si>
  <si>
    <t>dlažba keramická - sokl v. 100 mm, od výrobce z ČR, dodavatel nabídne k výběru ze 3 vzorků</t>
  </si>
  <si>
    <t>Dlaždice keramické, velkoformátové ( délka obvodu dlaždice  od 2,4 m výše ), slinuté , glazované,  otěruvzdornost stuně PEI 4 nebo PEI 5, s rektifikovanými hranami, od českého výrobce.  Třída protiskluznosti R10,dodavatel nabídne k výběru ze 3 vzorků.</t>
  </si>
  <si>
    <t>Dlaždice keramické, velkoformátové ( délka obvodu dlaždice  od 2,4 m výše ), slinuté , glazované,  s rektifikovanými hranami, od českého výrobce. Třída protiskluznosti R11,dodavatel nabídne k výběru ze 3 vzorků.</t>
  </si>
  <si>
    <t>Dlaždice keramické, velkoformátové ( délka obvodu dlaždice  1,8 až 2,4 m ), slinuté , glazované,  , s rektifikovanými hranami, od českého výrobce. Třída protiskluznosti R10,dodavatel nabídne k výběru ze 3 vzorků.</t>
  </si>
  <si>
    <t>PVC podlahová krytina typ 1 - PVC pásy š. min 1,5 m, tloušťky min. 2 mm, heterogenní, třída zátěže 34 a vyšší, od českého výrobce. Konkrétní typ výběrem objednatele z nabídky dodavatele , alespoň ze tří barevných odstínů.</t>
  </si>
  <si>
    <t>PVC podlahová kratina typ 2 - PVC pásy š. min 1,5 m, tloušťky min. 2 mm, heterogenní, třída zátěže 34 a vyšší,od českého výrobce. Konkrétní typ výběrem objednatele z nabídky dodavatele , alespoň ze tří barevných odstínů.</t>
  </si>
  <si>
    <t>Obkladačka keramická, glazovaná velkoformátová ( délka obvodu dlaždice  od 2,4 m výše ),  s rektifikovanými hranami, s hladkým povrchem, od českého výrobce.  Dodavatel nabídne k výběru ze 3 vzorků.</t>
  </si>
  <si>
    <t>Montáž obkladů vnitřních keramických velkoformátových lepených cementovým lepidlem</t>
  </si>
  <si>
    <t>Profily rohové z nerezové oceli lepené flexibilním lepidlem - nároží</t>
  </si>
  <si>
    <t>Základní jednonásobný syntetický nátěr zámečnických konstrukcí vč. přípravy povrchu</t>
  </si>
  <si>
    <t>Krycí dvojásobný syntetický standardní nátěr zámečnických konstrukcí. Odstín dle výběru objednatele.</t>
  </si>
  <si>
    <t>"2.12" (5,6+3)*2*2,95-0,9*2*4-0,8*2*3+5,6*1,1+2,1*3</t>
  </si>
  <si>
    <t>"2.14" (4,2+6,25)*2*2,95-0,9*2-2,1*1,5+(2,1+1,5*2)*0,25-(3,9+0,6*2)*0,55+4,2*6,25</t>
  </si>
  <si>
    <t>"2.15" (3,35+3,1)*2*2,95-2,1*1,5+(2,1+1,5*2)*0,25-0,9*2+3,35*3,1</t>
  </si>
  <si>
    <t>"2.16" (3,83+3,1+0,4)*2*2,95-2,1*1,5+(2,1+1,5*2)*0,25-0,9*2+3,83*3,1</t>
  </si>
  <si>
    <t>"2.17" (2,85+1,63)*2*2,95-0,8*2+2,85*1,63</t>
  </si>
  <si>
    <t>Stavební práce</t>
  </si>
  <si>
    <t>Demontáž a likvidace venkovního stožárového svítidla</t>
  </si>
  <si>
    <t xml:space="preserve">    D6 - Zemní práce pro venkovní osvětlení</t>
  </si>
  <si>
    <t>D8</t>
  </si>
  <si>
    <t>-1187626417</t>
  </si>
  <si>
    <t>-886264169</t>
  </si>
  <si>
    <t>-2071367326</t>
  </si>
  <si>
    <t>800230767</t>
  </si>
  <si>
    <t>-558865136</t>
  </si>
  <si>
    <t>-1416272806</t>
  </si>
  <si>
    <t>-907334604</t>
  </si>
  <si>
    <t>Zemní práce pro venkovní osvětlení</t>
  </si>
  <si>
    <t>Zemní práce pro napájní brány a trasu SLP ( Interkom )</t>
  </si>
  <si>
    <t>KABELOVÁ chránička KOPOFLEX 63</t>
  </si>
  <si>
    <t xml:space="preserve">    D8 - Zemní práce pro napájní brány a trasu SLP ( Interkom )</t>
  </si>
  <si>
    <t xml:space="preserve">Vyčištění vnitřních ploch žumpy. </t>
  </si>
  <si>
    <t>Odvoz a likvidace vybouraných hmot na skládku vč.poplatku - asfaltové hmoty</t>
  </si>
  <si>
    <t>strop žumpy ...5,4*2,4</t>
  </si>
  <si>
    <t>strop žumpy … 5,4*2,4</t>
  </si>
  <si>
    <t>Provedení ochranné vrstvy na izolaci proti zemní vlhkosti -  PE folie tl. 1 mm s nopy</t>
  </si>
  <si>
    <t>Betonové lože stok betonem prostým tř. C 16/20 v otevřeném výkopu</t>
  </si>
  <si>
    <t>60*(0,6*0,10+0,4*0,1)+6*240/360*3,14*0,28*0,1</t>
  </si>
  <si>
    <t>831372121</t>
  </si>
  <si>
    <t>Montáž potrubí z trub kameninových hrdlových s integrovaným těsněním výkop sklon do 20 % DN 300</t>
  </si>
  <si>
    <t>Potrubí kanalizační kameninové hrdlové  DN 150, normální pevnost, spojovací systém F</t>
  </si>
  <si>
    <t>Potrubí kanalizační kameninové hrdlové  DN 200, normální pevnost, spojovací systém F</t>
  </si>
  <si>
    <t>Potrubí kanalizační kameninové hrdlové  DN 300, normální pevnost, spojovací systém C</t>
  </si>
  <si>
    <t>Řez na stávajícím potrubí z kameniny DN 300</t>
  </si>
  <si>
    <t xml:space="preserve">Napojení dvou dříků trub o vnějším  průměru 355 až 385 mm pomocí pružné spojky FLEXSEAL  š. 185 mm. V ceně montáž, spojka </t>
  </si>
  <si>
    <t>Napojení dvou dříků trub o vnějším  průměru 355 až 385 mm - dodávka a montáž vyrovnávacího pryžového kroužku tl. do 20 mm</t>
  </si>
  <si>
    <t>Dodávka a montáž kameninové odbočky DN 200/150</t>
  </si>
  <si>
    <t>Odstranění komunikace z betonu vyztuženého sítěmi tl do 200 mm při překopech ručně</t>
  </si>
  <si>
    <t>HLOUBENÍ KABELOVÉ RÝHY - Zemina třídy 3, šíře 800mm,hloubka 800mm</t>
  </si>
  <si>
    <t>ZÁHOZ KABELOVÉ RÝHY - Zemina třídy 3, šíře 800mm,hloubka 800mm</t>
  </si>
  <si>
    <t>ZŘÍZENÍ KABELOVÉHO LOŽE - Z kopaného písku, bez zakrytí, šíře do 800 mm,tloušťka 250 mm</t>
  </si>
  <si>
    <t>ZŘÍZENÍ KABELOVÉHO LOŽE - Z kopaného písku, bez zakrytí, šíře do 350 mm,tloušťka 250 mm</t>
  </si>
  <si>
    <t>prstenec betonový vyrovnávací ke krytu šachty 62,5x6x12 cm</t>
  </si>
  <si>
    <t>15,944*2</t>
  </si>
  <si>
    <t>55*(0,8*(0,15+0,1+0,3)-3,14*0,186*0,186/4)-6,352</t>
  </si>
  <si>
    <t>6,352+16,354+55*3,14*0,21*0,21/4+3,14*0,6*0,6*(1,28+1,5+1,1+1,04)</t>
  </si>
  <si>
    <t>64,033-30,172</t>
  </si>
  <si>
    <t>Bourání stávajícího kameninového potrubí DN 300</t>
  </si>
  <si>
    <t>revizní šachty  7*(3,14*0,6*0,6*0,15+3,14*1,2*0,12*1,1)*2,3</t>
  </si>
  <si>
    <t>revizní šachty  (4*3,14*0,6*0,6*0,15+3,14*1,2*0,12*(1,28+1,5+1,1+1,04))*2,3</t>
  </si>
  <si>
    <t>Poznámka : přesun hmot v ceně jednotlivých položek</t>
  </si>
  <si>
    <t>1. NP - žb strop</t>
  </si>
  <si>
    <t>2. NP- žb strop</t>
  </si>
  <si>
    <t>1. NP - cihelné stěny</t>
  </si>
  <si>
    <t>délka 0,5 m ( 5 x VZT )</t>
  </si>
  <si>
    <t>0,5*5</t>
  </si>
  <si>
    <t>žaluzie protidešťová kovová s pevnými lamelami, pro potrubí D 160mm,skryté uchycení nebo otvory pro šrouby,síť proti ptactvu nebo hmyzu, barevné provedení sladit z fasádním obkladem</t>
  </si>
  <si>
    <t>Lože pod potrubí ze štěrkopísku fr. 0-4, v otevř. výkopu  (116x0,5x0,1)</t>
  </si>
  <si>
    <t>Obsyp potrubí písčitým materiálem fr. 0-4 (116x0,5x0,1)</t>
  </si>
  <si>
    <t xml:space="preserve">Provedení zásypu vsakovacího objektu z kameniva těženého frakce 16-32 </t>
  </si>
  <si>
    <t>Plastový akumulační box (200l), vč. osazení- vsakovací objekt</t>
  </si>
  <si>
    <t>zapravení rýh ve zdivu cihelném hl do 150 mm š do 300 mm</t>
  </si>
  <si>
    <t>20*0,1*1,8</t>
  </si>
  <si>
    <t>Poznámka : přesun hmot a suti v ceně jednotlivých položek</t>
  </si>
  <si>
    <t>Zemní  práce</t>
  </si>
  <si>
    <t>Úplný rozbor vody s vypracováním protokolu</t>
  </si>
  <si>
    <t>01 - Stavební práce</t>
  </si>
  <si>
    <t xml:space="preserve">Přesun hmot tonážní pro otopná tělesa </t>
  </si>
  <si>
    <t>Přesun hmot tonážní pro armatury</t>
  </si>
  <si>
    <t xml:space="preserve">Přesun hmot tonážní pro rozvody potrubí </t>
  </si>
  <si>
    <t xml:space="preserve">Přesun hmot tonážní pro strojovny </t>
  </si>
  <si>
    <t xml:space="preserve">Přemístění demontovaných kotelen </t>
  </si>
  <si>
    <t>Zdravotně technické instalace</t>
  </si>
  <si>
    <t>01 - Stavební práce-</t>
  </si>
  <si>
    <t>jedn. cena</t>
  </si>
  <si>
    <t>celková cena</t>
  </si>
  <si>
    <t>množství</t>
  </si>
  <si>
    <t>Oprava kanalizační připojky</t>
  </si>
  <si>
    <t>Dodávka prefa stropní desky 2,39*2,09x0,22 m, plné, beton C30/37  XC4, XD1,XA1, krytí výztuže 50 mm. V ceně výrobní dokumentace.</t>
  </si>
  <si>
    <t>Dodávka prefa stropní desky 2,39*2,09x0,22 m, s otvorem 0,6x0,9 m, beton C30/37  XC4, XD1,XA1, krytí výztuže 50 mm. V ceně výrobní dokumentace.</t>
  </si>
  <si>
    <t>Elektroinstalace silnoproudá</t>
  </si>
  <si>
    <t>Vytápění</t>
  </si>
  <si>
    <t>ÚPRAVA POVRCHU - ornice, zatravnění</t>
  </si>
  <si>
    <t>Svislé a vodorovné konstrukce</t>
  </si>
  <si>
    <t>Otryskání betonových stěn a dna žumpy vysokotlakým vodním paprskem, příprava povrchu pro sanaci</t>
  </si>
  <si>
    <t>dno ... 1,8*4,8 m,  stěny …  (1,8*2+4,8*2)*2,8 m</t>
  </si>
  <si>
    <t xml:space="preserve">Sanace povrchu betonu pomocí nástřiku vodotěsné malty tl. 5-10 mm. Např. maltami Ergelit . </t>
  </si>
  <si>
    <t>Zkouška vodotěsnosti jímky podle ČSN 75 0905   (750905) včetně vystavení protokolu.</t>
  </si>
  <si>
    <t>112201103</t>
  </si>
  <si>
    <t>Odtranění pařezů s jejich vykopáním, s přesekáním kořenů a naložením na dopravní prostředek, průměr 500 až 700 mm</t>
  </si>
  <si>
    <t>Lože z betonu C30 pro uložení stropní prefa konstrukce na stávající stěny, pás š. 15 cm tl. do 5 cm</t>
  </si>
  <si>
    <t>D + M dveře hliníkové otvíravé dvoukřídlé s nadsvětlíkem, rozměr 1 800 x 2 400 mm, aktivní křídlo světlá š. 900 mm, Ug= 0,60 W/m2K, včetně parotěsné a paropropustné pásky, U=0,9 W/m2K, Rw=32 dB, rámy s barevnou úpravou RAL 8001, zabudování elektromechanického zámku ( např ABLOY EL 460 ) a systémového kabelu EA 219 . Zámek , kabel i kování dveří dodá dodavatel Intercomu.</t>
  </si>
  <si>
    <t>KABELOVÁ chránička KOPOFLEX 40</t>
  </si>
  <si>
    <t>Osazení kabelové komory z HDPE INTEGRAL 1324-18 do země. Bez dodávky. Komoru dodá dodavatel Interkomu</t>
  </si>
  <si>
    <t>87 a</t>
  </si>
  <si>
    <t xml:space="preserve">Úprava kovového opláštění pro zapuštění Interkomu velikosti 110x350 mm x hl. 60 mm. </t>
  </si>
  <si>
    <t>Přeložka vodovodu</t>
  </si>
  <si>
    <t>Potrubí vodovodní HDPE 100 D32</t>
  </si>
  <si>
    <t>Napojení stávajícího a nového potrubí PE D 32 pomocí mosazné spojky ISIFLO</t>
  </si>
  <si>
    <t>vodovod</t>
  </si>
  <si>
    <t>kanalizace</t>
  </si>
  <si>
    <t>20*0,6*1,2</t>
  </si>
  <si>
    <t>20*0,6*0,3</t>
  </si>
  <si>
    <t>(95+10)*1,1*0,8+7*3,14*1*1*1</t>
  </si>
  <si>
    <t>(95+10-7-2)*1</t>
  </si>
  <si>
    <t>…………..*2</t>
  </si>
  <si>
    <t>zpevněná betonová plocha 8*7*0,2*2,4</t>
  </si>
  <si>
    <t>potrubí ( 94+10)*3,14*0,33*0,04*2,5</t>
  </si>
  <si>
    <t>95+10</t>
  </si>
  <si>
    <t>(95+10)*(0,6*0,10+0,4*0,1)</t>
  </si>
  <si>
    <t>7*(3,14*0,6*0,6*0,15+3,14*1,2*0,12*1,1)</t>
  </si>
  <si>
    <t>1,2*1,2*0,1*7</t>
  </si>
  <si>
    <t>celkem výkop</t>
  </si>
  <si>
    <t>betonové lože pod potrubí</t>
  </si>
  <si>
    <t>betonové lože pod šachty</t>
  </si>
  <si>
    <t>obsyp pískem</t>
  </si>
  <si>
    <t>(95+10)*(0,8*(0,15+0,10+0,3)-3,14*0,242*0,242/4)-10,5</t>
  </si>
  <si>
    <t>objem kanalizačního potrubí</t>
  </si>
  <si>
    <t>zemina odvezená na skládku</t>
  </si>
  <si>
    <t>celkem</t>
  </si>
  <si>
    <t>Ručně kopané sondy ke zjištění skutečné polohy sítí</t>
  </si>
  <si>
    <t>Přeložka kabelových vedení</t>
  </si>
  <si>
    <t>ruční výkop k odhalení kabelových vedení</t>
  </si>
  <si>
    <t>uložení kabelových  vedení do dělených plastových  chrániček KOPOHALF 110</t>
  </si>
  <si>
    <t>kabelové vedení</t>
  </si>
  <si>
    <t>25*0,6*1,0</t>
  </si>
  <si>
    <t>25*0,6*0,3</t>
  </si>
  <si>
    <t>opatrné přemístění kabelových vedení</t>
  </si>
  <si>
    <t>Kanalizační poklop BEGU tř. A 15 bez odvětrání</t>
  </si>
  <si>
    <t>dno betonové šachty kanalizační přímé jednolité 1000/500, potrubí kamenina DN 200, kyneta z kameniny</t>
  </si>
  <si>
    <t>dno betonové šachty kanalizační přímé jednolité 1000/500, potrubí kamenina DN 300, kyneta z kameniny</t>
  </si>
  <si>
    <t>prstenec betonový vyrovnávací ke krytu šachty 62,5x6x4 cm</t>
  </si>
  <si>
    <t>prstenec betonový vyrovnávací ke krytu šachty 62,5x8x10 cm</t>
  </si>
  <si>
    <t>Opatrné vybourání potrubí nátoku a výtoku z lapolu</t>
  </si>
  <si>
    <t>Jádrový vývrt do betonové stěny lapolu DN 300 pro nové napojení potrubí z kameniny DN 200 - tl. stěny 300 mm</t>
  </si>
  <si>
    <t>Vodotěsné zapravení prostupu stěnou lapolu - potrubí kamenina DN 200. Malta ERGELIT.</t>
  </si>
  <si>
    <t>Odbočka kameninová kanalizační 200/150 - 90°</t>
  </si>
  <si>
    <t>Koleno kameninové kanalizační 200-45°</t>
  </si>
  <si>
    <t>271: Vedení trubní - vše normální pevnost</t>
  </si>
  <si>
    <t>Přechodový kus kameninový kanalizační 125/150</t>
  </si>
  <si>
    <t>Přechodový kus kameninový kanalizační 150/200</t>
  </si>
  <si>
    <t>Zařízení staveniště, provoz staveniště, odstranění staveniště a včetně jejího oplocení. Na stavbě bude stavební buňka ve které budou konány kontrolní dny.</t>
  </si>
  <si>
    <t>Provoz investora. Práce spojené se stěhováním a ochranou zařízení objednatele v místnostech 1.26 a 1.22 ( viz bod 6.3.3  v textové části zadávací dokumentace ).</t>
  </si>
  <si>
    <t>Pojištění stavby ( viz bod 6.3.3  v textové části zadávací dokumentace ).</t>
  </si>
  <si>
    <t>Staveništní připojení na vodovod a elektrickou energii</t>
  </si>
  <si>
    <t>Dokumentace skutečného provedení stavby (viz bod 1.9 TPVS-Technické podmínky vodohospodářských staveb objednatele)</t>
  </si>
  <si>
    <t xml:space="preserve">Vyčištění vnitřních ploch lapolu. </t>
  </si>
  <si>
    <t>Provedení měření umělého osvětlení v místnostech 1.02, 1.03, 1.04, 1.21, 1.22,  případně  s výpočtem činitele denní osvětlenosti, a porovnání s normovými hodnotami pro sdružené / umělé osvětlení pro pracoviště dle ustanovení paragrafu 2 odstavce 1 písmene b) zkona č. 309/2006 ve spojení s paragrafem 45 nařízení vlády č. 361/2007 Sb. Viz vyjádření Kraské hygianické stanice .</t>
  </si>
  <si>
    <t>Měření hluku v  bytu při maximálním provozu ve svářečské a zámečnocké dílně  s porovnáním s hlukovými limity v paragrafu 30 odstavec 1 zákona a dle požadavků paragrafu 11 nařízení vlády č. 272/20011 Sb.Viz vyjádření Kraské hygianické stanice .</t>
  </si>
  <si>
    <t>Odběr vzorku vody z vnitřního rozvodu , rozbor mikrobiologického stanovení dle požadavku přílohy č.5 vyhlášky č. 252/2004 Sb., vystavení protokolu o rozboru. Viz vyjádření Kraské hygianické stanice .</t>
  </si>
  <si>
    <t>brána kovová posuvná výšky 1,7 m , délka 5,9 m pro průjezdní profil 4 m  z jakl profilů ( rám 160/80/4, svislá výplň 15/15/3 po 150 mm, včetně vodicích a dorazových sloupků 120/120/3 mm,  žárový zinek 275 g/m2, barevný nátěr tl.250 mikrometrů vhodný na pozinkovaný povrch v odstínu RAL 6001, včetně sloupků, elektrického pohonu , ovládací jednotky, podrobný popis viz PD - DÁLKOVÉ OVLADAČE NEJSOU SOUČÁSTÍ DODÁVKY.                   Na sloupku vjezdové brány bude umístěn interkom s 6 tlačítky a integrovaným snímačem karet Aktion. Ovládání brány bude zajištěno pomocí snímače karet, dálkových ovladačů a vzdáleného otevření
přes interkom. Interkom a snímače karet dodá a osadí dodavatel Interkom - zajistí objednatel.</t>
  </si>
  <si>
    <t>Sešívání trhlin v betonových podlahách nerezovými sponkami ve vzdálenosti přes 10 do 15 cm</t>
  </si>
  <si>
    <t>12,65+11,95+5,85+6,35+13+6,35+9,25+10,45+5,4+3,6+8,15+9,45</t>
  </si>
  <si>
    <t>u vjezdové brány</t>
  </si>
  <si>
    <t>5,75*2+1,35</t>
  </si>
  <si>
    <t>"pro ZP.02"  8,4+7,2+22</t>
  </si>
  <si>
    <t>6*(2,73-0,22)</t>
  </si>
  <si>
    <t>(22,95-2+14,15-2,46)*1,0+8,5*6,95</t>
  </si>
  <si>
    <t>6*( 2,72-0,3)</t>
  </si>
  <si>
    <t>5,75*1,35</t>
  </si>
  <si>
    <t>pro osazení chráničky a instalaci brány</t>
  </si>
  <si>
    <t>oprava plochy po přeložce kabelů</t>
  </si>
  <si>
    <t>8.5*6,95</t>
  </si>
  <si>
    <t xml:space="preserve">*2 </t>
  </si>
  <si>
    <t>(6+6+6+6+8+7)*2+46</t>
  </si>
  <si>
    <t>12,7+11+28,05+10,45+8,5+8,15+10,05</t>
  </si>
  <si>
    <t>(12,7+11+28,05+10,45+8,5+8,15+10,05)*1,0</t>
  </si>
  <si>
    <t>Zhotovení podkladního čtvercového prstence pod rám poklopu, beton C25, výška 15 cm, vnější rozměr 900x900xmm</t>
  </si>
  <si>
    <t>Osazení rámu poklopu vnější rozměr 800x800xmm</t>
  </si>
  <si>
    <t>Šetrné vybourání ocelového rámu poklopu 600x600 mm</t>
  </si>
  <si>
    <t>Nové vidlicové ocelové kapsové stupadlo s PE potahem ( např. KASI SADS  ) s vyložením 160 mm do předvrtaných otvorů</t>
  </si>
  <si>
    <t>utěsnění napojení potrubí z kameniny DN 150 do stěny žumpy s vodotěným zapravením prostupu</t>
  </si>
  <si>
    <t>Osetí travou vč. dodání semene</t>
  </si>
  <si>
    <t>Krytí potrubí kanalizace, vodovodu a kabeových vedení z plastů výstražnou fólií z PVC 34cm</t>
  </si>
  <si>
    <t>Rack 24U</t>
  </si>
  <si>
    <t>upraven popis položky</t>
  </si>
  <si>
    <t>kabel PRAFLasafe 3x1,5-O</t>
  </si>
  <si>
    <t>mont.trubky ocelové 25ZN/3 m</t>
  </si>
  <si>
    <t>nová položka</t>
  </si>
  <si>
    <t>modul GSM +  redukce</t>
  </si>
  <si>
    <t>mont. modulu GSM</t>
  </si>
  <si>
    <t>příchytky  20</t>
  </si>
  <si>
    <t>Router</t>
  </si>
  <si>
    <t>ROUTER Mikrotik RB 3011UiAS-RM</t>
  </si>
  <si>
    <t xml:space="preserve">    D5 - Uložný materiál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</si>
</sst>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#,##0.00%"/>
    <numFmt numFmtId="165" formatCode="dd\.mm\.yyyy"/>
    <numFmt numFmtId="166" formatCode="#,##0.00000"/>
    <numFmt numFmtId="167" formatCode="#,##0.000"/>
    <numFmt numFmtId="168" formatCode="0.0000"/>
    <numFmt numFmtId="169" formatCode="0.0"/>
    <numFmt numFmtId="170" formatCode="_(#,##0&quot;.&quot;_);;;_(@_)"/>
    <numFmt numFmtId="171" formatCode="_(#,##0.0??;\-\ #,##0.0??;&quot;–&quot;???;_(@_)"/>
    <numFmt numFmtId="172" formatCode="#,##0.00\ &quot;Kč&quot;"/>
  </numFmts>
  <fonts count="83">
    <font>
      <sz val="8"/>
      <name val="Arial CE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1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  <font>
      <sz val="8"/>
      <color rgb="FFC00000"/>
      <name val="Arial CE"/>
      <family val="2"/>
    </font>
    <font>
      <i/>
      <vertAlign val="subscript"/>
      <sz val="9"/>
      <color rgb="FF0000FF"/>
      <name val="Arial CE"/>
      <family val="2"/>
    </font>
    <font>
      <sz val="7"/>
      <name val="Arial CE"/>
      <family val="2"/>
    </font>
    <font>
      <sz val="8"/>
      <color rgb="FF204C82"/>
      <name val="Arial CE"/>
      <family val="2"/>
    </font>
    <font>
      <sz val="7"/>
      <color rgb="FF204C82"/>
      <name val="Arial CE"/>
      <family val="2"/>
    </font>
    <font>
      <b/>
      <sz val="18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sz val="20"/>
      <color rgb="FFFF0000"/>
      <name val="Arial Black"/>
      <family val="2"/>
    </font>
    <font>
      <sz val="12"/>
      <name val="Arial"/>
      <family val="2"/>
    </font>
    <font>
      <b/>
      <sz val="10"/>
      <name val="Arial"/>
      <family val="2"/>
    </font>
    <font>
      <sz val="14"/>
      <name val="Arial Black"/>
      <family val="2"/>
    </font>
    <font>
      <b/>
      <sz val="14"/>
      <name val="Arial Black"/>
      <family val="2"/>
    </font>
    <font>
      <sz val="9"/>
      <name val="Arial"/>
      <family val="2"/>
    </font>
    <font>
      <sz val="18"/>
      <name val="Arial"/>
      <family val="2"/>
    </font>
    <font>
      <b/>
      <sz val="18"/>
      <color indexed="17"/>
      <name val="Arial"/>
      <family val="2"/>
    </font>
    <font>
      <b/>
      <i/>
      <sz val="18"/>
      <name val="Arial"/>
      <family val="2"/>
    </font>
    <font>
      <sz val="18"/>
      <name val="Arial CE"/>
      <family val="2"/>
    </font>
    <font>
      <sz val="11"/>
      <color rgb="FF9C5700"/>
      <name val="Calibri"/>
      <family val="2"/>
      <scheme val="minor"/>
    </font>
    <font>
      <sz val="11"/>
      <color rgb="FF9C6500"/>
      <name val="Calibri"/>
      <family val="2"/>
      <scheme val="minor"/>
    </font>
    <font>
      <sz val="16"/>
      <name val="Arial CE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18"/>
      <name val="Arial"/>
      <family val="2"/>
    </font>
    <font>
      <sz val="10"/>
      <color indexed="8"/>
      <name val="Arial CE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color indexed="18"/>
      <name val="Arial"/>
      <family val="2"/>
    </font>
    <font>
      <b/>
      <sz val="11"/>
      <color indexed="8"/>
      <name val="Arial CE"/>
      <family val="2"/>
    </font>
    <font>
      <b/>
      <sz val="11"/>
      <color indexed="8"/>
      <name val="Arial"/>
      <family val="2"/>
    </font>
    <font>
      <sz val="10"/>
      <color indexed="18"/>
      <name val="Arial"/>
      <family val="2"/>
    </font>
    <font>
      <b/>
      <sz val="10"/>
      <color indexed="61"/>
      <name val="Arial"/>
      <family val="2"/>
    </font>
    <font>
      <b/>
      <i/>
      <sz val="1"/>
      <color theme="0"/>
      <name val="Calibri"/>
      <family val="2"/>
      <scheme val="minor"/>
    </font>
    <font>
      <sz val="9"/>
      <color indexed="8"/>
      <name val="Arial"/>
      <family val="2"/>
    </font>
    <font>
      <i/>
      <sz val="9"/>
      <name val="Arial"/>
      <family val="2"/>
    </font>
    <font>
      <i/>
      <sz val="9"/>
      <name val="Arial CE"/>
      <family val="2"/>
    </font>
    <font>
      <b/>
      <sz val="9"/>
      <color rgb="FFC00000"/>
      <name val="Arial"/>
      <family val="2"/>
    </font>
    <font>
      <i/>
      <sz val="8"/>
      <color rgb="FF0000FF"/>
      <name val="Trebuchet MS"/>
      <family val="2"/>
    </font>
    <font>
      <b/>
      <sz val="9"/>
      <color rgb="FF969696"/>
      <name val="Arial CE"/>
      <family val="2"/>
    </font>
    <font>
      <b/>
      <sz val="16"/>
      <name val="Arial CE"/>
      <family val="2"/>
    </font>
    <font>
      <sz val="14"/>
      <color rgb="FF003366"/>
      <name val="Arial CE"/>
      <family val="2"/>
    </font>
    <font>
      <sz val="20"/>
      <name val="Arial Black"/>
      <family val="2"/>
    </font>
    <font>
      <b/>
      <sz val="12"/>
      <name val="Arial"/>
      <family val="2"/>
    </font>
  </fonts>
  <fills count="22">
    <fill>
      <patternFill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C0C0C0"/>
        <bgColor indexed="64"/>
      </patternFill>
    </fill>
  </fills>
  <borders count="4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hair"/>
    </border>
    <border>
      <left style="medium"/>
      <right style="medium"/>
      <top style="hair"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/>
      <right/>
      <top style="thick"/>
      <bottom/>
    </border>
    <border>
      <left style="hair"/>
      <right style="hair"/>
      <top style="hair"/>
      <bottom style="hair"/>
    </border>
    <border>
      <left/>
      <right style="medium"/>
      <top/>
      <bottom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1" fillId="0" borderId="0">
      <alignment/>
      <protection/>
    </xf>
    <xf numFmtId="0" fontId="59" fillId="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</cellStyleXfs>
  <cellXfs count="85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7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6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6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3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4" fontId="21" fillId="0" borderId="14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" fontId="29" fillId="0" borderId="14" xfId="0" applyNumberFormat="1" applyFont="1" applyBorder="1" applyAlignment="1">
      <alignment vertical="center"/>
    </xf>
    <xf numFmtId="4" fontId="29" fillId="0" borderId="0" xfId="0" applyNumberFormat="1" applyFont="1" applyBorder="1" applyAlignment="1">
      <alignment vertical="center"/>
    </xf>
    <xf numFmtId="166" fontId="29" fillId="0" borderId="0" xfId="0" applyNumberFormat="1" applyFont="1" applyBorder="1" applyAlignment="1">
      <alignment vertical="center"/>
    </xf>
    <xf numFmtId="4" fontId="29" fillId="0" borderId="12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30" fillId="0" borderId="0" xfId="2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3" fillId="0" borderId="14" xfId="0" applyNumberFormat="1" applyFont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166" fontId="3" fillId="0" borderId="0" xfId="0" applyNumberFormat="1" applyFont="1" applyBorder="1" applyAlignment="1">
      <alignment vertical="center"/>
    </xf>
    <xf numFmtId="4" fontId="3" fillId="0" borderId="12" xfId="0" applyNumberFormat="1" applyFont="1" applyBorder="1" applyAlignment="1">
      <alignment vertical="center"/>
    </xf>
    <xf numFmtId="4" fontId="29" fillId="0" borderId="15" xfId="0" applyNumberFormat="1" applyFont="1" applyBorder="1" applyAlignment="1">
      <alignment vertical="center"/>
    </xf>
    <xf numFmtId="4" fontId="29" fillId="0" borderId="16" xfId="0" applyNumberFormat="1" applyFont="1" applyBorder="1" applyAlignment="1">
      <alignment vertical="center"/>
    </xf>
    <xf numFmtId="166" fontId="29" fillId="0" borderId="16" xfId="0" applyNumberFormat="1" applyFont="1" applyBorder="1" applyAlignment="1">
      <alignment vertical="center"/>
    </xf>
    <xf numFmtId="4" fontId="29" fillId="0" borderId="17" xfId="0" applyNumberFormat="1" applyFont="1" applyBorder="1" applyAlignment="1">
      <alignment vertical="center"/>
    </xf>
    <xf numFmtId="0" fontId="0" fillId="0" borderId="0" xfId="0" applyProtection="1">
      <protection/>
    </xf>
    <xf numFmtId="4" fontId="23" fillId="0" borderId="18" xfId="0" applyNumberFormat="1" applyFont="1" applyBorder="1" applyAlignment="1" applyProtection="1">
      <alignment vertical="center"/>
      <protection locked="0"/>
    </xf>
    <xf numFmtId="4" fontId="37" fillId="0" borderId="18" xfId="0" applyNumberFormat="1" applyFont="1" applyBorder="1" applyAlignment="1" applyProtection="1">
      <alignment vertical="center"/>
      <protection locked="0"/>
    </xf>
    <xf numFmtId="4" fontId="37" fillId="0" borderId="0" xfId="0" applyNumberFormat="1" applyFont="1" applyBorder="1" applyAlignment="1" applyProtection="1">
      <alignment vertical="center"/>
      <protection locked="0"/>
    </xf>
    <xf numFmtId="0" fontId="0" fillId="0" borderId="0" xfId="0" applyFont="1" applyFill="1" applyAlignment="1">
      <alignment vertical="center"/>
    </xf>
    <xf numFmtId="4" fontId="37" fillId="0" borderId="18" xfId="0" applyNumberFormat="1" applyFont="1" applyFill="1" applyBorder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4" fontId="23" fillId="0" borderId="18" xfId="0" applyNumberFormat="1" applyFont="1" applyFill="1" applyBorder="1" applyAlignment="1" applyProtection="1">
      <alignment vertical="center"/>
      <protection locked="0"/>
    </xf>
    <xf numFmtId="4" fontId="23" fillId="0" borderId="0" xfId="0" applyNumberFormat="1" applyFont="1" applyBorder="1" applyAlignment="1" applyProtection="1">
      <alignment vertical="center"/>
      <protection locked="0"/>
    </xf>
    <xf numFmtId="0" fontId="9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3" fillId="0" borderId="0" xfId="0" applyFont="1" applyAlignment="1">
      <alignment horizontal="center" vertical="center" wrapText="1"/>
    </xf>
    <xf numFmtId="0" fontId="57" fillId="0" borderId="19" xfId="0" applyFont="1" applyFill="1" applyBorder="1" applyAlignment="1">
      <alignment horizontal="center"/>
    </xf>
    <xf numFmtId="0" fontId="57" fillId="0" borderId="20" xfId="0" applyFont="1" applyFill="1" applyBorder="1" applyAlignment="1">
      <alignment horizontal="center"/>
    </xf>
    <xf numFmtId="168" fontId="1" fillId="0" borderId="0" xfId="0" applyNumberFormat="1" applyFont="1" applyBorder="1" applyAlignment="1">
      <alignment horizontal="center" vertical="center"/>
    </xf>
    <xf numFmtId="0" fontId="4" fillId="0" borderId="0" xfId="0" applyFont="1" applyBorder="1"/>
    <xf numFmtId="0" fontId="47" fillId="0" borderId="0" xfId="0" applyFont="1" applyAlignment="1">
      <alignment vertical="center"/>
    </xf>
    <xf numFmtId="0" fontId="54" fillId="0" borderId="20" xfId="0" applyFont="1" applyFill="1" applyBorder="1" applyAlignment="1">
      <alignment horizontal="center"/>
    </xf>
    <xf numFmtId="0" fontId="28" fillId="0" borderId="0" xfId="0" applyFont="1" applyAlignment="1">
      <alignment vertical="center"/>
    </xf>
    <xf numFmtId="4" fontId="54" fillId="0" borderId="20" xfId="0" applyNumberFormat="1" applyFont="1" applyFill="1" applyBorder="1" applyAlignment="1">
      <alignment horizontal="right" vertical="center" indent="1"/>
    </xf>
    <xf numFmtId="0" fontId="0" fillId="0" borderId="0" xfId="0" applyFill="1"/>
    <xf numFmtId="0" fontId="57" fillId="0" borderId="20" xfId="22" applyFont="1" applyFill="1" applyBorder="1" applyAlignment="1">
      <alignment horizontal="center"/>
      <protection/>
    </xf>
    <xf numFmtId="0" fontId="57" fillId="0" borderId="20" xfId="0" applyFont="1" applyFill="1" applyBorder="1" applyAlignment="1">
      <alignment wrapText="1"/>
    </xf>
    <xf numFmtId="0" fontId="60" fillId="0" borderId="0" xfId="0" applyFont="1"/>
    <xf numFmtId="4" fontId="60" fillId="0" borderId="0" xfId="0" applyNumberFormat="1" applyFont="1"/>
    <xf numFmtId="0" fontId="28" fillId="0" borderId="0" xfId="0" applyFont="1" applyAlignment="1">
      <alignment vertical="center"/>
    </xf>
    <xf numFmtId="49" fontId="0" fillId="0" borderId="18" xfId="0" applyNumberFormat="1" applyFont="1" applyBorder="1" applyAlignment="1" applyProtection="1">
      <alignment horizontal="left" vertical="center" wrapText="1"/>
      <protection/>
    </xf>
    <xf numFmtId="0" fontId="0" fillId="0" borderId="18" xfId="0" applyFont="1" applyBorder="1" applyAlignment="1" applyProtection="1">
      <alignment horizontal="left" vertical="center" wrapText="1"/>
      <protection/>
    </xf>
    <xf numFmtId="49" fontId="77" fillId="0" borderId="18" xfId="0" applyNumberFormat="1" applyFont="1" applyBorder="1" applyAlignment="1" applyProtection="1">
      <alignment horizontal="left" vertical="center" wrapText="1"/>
      <protection/>
    </xf>
    <xf numFmtId="0" fontId="77" fillId="0" borderId="18" xfId="0" applyFont="1" applyBorder="1" applyAlignment="1" applyProtection="1">
      <alignment horizontal="left" vertical="center" wrapText="1"/>
      <protection/>
    </xf>
    <xf numFmtId="0" fontId="77" fillId="0" borderId="18" xfId="0" applyFont="1" applyFill="1" applyBorder="1" applyAlignment="1" applyProtection="1">
      <alignment horizontal="left" vertical="center" wrapText="1"/>
      <protection/>
    </xf>
    <xf numFmtId="0" fontId="28" fillId="0" borderId="0" xfId="0" applyFont="1" applyAlignment="1">
      <alignment vertical="center"/>
    </xf>
    <xf numFmtId="0" fontId="0" fillId="0" borderId="3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0" fillId="0" borderId="0" xfId="0"/>
    <xf numFmtId="0" fontId="0" fillId="0" borderId="0" xfId="0" applyBorder="1" applyAlignment="1">
      <alignment vertical="center"/>
    </xf>
    <xf numFmtId="49" fontId="0" fillId="0" borderId="18" xfId="0" applyNumberFormat="1" applyFont="1" applyFill="1" applyBorder="1" applyAlignment="1" applyProtection="1">
      <alignment horizontal="left" vertical="center" wrapText="1"/>
      <protection/>
    </xf>
    <xf numFmtId="0" fontId="0" fillId="0" borderId="18" xfId="0" applyFont="1" applyFill="1" applyBorder="1" applyAlignment="1" applyProtection="1">
      <alignment horizontal="left" vertical="center" wrapText="1"/>
      <protection/>
    </xf>
    <xf numFmtId="49" fontId="77" fillId="0" borderId="18" xfId="0" applyNumberFormat="1" applyFont="1" applyFill="1" applyBorder="1" applyAlignment="1" applyProtection="1">
      <alignment horizontal="left" vertical="center" wrapText="1"/>
      <protection/>
    </xf>
    <xf numFmtId="0" fontId="24" fillId="0" borderId="21" xfId="0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center" vertical="center" wrapText="1"/>
    </xf>
    <xf numFmtId="0" fontId="24" fillId="0" borderId="23" xfId="0" applyFont="1" applyFill="1" applyBorder="1" applyAlignment="1">
      <alignment horizontal="center" vertical="center" wrapText="1"/>
    </xf>
    <xf numFmtId="0" fontId="0" fillId="0" borderId="24" xfId="0" applyFill="1" applyBorder="1"/>
    <xf numFmtId="0" fontId="45" fillId="0" borderId="25" xfId="0" applyFont="1" applyFill="1" applyBorder="1" applyAlignment="1">
      <alignment wrapText="1"/>
    </xf>
    <xf numFmtId="0" fontId="0" fillId="0" borderId="25" xfId="0" applyFill="1" applyBorder="1"/>
    <xf numFmtId="0" fontId="46" fillId="0" borderId="26" xfId="0" applyFont="1" applyFill="1" applyBorder="1" applyAlignment="1">
      <alignment horizontal="right" indent="2"/>
    </xf>
    <xf numFmtId="0" fontId="47" fillId="0" borderId="27" xfId="0" applyFont="1" applyFill="1" applyBorder="1" applyAlignment="1">
      <alignment horizontal="center"/>
    </xf>
    <xf numFmtId="0" fontId="48" fillId="0" borderId="0" xfId="0" applyFont="1" applyFill="1" applyBorder="1" applyAlignment="1">
      <alignment wrapText="1"/>
    </xf>
    <xf numFmtId="0" fontId="0" fillId="0" borderId="0" xfId="0" applyFill="1" applyBorder="1"/>
    <xf numFmtId="0" fontId="50" fillId="0" borderId="27" xfId="0" applyFont="1" applyFill="1" applyBorder="1"/>
    <xf numFmtId="0" fontId="51" fillId="0" borderId="0" xfId="0" applyFont="1" applyFill="1" applyBorder="1" applyAlignment="1">
      <alignment wrapText="1"/>
    </xf>
    <xf numFmtId="0" fontId="52" fillId="0" borderId="0" xfId="0" applyFont="1" applyFill="1" applyBorder="1" applyAlignment="1">
      <alignment horizontal="center"/>
    </xf>
    <xf numFmtId="0" fontId="0" fillId="0" borderId="28" xfId="0" applyFill="1" applyBorder="1"/>
    <xf numFmtId="0" fontId="0" fillId="0" borderId="29" xfId="0" applyFill="1" applyBorder="1" applyAlignment="1">
      <alignment wrapText="1"/>
    </xf>
    <xf numFmtId="0" fontId="0" fillId="0" borderId="29" xfId="0" applyFill="1" applyBorder="1"/>
    <xf numFmtId="0" fontId="0" fillId="0" borderId="30" xfId="0" applyFill="1" applyBorder="1"/>
    <xf numFmtId="0" fontId="53" fillId="0" borderId="31" xfId="0" applyFont="1" applyFill="1" applyBorder="1" applyAlignment="1">
      <alignment horizontal="center" vertical="center" wrapText="1"/>
    </xf>
    <xf numFmtId="0" fontId="50" fillId="0" borderId="31" xfId="0" applyFont="1" applyFill="1" applyBorder="1" applyAlignment="1">
      <alignment horizontal="center" vertical="center" wrapText="1"/>
    </xf>
    <xf numFmtId="0" fontId="54" fillId="0" borderId="19" xfId="0" applyFont="1" applyFill="1" applyBorder="1" applyAlignment="1">
      <alignment vertical="center"/>
    </xf>
    <xf numFmtId="0" fontId="45" fillId="0" borderId="19" xfId="0" applyFont="1" applyFill="1" applyBorder="1" applyAlignment="1">
      <alignment vertical="center" wrapText="1"/>
    </xf>
    <xf numFmtId="0" fontId="54" fillId="0" borderId="19" xfId="0" applyFont="1" applyFill="1" applyBorder="1" applyAlignment="1">
      <alignment horizontal="right" vertical="center"/>
    </xf>
    <xf numFmtId="0" fontId="54" fillId="0" borderId="20" xfId="0" applyFont="1" applyFill="1" applyBorder="1" applyAlignment="1">
      <alignment horizontal="center" vertical="center"/>
    </xf>
    <xf numFmtId="0" fontId="54" fillId="0" borderId="20" xfId="0" applyFont="1" applyFill="1" applyBorder="1" applyAlignment="1">
      <alignment vertical="center" wrapText="1"/>
    </xf>
    <xf numFmtId="0" fontId="54" fillId="0" borderId="20" xfId="0" applyFont="1" applyFill="1" applyBorder="1" applyAlignment="1">
      <alignment vertical="center"/>
    </xf>
    <xf numFmtId="4" fontId="54" fillId="0" borderId="20" xfId="0" applyNumberFormat="1" applyFont="1" applyFill="1" applyBorder="1" applyAlignment="1">
      <alignment horizontal="right" vertical="center"/>
    </xf>
    <xf numFmtId="0" fontId="54" fillId="0" borderId="20" xfId="0" applyFont="1" applyFill="1" applyBorder="1" applyAlignment="1">
      <alignment vertical="center" wrapText="1"/>
    </xf>
    <xf numFmtId="0" fontId="45" fillId="0" borderId="32" xfId="0" applyFont="1" applyFill="1" applyBorder="1" applyAlignment="1">
      <alignment vertical="center"/>
    </xf>
    <xf numFmtId="0" fontId="45" fillId="0" borderId="33" xfId="0" applyFont="1" applyFill="1" applyBorder="1" applyAlignment="1">
      <alignment vertical="center" wrapText="1"/>
    </xf>
    <xf numFmtId="0" fontId="45" fillId="0" borderId="33" xfId="0" applyFont="1" applyFill="1" applyBorder="1" applyAlignment="1">
      <alignment vertical="center"/>
    </xf>
    <xf numFmtId="4" fontId="55" fillId="0" borderId="34" xfId="0" applyNumberFormat="1" applyFont="1" applyFill="1" applyBorder="1" applyAlignment="1">
      <alignment horizontal="right" vertical="center"/>
    </xf>
    <xf numFmtId="0" fontId="54" fillId="0" borderId="32" xfId="0" applyFont="1" applyFill="1" applyBorder="1"/>
    <xf numFmtId="0" fontId="54" fillId="0" borderId="33" xfId="0" applyFont="1" applyFill="1" applyBorder="1" applyAlignment="1">
      <alignment wrapText="1"/>
    </xf>
    <xf numFmtId="0" fontId="54" fillId="0" borderId="33" xfId="0" applyFont="1" applyFill="1" applyBorder="1"/>
    <xf numFmtId="0" fontId="54" fillId="0" borderId="33" xfId="0" applyFont="1" applyFill="1" applyBorder="1" applyAlignment="1">
      <alignment horizontal="right" vertical="center" indent="1"/>
    </xf>
    <xf numFmtId="0" fontId="54" fillId="0" borderId="34" xfId="0" applyFont="1" applyFill="1" applyBorder="1" applyAlignment="1">
      <alignment horizontal="right" vertical="center" indent="1"/>
    </xf>
    <xf numFmtId="0" fontId="54" fillId="0" borderId="32" xfId="0" applyFont="1" applyFill="1" applyBorder="1" applyAlignment="1">
      <alignment vertical="center"/>
    </xf>
    <xf numFmtId="0" fontId="56" fillId="0" borderId="33" xfId="0" applyFont="1" applyFill="1" applyBorder="1" applyAlignment="1">
      <alignment vertical="center" wrapText="1"/>
    </xf>
    <xf numFmtId="0" fontId="54" fillId="0" borderId="33" xfId="0" applyFont="1" applyFill="1" applyBorder="1" applyAlignment="1">
      <alignment vertical="center"/>
    </xf>
    <xf numFmtId="0" fontId="54" fillId="0" borderId="19" xfId="0" applyFont="1" applyFill="1" applyBorder="1" applyAlignment="1">
      <alignment horizontal="center" vertical="center"/>
    </xf>
    <xf numFmtId="0" fontId="57" fillId="0" borderId="19" xfId="0" applyFont="1" applyFill="1" applyBorder="1" applyAlignment="1">
      <alignment horizontal="left" wrapText="1"/>
    </xf>
    <xf numFmtId="4" fontId="54" fillId="0" borderId="19" xfId="0" applyNumberFormat="1" applyFont="1" applyFill="1" applyBorder="1" applyAlignment="1">
      <alignment horizontal="right" vertical="center" indent="1"/>
    </xf>
    <xf numFmtId="0" fontId="54" fillId="0" borderId="35" xfId="0" applyFont="1" applyFill="1" applyBorder="1" applyAlignment="1">
      <alignment horizontal="center" vertical="center"/>
    </xf>
    <xf numFmtId="0" fontId="57" fillId="0" borderId="35" xfId="0" applyFont="1" applyFill="1" applyBorder="1" applyAlignment="1">
      <alignment horizontal="left" wrapText="1"/>
    </xf>
    <xf numFmtId="0" fontId="57" fillId="0" borderId="35" xfId="0" applyFont="1" applyFill="1" applyBorder="1" applyAlignment="1">
      <alignment horizontal="center"/>
    </xf>
    <xf numFmtId="4" fontId="54" fillId="0" borderId="35" xfId="0" applyNumberFormat="1" applyFont="1" applyFill="1" applyBorder="1" applyAlignment="1">
      <alignment horizontal="right" vertical="center" indent="1"/>
    </xf>
    <xf numFmtId="0" fontId="54" fillId="0" borderId="20" xfId="0" applyFont="1" applyFill="1" applyBorder="1" applyAlignment="1">
      <alignment horizontal="center"/>
    </xf>
    <xf numFmtId="4" fontId="54" fillId="0" borderId="36" xfId="0" applyNumberFormat="1" applyFont="1" applyFill="1" applyBorder="1" applyAlignment="1">
      <alignment horizontal="right" vertical="center" indent="1"/>
    </xf>
    <xf numFmtId="4" fontId="54" fillId="0" borderId="31" xfId="0" applyNumberFormat="1" applyFont="1" applyFill="1" applyBorder="1" applyAlignment="1">
      <alignment horizontal="right" vertical="center" indent="1"/>
    </xf>
    <xf numFmtId="4" fontId="54" fillId="0" borderId="34" xfId="0" applyNumberFormat="1" applyFont="1" applyFill="1" applyBorder="1" applyAlignment="1">
      <alignment horizontal="right" vertical="center" indent="1"/>
    </xf>
    <xf numFmtId="168" fontId="54" fillId="0" borderId="32" xfId="0" applyNumberFormat="1" applyFont="1" applyFill="1" applyBorder="1" applyAlignment="1">
      <alignment vertical="center"/>
    </xf>
    <xf numFmtId="0" fontId="57" fillId="0" borderId="20" xfId="0" applyFont="1" applyFill="1" applyBorder="1" applyAlignment="1">
      <alignment wrapText="1"/>
    </xf>
    <xf numFmtId="4" fontId="55" fillId="0" borderId="34" xfId="0" applyNumberFormat="1" applyFont="1" applyFill="1" applyBorder="1" applyAlignment="1">
      <alignment horizontal="right" vertical="center" indent="1"/>
    </xf>
    <xf numFmtId="0" fontId="54" fillId="0" borderId="33" xfId="0" applyFont="1" applyFill="1" applyBorder="1" applyAlignment="1">
      <alignment vertical="center" wrapText="1"/>
    </xf>
    <xf numFmtId="0" fontId="54" fillId="0" borderId="20" xfId="0" applyFont="1" applyFill="1" applyBorder="1" applyAlignment="1">
      <alignment wrapText="1"/>
    </xf>
    <xf numFmtId="0" fontId="54" fillId="0" borderId="20" xfId="0" applyFont="1" applyFill="1" applyBorder="1" applyAlignment="1">
      <alignment wrapText="1"/>
    </xf>
    <xf numFmtId="0" fontId="57" fillId="0" borderId="20" xfId="0" applyFont="1" applyFill="1" applyBorder="1" applyAlignment="1">
      <alignment horizontal="left" wrapText="1"/>
    </xf>
    <xf numFmtId="0" fontId="57" fillId="0" borderId="36" xfId="0" applyFont="1" applyFill="1" applyBorder="1" applyAlignment="1">
      <alignment wrapText="1"/>
    </xf>
    <xf numFmtId="0" fontId="57" fillId="0" borderId="36" xfId="0" applyFont="1" applyFill="1" applyBorder="1" applyAlignment="1">
      <alignment horizontal="center"/>
    </xf>
    <xf numFmtId="168" fontId="54" fillId="0" borderId="32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wrapText="1"/>
    </xf>
    <xf numFmtId="0" fontId="54" fillId="0" borderId="33" xfId="22" applyFont="1" applyFill="1" applyBorder="1" applyAlignment="1">
      <alignment vertical="center"/>
      <protection/>
    </xf>
    <xf numFmtId="0" fontId="54" fillId="0" borderId="33" xfId="22" applyFont="1" applyFill="1" applyBorder="1" applyAlignment="1">
      <alignment horizontal="right" vertical="center" indent="1"/>
      <protection/>
    </xf>
    <xf numFmtId="0" fontId="54" fillId="0" borderId="20" xfId="22" applyFont="1" applyFill="1" applyBorder="1" applyAlignment="1">
      <alignment horizontal="center" vertical="center"/>
      <protection/>
    </xf>
    <xf numFmtId="0" fontId="54" fillId="0" borderId="20" xfId="22" applyFont="1" applyFill="1" applyBorder="1" applyAlignment="1">
      <alignment horizontal="center"/>
      <protection/>
    </xf>
    <xf numFmtId="4" fontId="54" fillId="0" borderId="34" xfId="22" applyNumberFormat="1" applyFont="1" applyFill="1" applyBorder="1" applyAlignment="1">
      <alignment horizontal="right" vertical="center" indent="1"/>
      <protection/>
    </xf>
    <xf numFmtId="168" fontId="54" fillId="0" borderId="32" xfId="22" applyNumberFormat="1" applyFont="1" applyFill="1" applyBorder="1" applyAlignment="1">
      <alignment vertical="center"/>
      <protection/>
    </xf>
    <xf numFmtId="0" fontId="45" fillId="0" borderId="25" xfId="0" applyFont="1" applyFill="1" applyBorder="1"/>
    <xf numFmtId="0" fontId="51" fillId="0" borderId="0" xfId="0" applyFont="1" applyFill="1" applyBorder="1"/>
    <xf numFmtId="0" fontId="45" fillId="0" borderId="19" xfId="0" applyFont="1" applyFill="1" applyBorder="1" applyAlignment="1">
      <alignment vertical="center"/>
    </xf>
    <xf numFmtId="0" fontId="56" fillId="0" borderId="33" xfId="0" applyFont="1" applyFill="1" applyBorder="1" applyAlignment="1">
      <alignment vertical="center"/>
    </xf>
    <xf numFmtId="0" fontId="54" fillId="0" borderId="20" xfId="21" applyFont="1" applyFill="1" applyBorder="1"/>
    <xf numFmtId="0" fontId="54" fillId="0" borderId="20" xfId="21" applyFont="1" applyFill="1" applyBorder="1" applyAlignment="1">
      <alignment horizontal="center"/>
    </xf>
    <xf numFmtId="0" fontId="54" fillId="0" borderId="20" xfId="23" applyFont="1" applyFill="1" applyBorder="1"/>
    <xf numFmtId="0" fontId="54" fillId="0" borderId="20" xfId="23" applyFont="1" applyFill="1" applyBorder="1" applyAlignment="1">
      <alignment horizontal="center"/>
    </xf>
    <xf numFmtId="0" fontId="54" fillId="0" borderId="33" xfId="23" applyFont="1" applyFill="1" applyBorder="1" applyAlignment="1">
      <alignment vertical="center"/>
    </xf>
    <xf numFmtId="0" fontId="54" fillId="0" borderId="33" xfId="23" applyFont="1" applyFill="1" applyBorder="1" applyAlignment="1">
      <alignment horizontal="right" vertical="center" indent="1"/>
    </xf>
    <xf numFmtId="4" fontId="55" fillId="0" borderId="34" xfId="22" applyNumberFormat="1" applyFont="1" applyFill="1" applyBorder="1" applyAlignment="1">
      <alignment horizontal="right" vertical="center" indent="1"/>
      <protection/>
    </xf>
    <xf numFmtId="0" fontId="54" fillId="0" borderId="20" xfId="23" applyFont="1" applyFill="1" applyBorder="1" applyAlignment="1">
      <alignment vertical="center"/>
    </xf>
    <xf numFmtId="0" fontId="54" fillId="0" borderId="20" xfId="23" applyFont="1" applyFill="1" applyBorder="1" applyAlignment="1">
      <alignment horizontal="center" vertical="center"/>
    </xf>
    <xf numFmtId="0" fontId="45" fillId="0" borderId="33" xfId="22" applyFont="1" applyFill="1" applyBorder="1" applyAlignment="1">
      <alignment vertical="center"/>
      <protection/>
    </xf>
    <xf numFmtId="0" fontId="56" fillId="0" borderId="33" xfId="22" applyFont="1" applyFill="1" applyBorder="1" applyAlignment="1">
      <alignment vertical="center"/>
      <protection/>
    </xf>
    <xf numFmtId="0" fontId="57" fillId="0" borderId="20" xfId="22" applyFont="1" applyFill="1" applyBorder="1">
      <alignment/>
      <protection/>
    </xf>
    <xf numFmtId="0" fontId="57" fillId="0" borderId="20" xfId="22" applyFont="1" applyFill="1" applyBorder="1" applyAlignment="1">
      <alignment horizontal="center"/>
      <protection/>
    </xf>
    <xf numFmtId="0" fontId="54" fillId="0" borderId="20" xfId="22" applyFont="1" applyFill="1" applyBorder="1" applyAlignment="1">
      <alignment horizontal="center"/>
      <protection/>
    </xf>
    <xf numFmtId="0" fontId="57" fillId="0" borderId="20" xfId="0" applyFont="1" applyFill="1" applyBorder="1" applyAlignment="1">
      <alignment horizontal="left"/>
    </xf>
    <xf numFmtId="0" fontId="57" fillId="0" borderId="20" xfId="0" applyFont="1" applyFill="1" applyBorder="1"/>
    <xf numFmtId="0" fontId="81" fillId="0" borderId="0" xfId="0" applyFont="1" applyFill="1" applyBorder="1"/>
    <xf numFmtId="0" fontId="0" fillId="0" borderId="29" xfId="0" applyFont="1" applyFill="1" applyBorder="1"/>
    <xf numFmtId="0" fontId="0" fillId="0" borderId="0" xfId="0" applyFont="1" applyFill="1"/>
    <xf numFmtId="0" fontId="0" fillId="0" borderId="7" xfId="0" applyFont="1" applyFill="1" applyBorder="1" applyAlignment="1">
      <alignment vertical="center"/>
    </xf>
    <xf numFmtId="0" fontId="23" fillId="0" borderId="0" xfId="0" applyFont="1" applyFill="1" applyAlignment="1">
      <alignment horizontal="center" vertical="center"/>
    </xf>
    <xf numFmtId="169" fontId="54" fillId="0" borderId="20" xfId="24" applyNumberFormat="1" applyFont="1" applyBorder="1" applyAlignment="1">
      <alignment vertical="center"/>
      <protection/>
    </xf>
    <xf numFmtId="0" fontId="0" fillId="0" borderId="0" xfId="0" applyAlignment="1" applyProtection="1">
      <alignment wrapText="1"/>
      <protection/>
    </xf>
    <xf numFmtId="0" fontId="0" fillId="0" borderId="0" xfId="0" applyProtection="1"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Alignment="1" applyProtection="1">
      <alignment wrapText="1"/>
      <protection/>
    </xf>
    <xf numFmtId="0" fontId="0" fillId="0" borderId="3" xfId="0" applyBorder="1" applyProtection="1">
      <protection/>
    </xf>
    <xf numFmtId="0" fontId="17" fillId="0" borderId="0" xfId="0" applyFont="1" applyAlignment="1" applyProtection="1">
      <alignment horizontal="lef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165" fontId="4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3" xfId="0" applyFont="1" applyBorder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0" fontId="0" fillId="0" borderId="10" xfId="0" applyFont="1" applyBorder="1" applyAlignment="1" applyProtection="1">
      <alignment vertical="center"/>
      <protection/>
    </xf>
    <xf numFmtId="0" fontId="18" fillId="0" borderId="0" xfId="0" applyFont="1" applyAlignment="1" applyProtection="1">
      <alignment horizontal="lef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22" fillId="0" borderId="0" xfId="0" applyFont="1" applyAlignment="1" applyProtection="1">
      <alignment horizontal="left" vertical="center"/>
      <protection/>
    </xf>
    <xf numFmtId="4" fontId="3" fillId="0" borderId="0" xfId="0" applyNumberFormat="1" applyFont="1" applyAlignment="1" applyProtection="1">
      <alignment vertical="center"/>
      <protection/>
    </xf>
    <xf numFmtId="164" fontId="3" fillId="0" borderId="0" xfId="0" applyNumberFormat="1" applyFont="1" applyAlignment="1" applyProtection="1">
      <alignment horizontal="righ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6" fillId="4" borderId="6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6" fillId="4" borderId="7" xfId="0" applyFont="1" applyFill="1" applyBorder="1" applyAlignment="1" applyProtection="1">
      <alignment horizontal="right" vertical="center"/>
      <protection/>
    </xf>
    <xf numFmtId="0" fontId="6" fillId="4" borderId="7" xfId="0" applyFont="1" applyFill="1" applyBorder="1" applyAlignment="1" applyProtection="1">
      <alignment horizontal="center" vertical="center"/>
      <protection/>
    </xf>
    <xf numFmtId="4" fontId="6" fillId="4" borderId="7" xfId="0" applyNumberFormat="1" applyFont="1" applyFill="1" applyBorder="1" applyAlignment="1" applyProtection="1">
      <alignment vertical="center"/>
      <protection/>
    </xf>
    <xf numFmtId="0" fontId="0" fillId="4" borderId="37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3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3" fillId="0" borderId="5" xfId="0" applyFont="1" applyBorder="1" applyAlignment="1" applyProtection="1">
      <alignment horizontal="center" vertical="center"/>
      <protection/>
    </xf>
    <xf numFmtId="0" fontId="3" fillId="0" borderId="5" xfId="0" applyFont="1" applyBorder="1" applyAlignment="1" applyProtection="1">
      <alignment horizontal="righ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3" xfId="0" applyFont="1" applyFill="1" applyBorder="1" applyAlignment="1" applyProtection="1">
      <alignment vertical="center"/>
      <protection/>
    </xf>
    <xf numFmtId="0" fontId="23" fillId="0" borderId="0" xfId="0" applyFont="1" applyFill="1" applyAlignment="1" applyProtection="1">
      <alignment horizontal="left" vertical="center"/>
      <protection/>
    </xf>
    <xf numFmtId="0" fontId="23" fillId="0" borderId="0" xfId="0" applyFont="1" applyFill="1" applyAlignment="1" applyProtection="1">
      <alignment horizontal="right" vertical="center"/>
      <protection/>
    </xf>
    <xf numFmtId="0" fontId="0" fillId="0" borderId="3" xfId="0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6" xfId="0" applyFont="1" applyBorder="1" applyAlignment="1" applyProtection="1">
      <alignment horizontal="left" vertical="center"/>
      <protection/>
    </xf>
    <xf numFmtId="0" fontId="8" fillId="0" borderId="16" xfId="0" applyFont="1" applyBorder="1" applyAlignment="1" applyProtection="1">
      <alignment vertical="center"/>
      <protection/>
    </xf>
    <xf numFmtId="4" fontId="8" fillId="0" borderId="16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 applyProtection="1">
      <alignment vertical="center" wrapText="1"/>
      <protection/>
    </xf>
    <xf numFmtId="0" fontId="9" fillId="0" borderId="3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16" xfId="0" applyFont="1" applyBorder="1" applyAlignment="1" applyProtection="1">
      <alignment horizontal="left" vertical="center"/>
      <protection/>
    </xf>
    <xf numFmtId="0" fontId="9" fillId="0" borderId="16" xfId="0" applyFont="1" applyBorder="1" applyAlignment="1" applyProtection="1">
      <alignment vertical="center"/>
      <protection/>
    </xf>
    <xf numFmtId="4" fontId="9" fillId="0" borderId="16" xfId="0" applyNumberFormat="1" applyFont="1" applyBorder="1" applyAlignment="1" applyProtection="1">
      <alignment vertical="center"/>
      <protection/>
    </xf>
    <xf numFmtId="0" fontId="9" fillId="0" borderId="3" xfId="0" applyFont="1" applyBorder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0" fillId="0" borderId="3" xfId="0" applyFont="1" applyFill="1" applyBorder="1" applyAlignment="1" applyProtection="1">
      <alignment horizontal="center" vertical="center" wrapText="1"/>
      <protection/>
    </xf>
    <xf numFmtId="0" fontId="23" fillId="0" borderId="21" xfId="0" applyFont="1" applyFill="1" applyBorder="1" applyAlignment="1" applyProtection="1">
      <alignment horizontal="center" vertical="center" wrapText="1"/>
      <protection/>
    </xf>
    <xf numFmtId="0" fontId="23" fillId="0" borderId="22" xfId="0" applyFont="1" applyFill="1" applyBorder="1" applyAlignment="1" applyProtection="1">
      <alignment horizontal="center" vertical="center" wrapText="1"/>
      <protection/>
    </xf>
    <xf numFmtId="0" fontId="23" fillId="0" borderId="23" xfId="0" applyFont="1" applyFill="1" applyBorder="1" applyAlignment="1" applyProtection="1">
      <alignment horizontal="center" vertical="center" wrapText="1"/>
      <protection/>
    </xf>
    <xf numFmtId="0" fontId="0" fillId="0" borderId="3" xfId="0" applyFill="1" applyBorder="1" applyAlignment="1" applyProtection="1">
      <alignment horizontal="center" vertical="center" wrapText="1"/>
      <protection/>
    </xf>
    <xf numFmtId="0" fontId="24" fillId="0" borderId="21" xfId="0" applyFont="1" applyFill="1" applyBorder="1" applyAlignment="1" applyProtection="1">
      <alignment horizontal="center" vertical="center" wrapText="1"/>
      <protection/>
    </xf>
    <xf numFmtId="0" fontId="24" fillId="0" borderId="22" xfId="0" applyFont="1" applyFill="1" applyBorder="1" applyAlignment="1" applyProtection="1">
      <alignment horizontal="center" vertical="center" wrapText="1"/>
      <protection/>
    </xf>
    <xf numFmtId="0" fontId="24" fillId="0" borderId="23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25" fillId="0" borderId="0" xfId="0" applyFont="1" applyAlignment="1" applyProtection="1">
      <alignment horizontal="left" vertical="center"/>
      <protection/>
    </xf>
    <xf numFmtId="4" fontId="25" fillId="0" borderId="0" xfId="0" applyNumberFormat="1" applyFont="1" applyAlignment="1" applyProtection="1">
      <alignment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166" fontId="34" fillId="0" borderId="10" xfId="0" applyNumberFormat="1" applyFont="1" applyBorder="1" applyAlignment="1" applyProtection="1">
      <alignment/>
      <protection/>
    </xf>
    <xf numFmtId="166" fontId="34" fillId="0" borderId="10" xfId="0" applyNumberFormat="1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 vertical="center"/>
      <protection/>
    </xf>
    <xf numFmtId="166" fontId="34" fillId="0" borderId="11" xfId="0" applyNumberFormat="1" applyFont="1" applyFill="1" applyBorder="1" applyAlignment="1" applyProtection="1">
      <alignment/>
      <protection/>
    </xf>
    <xf numFmtId="166" fontId="0" fillId="0" borderId="0" xfId="0" applyNumberFormat="1" applyFont="1" applyAlignment="1" applyProtection="1">
      <alignment vertical="center"/>
      <protection/>
    </xf>
    <xf numFmtId="4" fontId="35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/>
      <protection/>
    </xf>
    <xf numFmtId="0" fontId="10" fillId="0" borderId="3" xfId="0" applyFont="1" applyBorder="1" applyAlignment="1" applyProtection="1">
      <alignment/>
      <protection/>
    </xf>
    <xf numFmtId="0" fontId="10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10" fillId="0" borderId="3" xfId="0" applyFont="1" applyBorder="1" applyAlignment="1" applyProtection="1">
      <alignment wrapText="1"/>
      <protection/>
    </xf>
    <xf numFmtId="0" fontId="10" fillId="0" borderId="14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166" fontId="10" fillId="0" borderId="0" xfId="0" applyNumberFormat="1" applyFont="1" applyBorder="1" applyAlignment="1" applyProtection="1">
      <alignment/>
      <protection/>
    </xf>
    <xf numFmtId="166" fontId="10" fillId="5" borderId="0" xfId="0" applyNumberFormat="1" applyFont="1" applyFill="1" applyBorder="1" applyAlignment="1" applyProtection="1">
      <alignment/>
      <protection/>
    </xf>
    <xf numFmtId="166" fontId="10" fillId="5" borderId="12" xfId="0" applyNumberFormat="1" applyFont="1" applyFill="1" applyBorder="1" applyAlignment="1" applyProtection="1">
      <alignment/>
      <protection/>
    </xf>
    <xf numFmtId="0" fontId="10" fillId="0" borderId="0" xfId="0" applyFont="1" applyAlignment="1" applyProtection="1">
      <alignment horizontal="center"/>
      <protection/>
    </xf>
    <xf numFmtId="4" fontId="10" fillId="0" borderId="0" xfId="0" applyNumberFormat="1" applyFont="1" applyAlignment="1" applyProtection="1">
      <alignment vertical="center"/>
      <protection/>
    </xf>
    <xf numFmtId="0" fontId="9" fillId="6" borderId="0" xfId="0" applyFont="1" applyFill="1" applyAlignment="1" applyProtection="1">
      <alignment horizontal="left"/>
      <protection/>
    </xf>
    <xf numFmtId="4" fontId="9" fillId="0" borderId="0" xfId="0" applyNumberFormat="1" applyFont="1" applyAlignment="1" applyProtection="1">
      <alignment/>
      <protection/>
    </xf>
    <xf numFmtId="0" fontId="10" fillId="0" borderId="3" xfId="0" applyFont="1" applyFill="1" applyBorder="1" applyAlignment="1" applyProtection="1">
      <alignment wrapText="1"/>
      <protection/>
    </xf>
    <xf numFmtId="166" fontId="10" fillId="0" borderId="12" xfId="0" applyNumberFormat="1" applyFont="1" applyBorder="1" applyAlignment="1" applyProtection="1">
      <alignment/>
      <protection/>
    </xf>
    <xf numFmtId="0" fontId="23" fillId="0" borderId="18" xfId="0" applyFont="1" applyBorder="1" applyAlignment="1" applyProtection="1">
      <alignment horizontal="center" vertical="center"/>
      <protection/>
    </xf>
    <xf numFmtId="49" fontId="23" fillId="0" borderId="18" xfId="0" applyNumberFormat="1" applyFont="1" applyBorder="1" applyAlignment="1" applyProtection="1">
      <alignment horizontal="left" vertical="center" wrapText="1"/>
      <protection/>
    </xf>
    <xf numFmtId="0" fontId="23" fillId="0" borderId="18" xfId="0" applyFont="1" applyBorder="1" applyAlignment="1" applyProtection="1">
      <alignment horizontal="left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167" fontId="23" fillId="0" borderId="18" xfId="0" applyNumberFormat="1" applyFont="1" applyBorder="1" applyAlignment="1" applyProtection="1">
      <alignment vertical="center"/>
      <protection/>
    </xf>
    <xf numFmtId="4" fontId="23" fillId="0" borderId="18" xfId="0" applyNumberFormat="1" applyFont="1" applyBorder="1" applyAlignment="1" applyProtection="1">
      <alignment vertical="center"/>
      <protection/>
    </xf>
    <xf numFmtId="0" fontId="24" fillId="0" borderId="14" xfId="0" applyFont="1" applyBorder="1" applyAlignment="1" applyProtection="1">
      <alignment horizontal="left" vertical="center"/>
      <protection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2" xfId="0" applyNumberFormat="1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4" fontId="0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3" xfId="0" applyFont="1" applyBorder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3" xfId="0" applyFont="1" applyBorder="1" applyAlignment="1" applyProtection="1">
      <alignment vertical="center" wrapText="1"/>
      <protection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3" xfId="0" applyFont="1" applyBorder="1" applyAlignment="1" applyProtection="1">
      <alignment vertical="center" wrapText="1"/>
      <protection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23" fillId="0" borderId="18" xfId="0" applyFont="1" applyFill="1" applyBorder="1" applyAlignment="1" applyProtection="1">
      <alignment horizontal="left" vertical="center" wrapText="1"/>
      <protection/>
    </xf>
    <xf numFmtId="0" fontId="11" fillId="0" borderId="0" xfId="0" applyFont="1" applyFill="1" applyAlignment="1" applyProtection="1">
      <alignment horizontal="left" vertical="center" wrapText="1"/>
      <protection/>
    </xf>
    <xf numFmtId="0" fontId="12" fillId="0" borderId="0" xfId="0" applyFont="1" applyFill="1" applyAlignment="1" applyProtection="1">
      <alignment horizontal="left" vertical="center" wrapText="1"/>
      <protection/>
    </xf>
    <xf numFmtId="0" fontId="13" fillId="0" borderId="0" xfId="0" applyFont="1" applyAlignment="1" applyProtection="1">
      <alignment vertical="center"/>
      <protection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Fill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3" xfId="0" applyFont="1" applyBorder="1" applyAlignment="1" applyProtection="1">
      <alignment vertical="center" wrapText="1"/>
      <protection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2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0" fontId="23" fillId="0" borderId="18" xfId="0" applyFont="1" applyFill="1" applyBorder="1" applyAlignment="1" applyProtection="1">
      <alignment horizontal="center" vertical="center"/>
      <protection/>
    </xf>
    <xf numFmtId="0" fontId="37" fillId="0" borderId="18" xfId="0" applyFont="1" applyBorder="1" applyAlignment="1" applyProtection="1">
      <alignment horizontal="center" vertical="center"/>
      <protection/>
    </xf>
    <xf numFmtId="49" fontId="37" fillId="0" borderId="18" xfId="0" applyNumberFormat="1" applyFont="1" applyBorder="1" applyAlignment="1" applyProtection="1">
      <alignment horizontal="left" vertical="center" wrapText="1"/>
      <protection/>
    </xf>
    <xf numFmtId="0" fontId="37" fillId="0" borderId="18" xfId="0" applyFont="1" applyFill="1" applyBorder="1" applyAlignment="1" applyProtection="1">
      <alignment horizontal="left" vertical="center" wrapText="1"/>
      <protection/>
    </xf>
    <xf numFmtId="0" fontId="37" fillId="0" borderId="18" xfId="0" applyFont="1" applyBorder="1" applyAlignment="1" applyProtection="1">
      <alignment horizontal="center" vertical="center" wrapText="1"/>
      <protection/>
    </xf>
    <xf numFmtId="167" fontId="37" fillId="0" borderId="18" xfId="0" applyNumberFormat="1" applyFont="1" applyBorder="1" applyAlignment="1" applyProtection="1">
      <alignment vertical="center"/>
      <protection/>
    </xf>
    <xf numFmtId="4" fontId="37" fillId="0" borderId="18" xfId="0" applyNumberFormat="1" applyFont="1" applyBorder="1" applyAlignment="1" applyProtection="1">
      <alignment vertical="center"/>
      <protection/>
    </xf>
    <xf numFmtId="0" fontId="37" fillId="0" borderId="18" xfId="0" applyFont="1" applyBorder="1" applyAlignment="1" applyProtection="1">
      <alignment horizontal="left" vertical="center" wrapText="1"/>
      <protection/>
    </xf>
    <xf numFmtId="0" fontId="38" fillId="0" borderId="3" xfId="0" applyFont="1" applyBorder="1" applyAlignment="1" applyProtection="1">
      <alignment vertical="center" wrapText="1"/>
      <protection/>
    </xf>
    <xf numFmtId="0" fontId="37" fillId="0" borderId="14" xfId="0" applyFont="1" applyBorder="1" applyAlignment="1" applyProtection="1">
      <alignment horizontal="left" vertical="center"/>
      <protection/>
    </xf>
    <xf numFmtId="0" fontId="37" fillId="0" borderId="0" xfId="0" applyFont="1" applyBorder="1" applyAlignment="1" applyProtection="1">
      <alignment horizontal="center" vertical="center"/>
      <protection/>
    </xf>
    <xf numFmtId="49" fontId="37" fillId="0" borderId="0" xfId="0" applyNumberFormat="1" applyFont="1" applyBorder="1" applyAlignment="1" applyProtection="1">
      <alignment horizontal="left" vertical="center" wrapText="1"/>
      <protection/>
    </xf>
    <xf numFmtId="0" fontId="37" fillId="0" borderId="0" xfId="0" applyFont="1" applyBorder="1" applyAlignment="1" applyProtection="1">
      <alignment horizontal="left" vertical="center" wrapText="1"/>
      <protection/>
    </xf>
    <xf numFmtId="0" fontId="37" fillId="0" borderId="0" xfId="0" applyFont="1" applyBorder="1" applyAlignment="1" applyProtection="1">
      <alignment horizontal="center" vertical="center" wrapText="1"/>
      <protection/>
    </xf>
    <xf numFmtId="167" fontId="37" fillId="0" borderId="0" xfId="0" applyNumberFormat="1" applyFont="1" applyBorder="1" applyAlignment="1" applyProtection="1">
      <alignment vertical="center"/>
      <protection/>
    </xf>
    <xf numFmtId="4" fontId="37" fillId="0" borderId="0" xfId="0" applyNumberFormat="1" applyFont="1" applyBorder="1" applyAlignment="1" applyProtection="1">
      <alignment vertical="center"/>
      <protection/>
    </xf>
    <xf numFmtId="0" fontId="0" fillId="0" borderId="3" xfId="0" applyFont="1" applyFill="1" applyBorder="1" applyAlignment="1" applyProtection="1">
      <alignment vertical="center" wrapText="1"/>
      <protection/>
    </xf>
    <xf numFmtId="0" fontId="13" fillId="0" borderId="0" xfId="0" applyFont="1" applyFill="1" applyAlignment="1" applyProtection="1">
      <alignment vertical="center"/>
      <protection/>
    </xf>
    <xf numFmtId="0" fontId="13" fillId="0" borderId="3" xfId="0" applyFont="1" applyFill="1" applyBorder="1" applyAlignment="1" applyProtection="1">
      <alignment vertical="center"/>
      <protection/>
    </xf>
    <xf numFmtId="0" fontId="36" fillId="0" borderId="0" xfId="0" applyFont="1" applyFill="1" applyAlignment="1" applyProtection="1">
      <alignment horizontal="left" vertical="center"/>
      <protection/>
    </xf>
    <xf numFmtId="0" fontId="13" fillId="0" borderId="0" xfId="0" applyFont="1" applyFill="1" applyAlignment="1" applyProtection="1">
      <alignment horizontal="left" vertical="center"/>
      <protection/>
    </xf>
    <xf numFmtId="167" fontId="13" fillId="0" borderId="0" xfId="0" applyNumberFormat="1" applyFont="1" applyFill="1" applyAlignment="1" applyProtection="1">
      <alignment vertical="center"/>
      <protection/>
    </xf>
    <xf numFmtId="0" fontId="13" fillId="0" borderId="3" xfId="0" applyFont="1" applyFill="1" applyBorder="1" applyAlignment="1" applyProtection="1">
      <alignment vertical="center" wrapText="1"/>
      <protection/>
    </xf>
    <xf numFmtId="0" fontId="13" fillId="0" borderId="14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3" fillId="0" borderId="12" xfId="0" applyFont="1" applyFill="1" applyBorder="1" applyAlignment="1" applyProtection="1">
      <alignment vertical="center"/>
      <protection/>
    </xf>
    <xf numFmtId="0" fontId="23" fillId="0" borderId="0" xfId="0" applyFont="1" applyBorder="1" applyAlignment="1" applyProtection="1">
      <alignment horizontal="center" vertical="center"/>
      <protection/>
    </xf>
    <xf numFmtId="49" fontId="23" fillId="0" borderId="0" xfId="0" applyNumberFormat="1" applyFont="1" applyBorder="1" applyAlignment="1" applyProtection="1">
      <alignment horizontal="left" vertical="center" wrapText="1"/>
      <protection/>
    </xf>
    <xf numFmtId="0" fontId="23" fillId="0" borderId="0" xfId="0" applyFont="1" applyBorder="1" applyAlignment="1" applyProtection="1">
      <alignment horizontal="center" vertical="center" wrapText="1"/>
      <protection/>
    </xf>
    <xf numFmtId="167" fontId="23" fillId="0" borderId="0" xfId="0" applyNumberFormat="1" applyFont="1" applyBorder="1" applyAlignment="1" applyProtection="1">
      <alignment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0" fontId="23" fillId="0" borderId="0" xfId="0" applyFont="1" applyBorder="1" applyAlignment="1" applyProtection="1">
      <alignment horizontal="left" vertical="center" wrapText="1"/>
      <protection/>
    </xf>
    <xf numFmtId="0" fontId="12" fillId="0" borderId="3" xfId="0" applyFont="1" applyFill="1" applyBorder="1" applyAlignment="1" applyProtection="1">
      <alignment vertical="center"/>
      <protection/>
    </xf>
    <xf numFmtId="0" fontId="12" fillId="0" borderId="0" xfId="0" applyFont="1" applyFill="1" applyAlignment="1" applyProtection="1">
      <alignment vertical="center"/>
      <protection/>
    </xf>
    <xf numFmtId="0" fontId="12" fillId="0" borderId="0" xfId="0" applyFont="1" applyFill="1" applyAlignment="1" applyProtection="1">
      <alignment horizontal="left" vertical="center"/>
      <protection/>
    </xf>
    <xf numFmtId="167" fontId="12" fillId="0" borderId="0" xfId="0" applyNumberFormat="1" applyFont="1" applyFill="1" applyAlignment="1" applyProtection="1">
      <alignment vertical="center"/>
      <protection/>
    </xf>
    <xf numFmtId="0" fontId="12" fillId="0" borderId="3" xfId="0" applyFont="1" applyFill="1" applyBorder="1" applyAlignment="1" applyProtection="1">
      <alignment vertical="center" wrapText="1"/>
      <protection/>
    </xf>
    <xf numFmtId="0" fontId="12" fillId="0" borderId="14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2" fillId="0" borderId="12" xfId="0" applyFont="1" applyFill="1" applyBorder="1" applyAlignment="1" applyProtection="1">
      <alignment vertical="center"/>
      <protection/>
    </xf>
    <xf numFmtId="49" fontId="23" fillId="0" borderId="18" xfId="0" applyNumberFormat="1" applyFont="1" applyFill="1" applyBorder="1" applyAlignment="1" applyProtection="1">
      <alignment horizontal="left" vertical="center" wrapText="1"/>
      <protection/>
    </xf>
    <xf numFmtId="49" fontId="12" fillId="0" borderId="0" xfId="0" applyNumberFormat="1" applyFont="1" applyFill="1" applyAlignment="1" applyProtection="1">
      <alignment horizontal="left" vertical="center" wrapText="1"/>
      <protection/>
    </xf>
    <xf numFmtId="0" fontId="23" fillId="0" borderId="18" xfId="0" applyFont="1" applyFill="1" applyBorder="1" applyAlignment="1" applyProtection="1">
      <alignment horizontal="center" vertical="center" wrapText="1"/>
      <protection/>
    </xf>
    <xf numFmtId="167" fontId="23" fillId="0" borderId="18" xfId="0" applyNumberFormat="1" applyFont="1" applyFill="1" applyBorder="1" applyAlignment="1" applyProtection="1">
      <alignment vertical="center"/>
      <protection/>
    </xf>
    <xf numFmtId="4" fontId="23" fillId="0" borderId="18" xfId="0" applyNumberFormat="1" applyFont="1" applyFill="1" applyBorder="1" applyAlignment="1" applyProtection="1">
      <alignment vertical="center"/>
      <protection/>
    </xf>
    <xf numFmtId="0" fontId="24" fillId="0" borderId="14" xfId="0" applyFont="1" applyFill="1" applyBorder="1" applyAlignment="1" applyProtection="1">
      <alignment horizontal="left" vertical="center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166" fontId="24" fillId="0" borderId="0" xfId="0" applyNumberFormat="1" applyFont="1" applyFill="1" applyBorder="1" applyAlignment="1" applyProtection="1">
      <alignment vertical="center"/>
      <protection/>
    </xf>
    <xf numFmtId="166" fontId="24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4" fontId="0" fillId="0" borderId="0" xfId="0" applyNumberFormat="1" applyFont="1" applyFill="1" applyAlignment="1" applyProtection="1">
      <alignment vertical="center"/>
      <protection/>
    </xf>
    <xf numFmtId="0" fontId="37" fillId="0" borderId="18" xfId="0" applyFont="1" applyFill="1" applyBorder="1" applyAlignment="1" applyProtection="1">
      <alignment horizontal="center" vertical="center"/>
      <protection/>
    </xf>
    <xf numFmtId="49" fontId="37" fillId="0" borderId="18" xfId="0" applyNumberFormat="1" applyFont="1" applyFill="1" applyBorder="1" applyAlignment="1" applyProtection="1">
      <alignment horizontal="left" vertical="center" wrapText="1"/>
      <protection/>
    </xf>
    <xf numFmtId="0" fontId="37" fillId="0" borderId="18" xfId="0" applyFont="1" applyFill="1" applyBorder="1" applyAlignment="1" applyProtection="1">
      <alignment horizontal="center" vertical="center" wrapText="1"/>
      <protection/>
    </xf>
    <xf numFmtId="167" fontId="37" fillId="0" borderId="18" xfId="0" applyNumberFormat="1" applyFont="1" applyFill="1" applyBorder="1" applyAlignment="1" applyProtection="1">
      <alignment vertical="center"/>
      <protection/>
    </xf>
    <xf numFmtId="4" fontId="37" fillId="0" borderId="18" xfId="0" applyNumberFormat="1" applyFont="1" applyFill="1" applyBorder="1" applyAlignment="1" applyProtection="1">
      <alignment vertical="center"/>
      <protection/>
    </xf>
    <xf numFmtId="0" fontId="38" fillId="0" borderId="3" xfId="0" applyFont="1" applyFill="1" applyBorder="1" applyAlignment="1" applyProtection="1">
      <alignment vertical="center" wrapText="1"/>
      <protection/>
    </xf>
    <xf numFmtId="0" fontId="37" fillId="0" borderId="14" xfId="0" applyFont="1" applyFill="1" applyBorder="1" applyAlignment="1" applyProtection="1">
      <alignment horizontal="left" vertical="center"/>
      <protection/>
    </xf>
    <xf numFmtId="0" fontId="37" fillId="0" borderId="0" xfId="0" applyFont="1" applyFill="1" applyBorder="1" applyAlignment="1" applyProtection="1">
      <alignment horizontal="center" vertical="center"/>
      <protection/>
    </xf>
    <xf numFmtId="167" fontId="11" fillId="0" borderId="0" xfId="0" applyNumberFormat="1" applyFont="1" applyAlignment="1" applyProtection="1">
      <alignment horizontal="right" vertical="center"/>
      <protection/>
    </xf>
    <xf numFmtId="166" fontId="23" fillId="7" borderId="12" xfId="0" applyNumberFormat="1" applyFont="1" applyFill="1" applyBorder="1" applyAlignment="1" applyProtection="1">
      <alignment vertical="center"/>
      <protection/>
    </xf>
    <xf numFmtId="0" fontId="40" fillId="0" borderId="0" xfId="0" applyFont="1" applyFill="1" applyAlignment="1" applyProtection="1">
      <alignment horizontal="left" vertical="center" wrapText="1"/>
      <protection/>
    </xf>
    <xf numFmtId="166" fontId="23" fillId="8" borderId="12" xfId="0" applyNumberFormat="1" applyFont="1" applyFill="1" applyBorder="1" applyAlignment="1" applyProtection="1">
      <alignment vertical="center"/>
      <protection/>
    </xf>
    <xf numFmtId="166" fontId="23" fillId="9" borderId="12" xfId="0" applyNumberFormat="1" applyFont="1" applyFill="1" applyBorder="1" applyAlignment="1" applyProtection="1">
      <alignment vertical="center"/>
      <protection/>
    </xf>
    <xf numFmtId="166" fontId="23" fillId="10" borderId="12" xfId="0" applyNumberFormat="1" applyFont="1" applyFill="1" applyBorder="1" applyAlignment="1" applyProtection="1">
      <alignment vertical="center"/>
      <protection/>
    </xf>
    <xf numFmtId="166" fontId="23" fillId="11" borderId="12" xfId="0" applyNumberFormat="1" applyFont="1" applyFill="1" applyBorder="1" applyAlignment="1" applyProtection="1">
      <alignment vertical="center"/>
      <protection/>
    </xf>
    <xf numFmtId="166" fontId="23" fillId="12" borderId="12" xfId="0" applyNumberFormat="1" applyFont="1" applyFill="1" applyBorder="1" applyAlignment="1" applyProtection="1">
      <alignment vertical="center"/>
      <protection/>
    </xf>
    <xf numFmtId="49" fontId="12" fillId="0" borderId="0" xfId="0" applyNumberFormat="1" applyFont="1" applyAlignment="1" applyProtection="1">
      <alignment horizontal="left" vertical="center" wrapText="1"/>
      <protection/>
    </xf>
    <xf numFmtId="166" fontId="23" fillId="13" borderId="12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Alignment="1" applyProtection="1">
      <alignment vertical="center"/>
      <protection/>
    </xf>
    <xf numFmtId="0" fontId="11" fillId="0" borderId="0" xfId="0" applyFont="1" applyFill="1" applyAlignment="1" applyProtection="1">
      <alignment horizontal="left" vertical="center"/>
      <protection/>
    </xf>
    <xf numFmtId="0" fontId="23" fillId="14" borderId="18" xfId="0" applyFont="1" applyFill="1" applyBorder="1" applyAlignment="1" applyProtection="1">
      <alignment horizontal="left" vertical="center" wrapText="1"/>
      <protection/>
    </xf>
    <xf numFmtId="0" fontId="23" fillId="15" borderId="18" xfId="0" applyFont="1" applyFill="1" applyBorder="1" applyAlignment="1" applyProtection="1">
      <alignment horizontal="left" vertical="center" wrapText="1"/>
      <protection/>
    </xf>
    <xf numFmtId="0" fontId="23" fillId="8" borderId="18" xfId="0" applyFont="1" applyFill="1" applyBorder="1" applyAlignment="1" applyProtection="1">
      <alignment horizontal="left" vertical="center" wrapText="1"/>
      <protection/>
    </xf>
    <xf numFmtId="0" fontId="23" fillId="16" borderId="18" xfId="0" applyFont="1" applyFill="1" applyBorder="1" applyAlignment="1" applyProtection="1">
      <alignment horizontal="left" vertical="center" wrapText="1"/>
      <protection/>
    </xf>
    <xf numFmtId="0" fontId="23" fillId="17" borderId="18" xfId="0" applyFont="1" applyFill="1" applyBorder="1" applyAlignment="1" applyProtection="1">
      <alignment horizontal="left" vertical="center" wrapText="1"/>
      <protection/>
    </xf>
    <xf numFmtId="0" fontId="23" fillId="18" borderId="18" xfId="0" applyFont="1" applyFill="1" applyBorder="1" applyAlignment="1" applyProtection="1">
      <alignment horizontal="left" vertical="center" wrapText="1"/>
      <protection/>
    </xf>
    <xf numFmtId="0" fontId="23" fillId="9" borderId="18" xfId="0" applyFont="1" applyFill="1" applyBorder="1" applyAlignment="1" applyProtection="1">
      <alignment horizontal="left" vertical="center" wrapText="1"/>
      <protection/>
    </xf>
    <xf numFmtId="0" fontId="23" fillId="13" borderId="18" xfId="0" applyFont="1" applyFill="1" applyBorder="1" applyAlignment="1" applyProtection="1">
      <alignment horizontal="left" vertical="center" wrapText="1"/>
      <protection/>
    </xf>
    <xf numFmtId="0" fontId="23" fillId="12" borderId="18" xfId="0" applyFont="1" applyFill="1" applyBorder="1" applyAlignment="1" applyProtection="1">
      <alignment horizontal="left" vertical="center" wrapText="1"/>
      <protection/>
    </xf>
    <xf numFmtId="0" fontId="23" fillId="11" borderId="18" xfId="0" applyFont="1" applyFill="1" applyBorder="1" applyAlignment="1" applyProtection="1">
      <alignment horizontal="left" vertical="center" wrapText="1"/>
      <protection/>
    </xf>
    <xf numFmtId="0" fontId="23" fillId="19" borderId="18" xfId="0" applyFont="1" applyFill="1" applyBorder="1" applyAlignment="1" applyProtection="1">
      <alignment horizontal="left" vertical="center" wrapText="1"/>
      <protection/>
    </xf>
    <xf numFmtId="167" fontId="23" fillId="5" borderId="18" xfId="0" applyNumberFormat="1" applyFont="1" applyFill="1" applyBorder="1" applyAlignment="1" applyProtection="1">
      <alignment vertical="center"/>
      <protection/>
    </xf>
    <xf numFmtId="166" fontId="23" fillId="18" borderId="12" xfId="0" applyNumberFormat="1" applyFont="1" applyFill="1" applyBorder="1" applyAlignment="1" applyProtection="1">
      <alignment vertical="center"/>
      <protection/>
    </xf>
    <xf numFmtId="166" fontId="78" fillId="19" borderId="12" xfId="0" applyNumberFormat="1" applyFont="1" applyFill="1" applyBorder="1" applyAlignment="1" applyProtection="1">
      <alignment vertical="center"/>
      <protection/>
    </xf>
    <xf numFmtId="166" fontId="78" fillId="12" borderId="12" xfId="0" applyNumberFormat="1" applyFont="1" applyFill="1" applyBorder="1" applyAlignment="1" applyProtection="1">
      <alignment vertical="center"/>
      <protection/>
    </xf>
    <xf numFmtId="0" fontId="10" fillId="0" borderId="0" xfId="0" applyFont="1" applyFill="1" applyAlignment="1" applyProtection="1">
      <alignment/>
      <protection/>
    </xf>
    <xf numFmtId="0" fontId="10" fillId="0" borderId="3" xfId="0" applyFont="1" applyFill="1" applyBorder="1" applyAlignment="1" applyProtection="1">
      <alignment/>
      <protection/>
    </xf>
    <xf numFmtId="0" fontId="10" fillId="0" borderId="0" xfId="0" applyFont="1" applyFill="1" applyAlignment="1" applyProtection="1">
      <alignment horizontal="left"/>
      <protection/>
    </xf>
    <xf numFmtId="0" fontId="9" fillId="0" borderId="0" xfId="0" applyFont="1" applyFill="1" applyAlignment="1" applyProtection="1">
      <alignment horizontal="left"/>
      <protection/>
    </xf>
    <xf numFmtId="4" fontId="9" fillId="0" borderId="0" xfId="0" applyNumberFormat="1" applyFont="1" applyFill="1" applyAlignment="1" applyProtection="1">
      <alignment/>
      <protection/>
    </xf>
    <xf numFmtId="0" fontId="10" fillId="0" borderId="14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166" fontId="10" fillId="0" borderId="0" xfId="0" applyNumberFormat="1" applyFont="1" applyFill="1" applyBorder="1" applyAlignment="1" applyProtection="1">
      <alignment/>
      <protection/>
    </xf>
    <xf numFmtId="166" fontId="10" fillId="0" borderId="12" xfId="0" applyNumberFormat="1" applyFont="1" applyFill="1" applyBorder="1" applyAlignment="1" applyProtection="1">
      <alignment/>
      <protection/>
    </xf>
    <xf numFmtId="0" fontId="10" fillId="0" borderId="0" xfId="0" applyFont="1" applyFill="1" applyAlignment="1" applyProtection="1">
      <alignment horizontal="center"/>
      <protection/>
    </xf>
    <xf numFmtId="4" fontId="10" fillId="0" borderId="0" xfId="0" applyNumberFormat="1" applyFont="1" applyFill="1" applyAlignment="1" applyProtection="1">
      <alignment vertical="center"/>
      <protection/>
    </xf>
    <xf numFmtId="166" fontId="23" fillId="16" borderId="12" xfId="0" applyNumberFormat="1" applyFont="1" applyFill="1" applyBorder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3" xfId="0" applyFont="1" applyBorder="1" applyAlignment="1" applyProtection="1">
      <alignment vertical="center"/>
      <protection/>
    </xf>
    <xf numFmtId="0" fontId="14" fillId="0" borderId="0" xfId="0" applyFont="1" applyAlignment="1" applyProtection="1">
      <alignment horizontal="left" vertical="center"/>
      <protection/>
    </xf>
    <xf numFmtId="0" fontId="14" fillId="0" borderId="0" xfId="0" applyFont="1" applyAlignment="1" applyProtection="1">
      <alignment horizontal="left" vertical="center" wrapText="1"/>
      <protection/>
    </xf>
    <xf numFmtId="167" fontId="14" fillId="0" borderId="0" xfId="0" applyNumberFormat="1" applyFont="1" applyAlignment="1" applyProtection="1">
      <alignment vertical="center"/>
      <protection/>
    </xf>
    <xf numFmtId="0" fontId="14" fillId="0" borderId="3" xfId="0" applyFont="1" applyBorder="1" applyAlignment="1" applyProtection="1">
      <alignment vertical="center" wrapText="1"/>
      <protection/>
    </xf>
    <xf numFmtId="0" fontId="14" fillId="0" borderId="14" xfId="0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vertical="center"/>
      <protection/>
    </xf>
    <xf numFmtId="0" fontId="14" fillId="0" borderId="12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3" xfId="0" applyFont="1" applyBorder="1" applyAlignment="1" applyProtection="1">
      <alignment vertical="center"/>
      <protection/>
    </xf>
    <xf numFmtId="0" fontId="4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right" vertical="center"/>
      <protection/>
    </xf>
    <xf numFmtId="0" fontId="0" fillId="0" borderId="3" xfId="0" applyFont="1" applyBorder="1" applyAlignment="1" applyProtection="1">
      <alignment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11" fillId="0" borderId="3" xfId="0" applyFont="1" applyFill="1" applyBorder="1" applyAlignment="1" applyProtection="1">
      <alignment vertical="center"/>
      <protection/>
    </xf>
    <xf numFmtId="0" fontId="11" fillId="0" borderId="3" xfId="0" applyFont="1" applyFill="1" applyBorder="1" applyAlignment="1" applyProtection="1">
      <alignment vertical="center" wrapText="1"/>
      <protection/>
    </xf>
    <xf numFmtId="0" fontId="11" fillId="0" borderId="14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11" fillId="0" borderId="12" xfId="0" applyFont="1" applyFill="1" applyBorder="1" applyAlignment="1" applyProtection="1">
      <alignment vertical="center"/>
      <protection/>
    </xf>
    <xf numFmtId="166" fontId="23" fillId="17" borderId="12" xfId="0" applyNumberFormat="1" applyFont="1" applyFill="1" applyBorder="1" applyAlignment="1" applyProtection="1">
      <alignment vertical="center"/>
      <protection/>
    </xf>
    <xf numFmtId="167" fontId="0" fillId="0" borderId="0" xfId="0" applyNumberFormat="1" applyFont="1" applyAlignment="1" applyProtection="1">
      <alignment horizontal="right" vertical="center"/>
      <protection/>
    </xf>
    <xf numFmtId="0" fontId="43" fillId="0" borderId="0" xfId="0" applyFont="1" applyAlignment="1" applyProtection="1">
      <alignment vertical="center"/>
      <protection/>
    </xf>
    <xf numFmtId="0" fontId="43" fillId="0" borderId="3" xfId="0" applyFont="1" applyBorder="1" applyAlignment="1" applyProtection="1">
      <alignment vertical="center"/>
      <protection/>
    </xf>
    <xf numFmtId="0" fontId="44" fillId="0" borderId="0" xfId="0" applyFont="1" applyAlignment="1" applyProtection="1">
      <alignment horizontal="left" vertical="center"/>
      <protection/>
    </xf>
    <xf numFmtId="0" fontId="43" fillId="0" borderId="0" xfId="0" applyFont="1" applyAlignment="1" applyProtection="1">
      <alignment horizontal="left" vertical="center"/>
      <protection/>
    </xf>
    <xf numFmtId="0" fontId="43" fillId="0" borderId="0" xfId="0" applyFont="1" applyAlignment="1" applyProtection="1">
      <alignment horizontal="left" vertical="center" wrapText="1"/>
      <protection/>
    </xf>
    <xf numFmtId="167" fontId="43" fillId="0" borderId="0" xfId="0" applyNumberFormat="1" applyFont="1" applyAlignment="1" applyProtection="1">
      <alignment vertical="center"/>
      <protection/>
    </xf>
    <xf numFmtId="0" fontId="43" fillId="0" borderId="3" xfId="0" applyFont="1" applyBorder="1" applyAlignment="1" applyProtection="1">
      <alignment vertical="center" wrapText="1"/>
      <protection/>
    </xf>
    <xf numFmtId="0" fontId="43" fillId="0" borderId="14" xfId="0" applyFont="1" applyBorder="1" applyAlignment="1" applyProtection="1">
      <alignment vertical="center"/>
      <protection/>
    </xf>
    <xf numFmtId="0" fontId="43" fillId="0" borderId="0" xfId="0" applyFont="1" applyBorder="1" applyAlignment="1" applyProtection="1">
      <alignment vertical="center"/>
      <protection/>
    </xf>
    <xf numFmtId="0" fontId="43" fillId="0" borderId="12" xfId="0" applyFont="1" applyBorder="1" applyAlignment="1" applyProtection="1">
      <alignment vertical="center"/>
      <protection/>
    </xf>
    <xf numFmtId="0" fontId="43" fillId="0" borderId="0" xfId="0" applyFont="1" applyFill="1" applyAlignment="1" applyProtection="1">
      <alignment horizontal="right" vertical="center"/>
      <protection/>
    </xf>
    <xf numFmtId="0" fontId="23" fillId="0" borderId="14" xfId="0" applyFont="1" applyBorder="1" applyAlignment="1" applyProtection="1">
      <alignment horizontal="center" vertical="center"/>
      <protection/>
    </xf>
    <xf numFmtId="0" fontId="23" fillId="0" borderId="12" xfId="0" applyFont="1" applyBorder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167" fontId="0" fillId="0" borderId="0" xfId="0" applyNumberFormat="1" applyFont="1" applyAlignment="1" applyProtection="1">
      <alignment vertical="center"/>
      <protection/>
    </xf>
    <xf numFmtId="0" fontId="12" fillId="20" borderId="0" xfId="0" applyFont="1" applyFill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10" fillId="0" borderId="0" xfId="0" applyFont="1" applyAlignment="1" applyProtection="1">
      <alignment/>
      <protection locked="0"/>
    </xf>
    <xf numFmtId="0" fontId="13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0" fillId="0" borderId="0" xfId="0" applyFont="1" applyFill="1" applyAlignment="1" applyProtection="1">
      <alignment/>
      <protection locked="0"/>
    </xf>
    <xf numFmtId="0" fontId="11" fillId="0" borderId="0" xfId="0" applyFont="1" applyFill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43" fillId="0" borderId="0" xfId="0" applyFont="1" applyAlignment="1" applyProtection="1">
      <alignment vertical="center"/>
      <protection locked="0"/>
    </xf>
    <xf numFmtId="0" fontId="0" fillId="0" borderId="9" xfId="0" applyFont="1" applyBorder="1" applyAlignment="1" applyProtection="1">
      <alignment vertical="center"/>
      <protection locked="0"/>
    </xf>
    <xf numFmtId="170" fontId="61" fillId="0" borderId="0" xfId="0" applyNumberFormat="1" applyFont="1" applyAlignment="1" applyProtection="1">
      <alignment horizontal="right" vertical="top"/>
      <protection/>
    </xf>
    <xf numFmtId="49" fontId="62" fillId="0" borderId="0" xfId="0" applyNumberFormat="1" applyFont="1" applyAlignment="1" applyProtection="1">
      <alignment horizontal="left" wrapText="1"/>
      <protection/>
    </xf>
    <xf numFmtId="0" fontId="63" fillId="0" borderId="0" xfId="0" applyNumberFormat="1" applyFont="1" applyAlignment="1" applyProtection="1">
      <alignment horizontal="left"/>
      <protection/>
    </xf>
    <xf numFmtId="49" fontId="61" fillId="0" borderId="0" xfId="0" applyNumberFormat="1" applyFont="1" applyAlignment="1" applyProtection="1">
      <alignment horizontal="left" vertical="top" wrapText="1"/>
      <protection/>
    </xf>
    <xf numFmtId="49" fontId="61" fillId="0" borderId="0" xfId="0" applyNumberFormat="1" applyFont="1" applyAlignment="1" applyProtection="1">
      <alignment horizontal="center" vertical="top"/>
      <protection/>
    </xf>
    <xf numFmtId="171" fontId="64" fillId="0" borderId="0" xfId="0" applyNumberFormat="1" applyFont="1" applyFill="1" applyBorder="1" applyAlignment="1" applyProtection="1">
      <alignment horizontal="right" vertical="top"/>
      <protection/>
    </xf>
    <xf numFmtId="172" fontId="61" fillId="0" borderId="0" xfId="0" applyNumberFormat="1" applyFont="1" applyAlignment="1" applyProtection="1">
      <alignment horizontal="right" vertical="top"/>
      <protection/>
    </xf>
    <xf numFmtId="172" fontId="63" fillId="0" borderId="0" xfId="0" applyNumberFormat="1" applyFont="1" applyAlignment="1" applyProtection="1">
      <alignment/>
      <protection/>
    </xf>
    <xf numFmtId="170" fontId="66" fillId="0" borderId="38" xfId="0" applyNumberFormat="1" applyFont="1" applyBorder="1" applyAlignment="1" applyProtection="1">
      <alignment horizontal="right" vertical="top"/>
      <protection/>
    </xf>
    <xf numFmtId="0" fontId="67" fillId="0" borderId="38" xfId="0" applyNumberFormat="1" applyFont="1" applyBorder="1" applyAlignment="1" applyProtection="1">
      <alignment horizontal="left"/>
      <protection/>
    </xf>
    <xf numFmtId="49" fontId="66" fillId="0" borderId="38" xfId="0" applyNumberFormat="1" applyFont="1" applyBorder="1" applyAlignment="1" applyProtection="1">
      <alignment horizontal="left" vertical="top" wrapText="1"/>
      <protection/>
    </xf>
    <xf numFmtId="49" fontId="66" fillId="0" borderId="38" xfId="0" applyNumberFormat="1" applyFont="1" applyBorder="1" applyAlignment="1" applyProtection="1">
      <alignment horizontal="center" vertical="top"/>
      <protection/>
    </xf>
    <xf numFmtId="171" fontId="68" fillId="0" borderId="38" xfId="0" applyNumberFormat="1" applyFont="1" applyFill="1" applyBorder="1" applyAlignment="1" applyProtection="1">
      <alignment horizontal="right" vertical="top"/>
      <protection/>
    </xf>
    <xf numFmtId="172" fontId="66" fillId="0" borderId="38" xfId="0" applyNumberFormat="1" applyFont="1" applyBorder="1" applyAlignment="1" applyProtection="1">
      <alignment horizontal="right" vertical="top"/>
      <protection/>
    </xf>
    <xf numFmtId="172" fontId="67" fillId="0" borderId="38" xfId="0" applyNumberFormat="1" applyFont="1" applyBorder="1" applyAlignment="1" applyProtection="1">
      <alignment horizontal="right"/>
      <protection/>
    </xf>
    <xf numFmtId="0" fontId="65" fillId="0" borderId="0" xfId="0" applyFont="1" applyProtection="1">
      <protection/>
    </xf>
    <xf numFmtId="171" fontId="68" fillId="0" borderId="0" xfId="0" applyNumberFormat="1" applyFont="1" applyFill="1" applyBorder="1" applyAlignment="1" applyProtection="1">
      <alignment horizontal="right" vertical="top"/>
      <protection/>
    </xf>
    <xf numFmtId="172" fontId="63" fillId="0" borderId="0" xfId="0" applyNumberFormat="1" applyFont="1" applyAlignment="1" applyProtection="1">
      <alignment horizontal="right"/>
      <protection/>
    </xf>
    <xf numFmtId="49" fontId="63" fillId="0" borderId="29" xfId="0" applyNumberFormat="1" applyFont="1" applyBorder="1" applyAlignment="1" applyProtection="1">
      <alignment horizontal="right"/>
      <protection/>
    </xf>
    <xf numFmtId="49" fontId="63" fillId="0" borderId="29" xfId="0" applyNumberFormat="1" applyFont="1" applyBorder="1" applyAlignment="1" applyProtection="1">
      <alignment horizontal="left"/>
      <protection/>
    </xf>
    <xf numFmtId="0" fontId="63" fillId="0" borderId="29" xfId="0" applyNumberFormat="1" applyFont="1" applyBorder="1" applyAlignment="1" applyProtection="1">
      <alignment horizontal="left"/>
      <protection/>
    </xf>
    <xf numFmtId="49" fontId="63" fillId="0" borderId="29" xfId="0" applyNumberFormat="1" applyFont="1" applyBorder="1" applyAlignment="1" applyProtection="1">
      <alignment horizontal="center"/>
      <protection/>
    </xf>
    <xf numFmtId="172" fontId="63" fillId="0" borderId="29" xfId="0" applyNumberFormat="1" applyFont="1" applyBorder="1" applyAlignment="1" applyProtection="1">
      <alignment horizontal="right"/>
      <protection/>
    </xf>
    <xf numFmtId="0" fontId="70" fillId="0" borderId="0" xfId="0" applyFont="1" applyProtection="1">
      <protection/>
    </xf>
    <xf numFmtId="49" fontId="63" fillId="0" borderId="0" xfId="0" applyNumberFormat="1" applyFont="1" applyAlignment="1" applyProtection="1">
      <alignment horizontal="right"/>
      <protection/>
    </xf>
    <xf numFmtId="49" fontId="63" fillId="0" borderId="0" xfId="0" applyNumberFormat="1" applyFont="1" applyAlignment="1" applyProtection="1">
      <alignment horizontal="left"/>
      <protection/>
    </xf>
    <xf numFmtId="0" fontId="63" fillId="0" borderId="0" xfId="0" applyNumberFormat="1" applyFont="1" applyAlignment="1" applyProtection="1">
      <alignment horizontal="left" wrapText="1"/>
      <protection/>
    </xf>
    <xf numFmtId="49" fontId="63" fillId="0" borderId="0" xfId="0" applyNumberFormat="1" applyFont="1" applyAlignment="1" applyProtection="1">
      <alignment horizontal="center"/>
      <protection/>
    </xf>
    <xf numFmtId="170" fontId="71" fillId="0" borderId="0" xfId="0" applyNumberFormat="1" applyFont="1" applyAlignment="1" applyProtection="1">
      <alignment/>
      <protection/>
    </xf>
    <xf numFmtId="0" fontId="71" fillId="0" borderId="0" xfId="0" applyNumberFormat="1" applyFont="1" applyAlignment="1" applyProtection="1">
      <alignment horizontal="left"/>
      <protection/>
    </xf>
    <xf numFmtId="49" fontId="71" fillId="0" borderId="0" xfId="0" applyNumberFormat="1" applyFont="1" applyAlignment="1" applyProtection="1">
      <alignment horizontal="center"/>
      <protection/>
    </xf>
    <xf numFmtId="171" fontId="71" fillId="0" borderId="0" xfId="0" applyNumberFormat="1" applyFont="1" applyFill="1" applyBorder="1" applyAlignment="1" applyProtection="1">
      <alignment/>
      <protection/>
    </xf>
    <xf numFmtId="172" fontId="71" fillId="0" borderId="0" xfId="0" applyNumberFormat="1" applyFont="1" applyAlignment="1" applyProtection="1">
      <alignment/>
      <protection/>
    </xf>
    <xf numFmtId="0" fontId="71" fillId="0" borderId="0" xfId="0" applyFont="1" applyProtection="1">
      <protection/>
    </xf>
    <xf numFmtId="0" fontId="50" fillId="0" borderId="0" xfId="0" applyNumberFormat="1" applyFont="1" applyAlignment="1" applyProtection="1">
      <alignment horizontal="left"/>
      <protection/>
    </xf>
    <xf numFmtId="170" fontId="63" fillId="0" borderId="0" xfId="0" applyNumberFormat="1" applyFont="1" applyAlignment="1" applyProtection="1">
      <alignment/>
      <protection/>
    </xf>
    <xf numFmtId="171" fontId="63" fillId="0" borderId="0" xfId="0" applyNumberFormat="1" applyFont="1" applyFill="1" applyBorder="1" applyAlignment="1" applyProtection="1">
      <alignment/>
      <protection/>
    </xf>
    <xf numFmtId="172" fontId="63" fillId="0" borderId="0" xfId="0" applyNumberFormat="1" applyFont="1" applyProtection="1">
      <protection/>
    </xf>
    <xf numFmtId="170" fontId="53" fillId="0" borderId="39" xfId="0" applyNumberFormat="1" applyFont="1" applyBorder="1" applyAlignment="1" applyProtection="1">
      <alignment horizontal="right" vertical="top"/>
      <protection/>
    </xf>
    <xf numFmtId="49" fontId="53" fillId="0" borderId="39" xfId="0" applyNumberFormat="1" applyFont="1" applyBorder="1" applyAlignment="1" applyProtection="1">
      <alignment horizontal="left" vertical="top"/>
      <protection/>
    </xf>
    <xf numFmtId="0" fontId="53" fillId="0" borderId="39" xfId="0" applyFont="1" applyBorder="1" applyAlignment="1" applyProtection="1">
      <alignment horizontal="left" vertical="top" wrapText="1"/>
      <protection/>
    </xf>
    <xf numFmtId="49" fontId="53" fillId="0" borderId="39" xfId="0" applyNumberFormat="1" applyFont="1" applyBorder="1" applyAlignment="1" applyProtection="1">
      <alignment horizontal="center" vertical="top"/>
      <protection/>
    </xf>
    <xf numFmtId="171" fontId="23" fillId="0" borderId="39" xfId="0" applyNumberFormat="1" applyFont="1" applyBorder="1" applyAlignment="1" applyProtection="1">
      <alignment horizontal="right" vertical="top"/>
      <protection/>
    </xf>
    <xf numFmtId="172" fontId="53" fillId="0" borderId="39" xfId="0" applyNumberFormat="1" applyFont="1" applyBorder="1" applyAlignment="1" applyProtection="1">
      <alignment horizontal="right" vertical="top"/>
      <protection/>
    </xf>
    <xf numFmtId="0" fontId="53" fillId="0" borderId="0" xfId="0" applyFont="1" applyProtection="1">
      <protection/>
    </xf>
    <xf numFmtId="170" fontId="53" fillId="0" borderId="0" xfId="0" applyNumberFormat="1" applyFont="1" applyBorder="1" applyAlignment="1" applyProtection="1">
      <alignment horizontal="right" vertical="top"/>
      <protection/>
    </xf>
    <xf numFmtId="49" fontId="53" fillId="0" borderId="0" xfId="0" applyNumberFormat="1" applyFont="1" applyBorder="1" applyAlignment="1" applyProtection="1">
      <alignment horizontal="left" vertical="top"/>
      <protection/>
    </xf>
    <xf numFmtId="0" fontId="53" fillId="0" borderId="0" xfId="0" applyNumberFormat="1" applyFont="1" applyBorder="1" applyAlignment="1" applyProtection="1">
      <alignment horizontal="left" vertical="top" wrapText="1"/>
      <protection/>
    </xf>
    <xf numFmtId="49" fontId="53" fillId="0" borderId="0" xfId="0" applyNumberFormat="1" applyFont="1" applyBorder="1" applyAlignment="1" applyProtection="1">
      <alignment horizontal="center" vertical="top"/>
      <protection/>
    </xf>
    <xf numFmtId="171" fontId="23" fillId="0" borderId="0" xfId="0" applyNumberFormat="1" applyFont="1" applyFill="1" applyBorder="1" applyAlignment="1" applyProtection="1">
      <alignment horizontal="right" vertical="top"/>
      <protection/>
    </xf>
    <xf numFmtId="172" fontId="23" fillId="0" borderId="0" xfId="0" applyNumberFormat="1" applyFont="1" applyFill="1" applyBorder="1" applyAlignment="1" applyProtection="1">
      <alignment horizontal="right" vertical="top"/>
      <protection/>
    </xf>
    <xf numFmtId="172" fontId="72" fillId="0" borderId="0" xfId="0" applyNumberFormat="1" applyFont="1" applyAlignment="1" applyProtection="1">
      <alignment horizontal="center" vertical="center"/>
      <protection/>
    </xf>
    <xf numFmtId="49" fontId="61" fillId="0" borderId="0" xfId="0" applyNumberFormat="1" applyFont="1" applyAlignment="1" applyProtection="1">
      <alignment horizontal="left" vertical="top"/>
      <protection/>
    </xf>
    <xf numFmtId="0" fontId="1" fillId="0" borderId="0" xfId="0" applyFont="1" applyAlignment="1" applyProtection="1">
      <alignment wrapText="1"/>
      <protection/>
    </xf>
    <xf numFmtId="170" fontId="73" fillId="0" borderId="39" xfId="0" applyNumberFormat="1" applyFont="1" applyBorder="1" applyAlignment="1" applyProtection="1">
      <alignment horizontal="right" vertical="top"/>
      <protection/>
    </xf>
    <xf numFmtId="49" fontId="73" fillId="0" borderId="39" xfId="0" applyNumberFormat="1" applyFont="1" applyBorder="1" applyAlignment="1" applyProtection="1">
      <alignment horizontal="left" vertical="top" wrapText="1"/>
      <protection/>
    </xf>
    <xf numFmtId="0" fontId="73" fillId="0" borderId="39" xfId="0" applyFont="1" applyBorder="1" applyAlignment="1" applyProtection="1">
      <alignment horizontal="left" vertical="top" wrapText="1"/>
      <protection/>
    </xf>
    <xf numFmtId="49" fontId="73" fillId="0" borderId="39" xfId="0" applyNumberFormat="1" applyFont="1" applyBorder="1" applyAlignment="1" applyProtection="1">
      <alignment horizontal="center" vertical="top"/>
      <protection/>
    </xf>
    <xf numFmtId="171" fontId="23" fillId="0" borderId="39" xfId="0" applyNumberFormat="1" applyFont="1" applyBorder="1" applyAlignment="1" applyProtection="1">
      <alignment horizontal="right" vertical="center"/>
      <protection/>
    </xf>
    <xf numFmtId="172" fontId="73" fillId="0" borderId="39" xfId="0" applyNumberFormat="1" applyFont="1" applyBorder="1" applyAlignment="1" applyProtection="1">
      <alignment horizontal="right" vertical="center"/>
      <protection/>
    </xf>
    <xf numFmtId="49" fontId="53" fillId="0" borderId="39" xfId="0" applyNumberFormat="1" applyFont="1" applyBorder="1" applyAlignment="1" applyProtection="1">
      <alignment horizontal="left" vertical="top" wrapText="1"/>
      <protection/>
    </xf>
    <xf numFmtId="0" fontId="74" fillId="0" borderId="39" xfId="0" applyFont="1" applyBorder="1" applyAlignment="1" applyProtection="1">
      <alignment horizontal="left" vertical="top" wrapText="1"/>
      <protection/>
    </xf>
    <xf numFmtId="49" fontId="74" fillId="0" borderId="39" xfId="0" applyNumberFormat="1" applyFont="1" applyBorder="1" applyAlignment="1" applyProtection="1">
      <alignment horizontal="center" vertical="top"/>
      <protection/>
    </xf>
    <xf numFmtId="171" fontId="75" fillId="0" borderId="39" xfId="0" applyNumberFormat="1" applyFont="1" applyBorder="1" applyAlignment="1" applyProtection="1">
      <alignment horizontal="right" vertical="center"/>
      <protection/>
    </xf>
    <xf numFmtId="0" fontId="73" fillId="0" borderId="39" xfId="0" applyFont="1" applyFill="1" applyBorder="1" applyAlignment="1" applyProtection="1">
      <alignment horizontal="left" vertical="top" wrapText="1"/>
      <protection/>
    </xf>
    <xf numFmtId="171" fontId="23" fillId="0" borderId="39" xfId="0" applyNumberFormat="1" applyFont="1" applyFill="1" applyBorder="1" applyAlignment="1" applyProtection="1">
      <alignment horizontal="right" vertical="center"/>
      <protection/>
    </xf>
    <xf numFmtId="0" fontId="76" fillId="0" borderId="0" xfId="0" applyNumberFormat="1" applyFont="1" applyAlignment="1" applyProtection="1">
      <alignment horizontal="left"/>
      <protection/>
    </xf>
    <xf numFmtId="172" fontId="53" fillId="0" borderId="39" xfId="0" applyNumberFormat="1" applyFont="1" applyBorder="1" applyAlignment="1" applyProtection="1">
      <alignment horizontal="right" vertical="top"/>
      <protection locked="0"/>
    </xf>
    <xf numFmtId="172" fontId="23" fillId="0" borderId="0" xfId="0" applyNumberFormat="1" applyFont="1" applyFill="1" applyBorder="1" applyAlignment="1" applyProtection="1">
      <alignment horizontal="right" vertical="top"/>
      <protection locked="0"/>
    </xf>
    <xf numFmtId="172" fontId="61" fillId="0" borderId="0" xfId="0" applyNumberFormat="1" applyFont="1" applyAlignment="1" applyProtection="1">
      <alignment horizontal="right" vertical="top"/>
      <protection locked="0"/>
    </xf>
    <xf numFmtId="172" fontId="73" fillId="0" borderId="39" xfId="0" applyNumberFormat="1" applyFont="1" applyBorder="1" applyAlignment="1" applyProtection="1">
      <alignment horizontal="right" vertical="center"/>
      <protection locked="0"/>
    </xf>
    <xf numFmtId="172" fontId="73" fillId="0" borderId="39" xfId="0" applyNumberFormat="1" applyFont="1" applyBorder="1" applyAlignment="1" applyProtection="1">
      <alignment horizontal="right" vertical="top"/>
      <protection locked="0"/>
    </xf>
    <xf numFmtId="170" fontId="73" fillId="0" borderId="39" xfId="0" applyNumberFormat="1" applyFont="1" applyFill="1" applyBorder="1" applyAlignment="1" applyProtection="1">
      <alignment horizontal="right" vertical="top"/>
      <protection/>
    </xf>
    <xf numFmtId="49" fontId="73" fillId="0" borderId="39" xfId="0" applyNumberFormat="1" applyFont="1" applyFill="1" applyBorder="1" applyAlignment="1" applyProtection="1">
      <alignment horizontal="left" vertical="top" wrapText="1"/>
      <protection/>
    </xf>
    <xf numFmtId="49" fontId="73" fillId="0" borderId="39" xfId="0" applyNumberFormat="1" applyFont="1" applyFill="1" applyBorder="1" applyAlignment="1" applyProtection="1">
      <alignment horizontal="center" vertical="top"/>
      <protection/>
    </xf>
    <xf numFmtId="172" fontId="73" fillId="0" borderId="39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Protection="1">
      <protection/>
    </xf>
    <xf numFmtId="49" fontId="53" fillId="0" borderId="39" xfId="0" applyNumberFormat="1" applyFont="1" applyFill="1" applyBorder="1" applyAlignment="1" applyProtection="1">
      <alignment horizontal="left" vertical="top" wrapText="1"/>
      <protection/>
    </xf>
    <xf numFmtId="0" fontId="74" fillId="0" borderId="39" xfId="0" applyFont="1" applyFill="1" applyBorder="1" applyAlignment="1" applyProtection="1">
      <alignment horizontal="left" vertical="top" wrapText="1"/>
      <protection/>
    </xf>
    <xf numFmtId="49" fontId="74" fillId="0" borderId="39" xfId="0" applyNumberFormat="1" applyFont="1" applyFill="1" applyBorder="1" applyAlignment="1" applyProtection="1">
      <alignment horizontal="center" vertical="top"/>
      <protection/>
    </xf>
    <xf numFmtId="171" fontId="75" fillId="0" borderId="39" xfId="0" applyNumberFormat="1" applyFont="1" applyFill="1" applyBorder="1" applyAlignment="1" applyProtection="1">
      <alignment horizontal="right" vertical="center"/>
      <protection/>
    </xf>
    <xf numFmtId="170" fontId="53" fillId="0" borderId="39" xfId="0" applyNumberFormat="1" applyFont="1" applyFill="1" applyBorder="1" applyAlignment="1" applyProtection="1">
      <alignment horizontal="right" vertical="top"/>
      <protection/>
    </xf>
    <xf numFmtId="172" fontId="73" fillId="0" borderId="39" xfId="0" applyNumberFormat="1" applyFont="1" applyFill="1" applyBorder="1" applyAlignment="1" applyProtection="1">
      <alignment horizontal="right" vertical="center"/>
      <protection locked="0"/>
    </xf>
    <xf numFmtId="170" fontId="61" fillId="0" borderId="0" xfId="0" applyNumberFormat="1" applyFont="1" applyFill="1" applyAlignment="1" applyProtection="1">
      <alignment horizontal="right" vertical="top"/>
      <protection/>
    </xf>
    <xf numFmtId="49" fontId="61" fillId="0" borderId="0" xfId="0" applyNumberFormat="1" applyFont="1" applyFill="1" applyAlignment="1" applyProtection="1">
      <alignment horizontal="left" vertical="top"/>
      <protection/>
    </xf>
    <xf numFmtId="49" fontId="61" fillId="0" borderId="0" xfId="0" applyNumberFormat="1" applyFont="1" applyFill="1" applyAlignment="1" applyProtection="1">
      <alignment horizontal="left" vertical="top" wrapText="1"/>
      <protection/>
    </xf>
    <xf numFmtId="49" fontId="61" fillId="0" borderId="0" xfId="0" applyNumberFormat="1" applyFont="1" applyFill="1" applyAlignment="1" applyProtection="1">
      <alignment horizontal="center" vertical="top"/>
      <protection/>
    </xf>
    <xf numFmtId="172" fontId="61" fillId="0" borderId="0" xfId="0" applyNumberFormat="1" applyFont="1" applyFill="1" applyAlignment="1" applyProtection="1">
      <alignment horizontal="right" vertical="top"/>
      <protection/>
    </xf>
    <xf numFmtId="49" fontId="62" fillId="0" borderId="0" xfId="0" applyNumberFormat="1" applyFont="1" applyFill="1" applyAlignment="1" applyProtection="1">
      <alignment horizontal="left" wrapText="1"/>
      <protection/>
    </xf>
    <xf numFmtId="0" fontId="63" fillId="0" borderId="0" xfId="0" applyNumberFormat="1" applyFont="1" applyFill="1" applyAlignment="1" applyProtection="1">
      <alignment horizontal="left"/>
      <protection/>
    </xf>
    <xf numFmtId="172" fontId="63" fillId="0" borderId="0" xfId="0" applyNumberFormat="1" applyFont="1" applyFill="1" applyAlignment="1" applyProtection="1">
      <alignment/>
      <protection/>
    </xf>
    <xf numFmtId="170" fontId="66" fillId="0" borderId="38" xfId="0" applyNumberFormat="1" applyFont="1" applyFill="1" applyBorder="1" applyAlignment="1" applyProtection="1">
      <alignment horizontal="right" vertical="top"/>
      <protection/>
    </xf>
    <xf numFmtId="0" fontId="67" fillId="0" borderId="38" xfId="0" applyNumberFormat="1" applyFont="1" applyFill="1" applyBorder="1" applyAlignment="1" applyProtection="1">
      <alignment horizontal="left"/>
      <protection/>
    </xf>
    <xf numFmtId="49" fontId="66" fillId="0" borderId="38" xfId="0" applyNumberFormat="1" applyFont="1" applyFill="1" applyBorder="1" applyAlignment="1" applyProtection="1">
      <alignment horizontal="left" vertical="top" wrapText="1"/>
      <protection/>
    </xf>
    <xf numFmtId="49" fontId="66" fillId="0" borderId="38" xfId="0" applyNumberFormat="1" applyFont="1" applyFill="1" applyBorder="1" applyAlignment="1" applyProtection="1">
      <alignment horizontal="center" vertical="top"/>
      <protection/>
    </xf>
    <xf numFmtId="172" fontId="66" fillId="0" borderId="38" xfId="0" applyNumberFormat="1" applyFont="1" applyFill="1" applyBorder="1" applyAlignment="1" applyProtection="1">
      <alignment horizontal="right" vertical="top"/>
      <protection/>
    </xf>
    <xf numFmtId="172" fontId="67" fillId="0" borderId="38" xfId="0" applyNumberFormat="1" applyFont="1" applyFill="1" applyBorder="1" applyAlignment="1" applyProtection="1">
      <alignment horizontal="right"/>
      <protection/>
    </xf>
    <xf numFmtId="0" fontId="65" fillId="0" borderId="0" xfId="0" applyFont="1" applyFill="1" applyProtection="1">
      <protection/>
    </xf>
    <xf numFmtId="172" fontId="63" fillId="0" borderId="0" xfId="0" applyNumberFormat="1" applyFont="1" applyFill="1" applyAlignment="1" applyProtection="1">
      <alignment horizontal="right"/>
      <protection/>
    </xf>
    <xf numFmtId="49" fontId="63" fillId="0" borderId="29" xfId="0" applyNumberFormat="1" applyFont="1" applyFill="1" applyBorder="1" applyAlignment="1" applyProtection="1">
      <alignment horizontal="right"/>
      <protection/>
    </xf>
    <xf numFmtId="49" fontId="63" fillId="0" borderId="29" xfId="0" applyNumberFormat="1" applyFont="1" applyFill="1" applyBorder="1" applyAlignment="1" applyProtection="1">
      <alignment horizontal="left"/>
      <protection/>
    </xf>
    <xf numFmtId="0" fontId="63" fillId="0" borderId="29" xfId="0" applyNumberFormat="1" applyFont="1" applyFill="1" applyBorder="1" applyAlignment="1" applyProtection="1">
      <alignment horizontal="left"/>
      <protection/>
    </xf>
    <xf numFmtId="49" fontId="63" fillId="0" borderId="29" xfId="0" applyNumberFormat="1" applyFont="1" applyFill="1" applyBorder="1" applyAlignment="1" applyProtection="1">
      <alignment horizontal="center"/>
      <protection/>
    </xf>
    <xf numFmtId="0" fontId="70" fillId="0" borderId="0" xfId="0" applyFont="1" applyFill="1" applyProtection="1">
      <protection/>
    </xf>
    <xf numFmtId="49" fontId="63" fillId="0" borderId="0" xfId="0" applyNumberFormat="1" applyFont="1" applyFill="1" applyAlignment="1" applyProtection="1">
      <alignment horizontal="right"/>
      <protection/>
    </xf>
    <xf numFmtId="49" fontId="63" fillId="0" borderId="0" xfId="0" applyNumberFormat="1" applyFont="1" applyFill="1" applyAlignment="1" applyProtection="1">
      <alignment horizontal="left"/>
      <protection/>
    </xf>
    <xf numFmtId="0" fontId="63" fillId="0" borderId="0" xfId="0" applyNumberFormat="1" applyFont="1" applyFill="1" applyAlignment="1" applyProtection="1">
      <alignment horizontal="left" wrapText="1"/>
      <protection/>
    </xf>
    <xf numFmtId="49" fontId="63" fillId="0" borderId="0" xfId="0" applyNumberFormat="1" applyFont="1" applyFill="1" applyAlignment="1" applyProtection="1">
      <alignment horizontal="center"/>
      <protection/>
    </xf>
    <xf numFmtId="170" fontId="71" fillId="0" borderId="0" xfId="0" applyNumberFormat="1" applyFont="1" applyFill="1" applyAlignment="1" applyProtection="1">
      <alignment/>
      <protection/>
    </xf>
    <xf numFmtId="0" fontId="71" fillId="0" borderId="0" xfId="0" applyNumberFormat="1" applyFont="1" applyFill="1" applyAlignment="1" applyProtection="1">
      <alignment horizontal="left"/>
      <protection/>
    </xf>
    <xf numFmtId="49" fontId="71" fillId="0" borderId="0" xfId="0" applyNumberFormat="1" applyFont="1" applyFill="1" applyAlignment="1" applyProtection="1">
      <alignment horizontal="center"/>
      <protection/>
    </xf>
    <xf numFmtId="172" fontId="71" fillId="0" borderId="0" xfId="0" applyNumberFormat="1" applyFont="1" applyFill="1" applyAlignment="1" applyProtection="1">
      <alignment/>
      <protection/>
    </xf>
    <xf numFmtId="0" fontId="71" fillId="0" borderId="0" xfId="0" applyFont="1" applyFill="1" applyProtection="1">
      <protection/>
    </xf>
    <xf numFmtId="170" fontId="63" fillId="0" borderId="0" xfId="0" applyNumberFormat="1" applyFont="1" applyFill="1" applyAlignment="1" applyProtection="1">
      <alignment/>
      <protection/>
    </xf>
    <xf numFmtId="172" fontId="63" fillId="0" borderId="0" xfId="0" applyNumberFormat="1" applyFont="1" applyFill="1" applyProtection="1">
      <protection/>
    </xf>
    <xf numFmtId="49" fontId="53" fillId="0" borderId="39" xfId="0" applyNumberFormat="1" applyFont="1" applyFill="1" applyBorder="1" applyAlignment="1" applyProtection="1">
      <alignment horizontal="left" vertical="top"/>
      <protection/>
    </xf>
    <xf numFmtId="0" fontId="53" fillId="0" borderId="39" xfId="0" applyFont="1" applyFill="1" applyBorder="1" applyAlignment="1" applyProtection="1">
      <alignment horizontal="left" vertical="top" wrapText="1"/>
      <protection/>
    </xf>
    <xf numFmtId="49" fontId="53" fillId="0" borderId="39" xfId="0" applyNumberFormat="1" applyFont="1" applyFill="1" applyBorder="1" applyAlignment="1" applyProtection="1">
      <alignment horizontal="center" vertical="top"/>
      <protection/>
    </xf>
    <xf numFmtId="171" fontId="23" fillId="0" borderId="39" xfId="0" applyNumberFormat="1" applyFont="1" applyFill="1" applyBorder="1" applyAlignment="1" applyProtection="1">
      <alignment horizontal="right" vertical="top"/>
      <protection/>
    </xf>
    <xf numFmtId="172" fontId="53" fillId="0" borderId="39" xfId="0" applyNumberFormat="1" applyFont="1" applyFill="1" applyBorder="1" applyAlignment="1" applyProtection="1">
      <alignment horizontal="right" vertical="top"/>
      <protection/>
    </xf>
    <xf numFmtId="0" fontId="53" fillId="0" borderId="0" xfId="0" applyFont="1" applyFill="1" applyProtection="1">
      <protection/>
    </xf>
    <xf numFmtId="170" fontId="53" fillId="0" borderId="0" xfId="0" applyNumberFormat="1" applyFont="1" applyFill="1" applyBorder="1" applyAlignment="1" applyProtection="1">
      <alignment horizontal="right" vertical="top"/>
      <protection/>
    </xf>
    <xf numFmtId="49" fontId="53" fillId="0" borderId="0" xfId="0" applyNumberFormat="1" applyFont="1" applyFill="1" applyBorder="1" applyAlignment="1" applyProtection="1">
      <alignment horizontal="left" vertical="top"/>
      <protection/>
    </xf>
    <xf numFmtId="0" fontId="53" fillId="0" borderId="0" xfId="0" applyNumberFormat="1" applyFont="1" applyFill="1" applyBorder="1" applyAlignment="1" applyProtection="1">
      <alignment horizontal="left" vertical="top" wrapText="1"/>
      <protection/>
    </xf>
    <xf numFmtId="49" fontId="53" fillId="0" borderId="0" xfId="0" applyNumberFormat="1" applyFont="1" applyFill="1" applyBorder="1" applyAlignment="1" applyProtection="1">
      <alignment horizontal="center" vertical="top"/>
      <protection/>
    </xf>
    <xf numFmtId="172" fontId="72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wrapText="1"/>
      <protection/>
    </xf>
    <xf numFmtId="0" fontId="76" fillId="0" borderId="0" xfId="0" applyNumberFormat="1" applyFont="1" applyFill="1" applyAlignment="1" applyProtection="1">
      <alignment horizontal="left"/>
      <protection/>
    </xf>
    <xf numFmtId="170" fontId="61" fillId="19" borderId="0" xfId="0" applyNumberFormat="1" applyFont="1" applyFill="1" applyAlignment="1" applyProtection="1">
      <alignment horizontal="right" vertical="top"/>
      <protection/>
    </xf>
    <xf numFmtId="49" fontId="61" fillId="19" borderId="0" xfId="0" applyNumberFormat="1" applyFont="1" applyFill="1" applyAlignment="1" applyProtection="1">
      <alignment horizontal="left" vertical="top"/>
      <protection/>
    </xf>
    <xf numFmtId="49" fontId="61" fillId="19" borderId="0" xfId="0" applyNumberFormat="1" applyFont="1" applyFill="1" applyAlignment="1" applyProtection="1">
      <alignment horizontal="left" vertical="top" wrapText="1"/>
      <protection/>
    </xf>
    <xf numFmtId="49" fontId="61" fillId="19" borderId="0" xfId="0" applyNumberFormat="1" applyFont="1" applyFill="1" applyAlignment="1" applyProtection="1">
      <alignment horizontal="center" vertical="top"/>
      <protection/>
    </xf>
    <xf numFmtId="171" fontId="64" fillId="19" borderId="0" xfId="0" applyNumberFormat="1" applyFont="1" applyFill="1" applyBorder="1" applyAlignment="1" applyProtection="1">
      <alignment horizontal="right" vertical="top"/>
      <protection/>
    </xf>
    <xf numFmtId="172" fontId="61" fillId="19" borderId="0" xfId="0" applyNumberFormat="1" applyFont="1" applyFill="1" applyAlignment="1" applyProtection="1">
      <alignment horizontal="right" vertical="top"/>
      <protection/>
    </xf>
    <xf numFmtId="172" fontId="53" fillId="0" borderId="39" xfId="0" applyNumberFormat="1" applyFont="1" applyFill="1" applyBorder="1" applyAlignment="1" applyProtection="1">
      <alignment horizontal="right" vertical="top"/>
      <protection locked="0"/>
    </xf>
    <xf numFmtId="172" fontId="61" fillId="0" borderId="0" xfId="0" applyNumberFormat="1" applyFont="1" applyFill="1" applyAlignment="1" applyProtection="1">
      <alignment horizontal="right" vertical="top"/>
      <protection locked="0"/>
    </xf>
    <xf numFmtId="172" fontId="73" fillId="0" borderId="39" xfId="0" applyNumberFormat="1" applyFont="1" applyFill="1" applyBorder="1" applyAlignment="1" applyProtection="1">
      <alignment horizontal="right" vertical="top"/>
      <protection locked="0"/>
    </xf>
    <xf numFmtId="0" fontId="0" fillId="0" borderId="3" xfId="0" applyFill="1" applyBorder="1" applyAlignment="1" applyProtection="1">
      <alignment vertical="center"/>
      <protection/>
    </xf>
    <xf numFmtId="0" fontId="80" fillId="0" borderId="16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21" xfId="0" applyFont="1" applyFill="1" applyBorder="1" applyAlignment="1" applyProtection="1">
      <alignment horizontal="center" vertical="center" wrapText="1"/>
      <protection/>
    </xf>
    <xf numFmtId="0" fontId="23" fillId="4" borderId="22" xfId="0" applyFont="1" applyFill="1" applyBorder="1" applyAlignment="1" applyProtection="1">
      <alignment horizontal="center" vertical="center" wrapText="1"/>
      <protection/>
    </xf>
    <xf numFmtId="0" fontId="23" fillId="4" borderId="23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 applyProtection="1">
      <alignment horizontal="center" vertical="center" wrapText="1"/>
      <protection/>
    </xf>
    <xf numFmtId="0" fontId="24" fillId="0" borderId="21" xfId="0" applyFont="1" applyBorder="1" applyAlignment="1" applyProtection="1">
      <alignment horizontal="center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0" fontId="24" fillId="0" borderId="23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166" fontId="34" fillId="0" borderId="11" xfId="0" applyNumberFormat="1" applyFont="1" applyBorder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24" fillId="0" borderId="15" xfId="0" applyFont="1" applyBorder="1" applyAlignment="1" applyProtection="1">
      <alignment horizontal="left" vertical="center"/>
      <protection/>
    </xf>
    <xf numFmtId="0" fontId="24" fillId="0" borderId="16" xfId="0" applyFont="1" applyBorder="1" applyAlignment="1" applyProtection="1">
      <alignment horizontal="center" vertical="center"/>
      <protection/>
    </xf>
    <xf numFmtId="166" fontId="24" fillId="0" borderId="16" xfId="0" applyNumberFormat="1" applyFont="1" applyBorder="1" applyAlignment="1" applyProtection="1">
      <alignment vertical="center"/>
      <protection/>
    </xf>
    <xf numFmtId="166" fontId="24" fillId="0" borderId="17" xfId="0" applyNumberFormat="1" applyFont="1" applyBorder="1" applyAlignment="1" applyProtection="1">
      <alignment vertical="center"/>
      <protection/>
    </xf>
    <xf numFmtId="0" fontId="24" fillId="0" borderId="15" xfId="0" applyFont="1" applyFill="1" applyBorder="1" applyAlignment="1" applyProtection="1">
      <alignment horizontal="left" vertical="center"/>
      <protection/>
    </xf>
    <xf numFmtId="0" fontId="24" fillId="0" borderId="16" xfId="0" applyFont="1" applyFill="1" applyBorder="1" applyAlignment="1" applyProtection="1">
      <alignment horizontal="center" vertical="center"/>
      <protection/>
    </xf>
    <xf numFmtId="166" fontId="24" fillId="0" borderId="16" xfId="0" applyNumberFormat="1" applyFont="1" applyFill="1" applyBorder="1" applyAlignment="1" applyProtection="1">
      <alignment vertical="center"/>
      <protection/>
    </xf>
    <xf numFmtId="166" fontId="24" fillId="0" borderId="17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166" fontId="34" fillId="0" borderId="0" xfId="0" applyNumberFormat="1" applyFont="1" applyBorder="1" applyAlignment="1" applyProtection="1">
      <alignment/>
      <protection/>
    </xf>
    <xf numFmtId="166" fontId="34" fillId="0" borderId="12" xfId="0" applyNumberFormat="1" applyFont="1" applyBorder="1" applyAlignment="1" applyProtection="1">
      <alignment/>
      <protection/>
    </xf>
    <xf numFmtId="0" fontId="38" fillId="0" borderId="3" xfId="0" applyFont="1" applyBorder="1" applyAlignment="1" applyProtection="1">
      <alignment vertical="center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169" fontId="54" fillId="0" borderId="19" xfId="0" applyNumberFormat="1" applyFont="1" applyBorder="1" applyAlignment="1" applyProtection="1">
      <alignment vertical="center"/>
      <protection locked="0"/>
    </xf>
    <xf numFmtId="169" fontId="54" fillId="0" borderId="20" xfId="0" applyNumberFormat="1" applyFont="1" applyBorder="1" applyAlignment="1" applyProtection="1">
      <alignment vertical="center"/>
      <protection locked="0"/>
    </xf>
    <xf numFmtId="0" fontId="54" fillId="0" borderId="33" xfId="0" applyFont="1" applyFill="1" applyBorder="1" applyAlignment="1" applyProtection="1">
      <alignment horizontal="right" vertical="center" indent="1"/>
      <protection locked="0"/>
    </xf>
    <xf numFmtId="169" fontId="54" fillId="0" borderId="20" xfId="0" applyNumberFormat="1" applyFont="1" applyBorder="1" applyAlignment="1" applyProtection="1">
      <alignment/>
      <protection locked="0"/>
    </xf>
    <xf numFmtId="169" fontId="54" fillId="0" borderId="36" xfId="0" applyNumberFormat="1" applyFont="1" applyBorder="1" applyAlignment="1" applyProtection="1">
      <alignment vertical="center"/>
      <protection locked="0"/>
    </xf>
    <xf numFmtId="169" fontId="54" fillId="0" borderId="20" xfId="0" applyNumberFormat="1" applyFont="1" applyFill="1" applyBorder="1" applyAlignment="1" applyProtection="1">
      <alignment vertical="center"/>
      <protection locked="0"/>
    </xf>
    <xf numFmtId="0" fontId="0" fillId="0" borderId="24" xfId="0" applyFill="1" applyBorder="1" applyProtection="1">
      <protection/>
    </xf>
    <xf numFmtId="0" fontId="45" fillId="0" borderId="25" xfId="0" applyFont="1" applyFill="1" applyBorder="1" applyAlignment="1" applyProtection="1">
      <alignment wrapText="1"/>
      <protection/>
    </xf>
    <xf numFmtId="0" fontId="0" fillId="0" borderId="25" xfId="0" applyFill="1" applyBorder="1" applyProtection="1">
      <protection/>
    </xf>
    <xf numFmtId="0" fontId="46" fillId="0" borderId="26" xfId="0" applyFont="1" applyFill="1" applyBorder="1" applyAlignment="1" applyProtection="1">
      <alignment horizontal="right" indent="2"/>
      <protection/>
    </xf>
    <xf numFmtId="0" fontId="47" fillId="0" borderId="27" xfId="0" applyFont="1" applyFill="1" applyBorder="1" applyAlignment="1" applyProtection="1">
      <alignment horizontal="center"/>
      <protection/>
    </xf>
    <xf numFmtId="0" fontId="48" fillId="0" borderId="0" xfId="0" applyFont="1" applyFill="1" applyBorder="1" applyAlignment="1" applyProtection="1">
      <alignment wrapText="1"/>
      <protection/>
    </xf>
    <xf numFmtId="0" fontId="0" fillId="0" borderId="0" xfId="0" applyFill="1" applyBorder="1" applyProtection="1">
      <protection/>
    </xf>
    <xf numFmtId="0" fontId="50" fillId="0" borderId="27" xfId="0" applyFont="1" applyFill="1" applyBorder="1" applyProtection="1">
      <protection/>
    </xf>
    <xf numFmtId="0" fontId="51" fillId="0" borderId="0" xfId="0" applyFont="1" applyFill="1" applyBorder="1" applyAlignment="1" applyProtection="1">
      <alignment wrapText="1"/>
      <protection/>
    </xf>
    <xf numFmtId="0" fontId="52" fillId="0" borderId="0" xfId="0" applyFont="1" applyFill="1" applyBorder="1" applyAlignment="1" applyProtection="1">
      <alignment horizontal="center"/>
      <protection/>
    </xf>
    <xf numFmtId="0" fontId="0" fillId="0" borderId="28" xfId="0" applyFill="1" applyBorder="1" applyProtection="1">
      <protection/>
    </xf>
    <xf numFmtId="0" fontId="0" fillId="0" borderId="29" xfId="0" applyFill="1" applyBorder="1" applyAlignment="1" applyProtection="1">
      <alignment wrapText="1"/>
      <protection/>
    </xf>
    <xf numFmtId="0" fontId="0" fillId="0" borderId="29" xfId="0" applyFill="1" applyBorder="1" applyProtection="1">
      <protection/>
    </xf>
    <xf numFmtId="0" fontId="0" fillId="0" borderId="30" xfId="0" applyFill="1" applyBorder="1" applyProtection="1">
      <protection/>
    </xf>
    <xf numFmtId="0" fontId="53" fillId="0" borderId="31" xfId="0" applyFont="1" applyFill="1" applyBorder="1" applyAlignment="1" applyProtection="1">
      <alignment horizontal="center" vertical="center" wrapText="1"/>
      <protection/>
    </xf>
    <xf numFmtId="0" fontId="50" fillId="0" borderId="31" xfId="0" applyFont="1" applyFill="1" applyBorder="1" applyAlignment="1" applyProtection="1">
      <alignment horizontal="center" vertical="center" wrapText="1"/>
      <protection/>
    </xf>
    <xf numFmtId="0" fontId="54" fillId="0" borderId="19" xfId="0" applyFont="1" applyFill="1" applyBorder="1" applyAlignment="1" applyProtection="1">
      <alignment vertical="center"/>
      <protection/>
    </xf>
    <xf numFmtId="0" fontId="45" fillId="0" borderId="19" xfId="0" applyFont="1" applyFill="1" applyBorder="1" applyAlignment="1" applyProtection="1">
      <alignment vertical="center" wrapText="1"/>
      <protection/>
    </xf>
    <xf numFmtId="0" fontId="54" fillId="0" borderId="19" xfId="0" applyFont="1" applyFill="1" applyBorder="1" applyAlignment="1" applyProtection="1">
      <alignment horizontal="right" vertical="center"/>
      <protection/>
    </xf>
    <xf numFmtId="0" fontId="54" fillId="0" borderId="20" xfId="0" applyFont="1" applyFill="1" applyBorder="1" applyAlignment="1" applyProtection="1">
      <alignment horizontal="center" vertical="center"/>
      <protection/>
    </xf>
    <xf numFmtId="0" fontId="54" fillId="0" borderId="20" xfId="0" applyFont="1" applyFill="1" applyBorder="1" applyAlignment="1" applyProtection="1">
      <alignment vertical="center" wrapText="1"/>
      <protection/>
    </xf>
    <xf numFmtId="0" fontId="54" fillId="0" borderId="20" xfId="0" applyFont="1" applyFill="1" applyBorder="1" applyAlignment="1" applyProtection="1">
      <alignment vertical="center"/>
      <protection/>
    </xf>
    <xf numFmtId="4" fontId="54" fillId="0" borderId="20" xfId="0" applyNumberFormat="1" applyFont="1" applyFill="1" applyBorder="1" applyAlignment="1" applyProtection="1">
      <alignment horizontal="right" vertical="center"/>
      <protection/>
    </xf>
    <xf numFmtId="0" fontId="54" fillId="0" borderId="20" xfId="0" applyFont="1" applyFill="1" applyBorder="1" applyAlignment="1" applyProtection="1">
      <alignment vertical="center" wrapText="1"/>
      <protection/>
    </xf>
    <xf numFmtId="0" fontId="45" fillId="0" borderId="32" xfId="0" applyFont="1" applyFill="1" applyBorder="1" applyAlignment="1" applyProtection="1">
      <alignment vertical="center"/>
      <protection/>
    </xf>
    <xf numFmtId="0" fontId="45" fillId="0" borderId="33" xfId="0" applyFont="1" applyFill="1" applyBorder="1" applyAlignment="1" applyProtection="1">
      <alignment vertical="center" wrapText="1"/>
      <protection/>
    </xf>
    <xf numFmtId="0" fontId="45" fillId="0" borderId="33" xfId="0" applyFont="1" applyFill="1" applyBorder="1" applyAlignment="1" applyProtection="1">
      <alignment vertical="center"/>
      <protection/>
    </xf>
    <xf numFmtId="4" fontId="55" fillId="0" borderId="34" xfId="0" applyNumberFormat="1" applyFont="1" applyFill="1" applyBorder="1" applyAlignment="1" applyProtection="1">
      <alignment horizontal="right" vertical="center"/>
      <protection/>
    </xf>
    <xf numFmtId="0" fontId="54" fillId="0" borderId="32" xfId="0" applyFont="1" applyFill="1" applyBorder="1" applyProtection="1">
      <protection/>
    </xf>
    <xf numFmtId="0" fontId="54" fillId="0" borderId="33" xfId="0" applyFont="1" applyFill="1" applyBorder="1" applyAlignment="1" applyProtection="1">
      <alignment wrapText="1"/>
      <protection/>
    </xf>
    <xf numFmtId="0" fontId="54" fillId="0" borderId="33" xfId="0" applyFont="1" applyFill="1" applyBorder="1" applyProtection="1">
      <protection/>
    </xf>
    <xf numFmtId="0" fontId="54" fillId="0" borderId="33" xfId="0" applyFont="1" applyFill="1" applyBorder="1" applyAlignment="1" applyProtection="1">
      <alignment horizontal="right" vertical="center" indent="1"/>
      <protection/>
    </xf>
    <xf numFmtId="0" fontId="54" fillId="0" borderId="34" xfId="0" applyFont="1" applyFill="1" applyBorder="1" applyAlignment="1" applyProtection="1">
      <alignment horizontal="right" vertical="center" indent="1"/>
      <protection/>
    </xf>
    <xf numFmtId="0" fontId="54" fillId="0" borderId="32" xfId="22" applyFont="1" applyFill="1" applyBorder="1" applyAlignment="1" applyProtection="1">
      <alignment vertical="center"/>
      <protection/>
    </xf>
    <xf numFmtId="0" fontId="56" fillId="0" borderId="33" xfId="22" applyFont="1" applyFill="1" applyBorder="1" applyAlignment="1" applyProtection="1">
      <alignment vertical="center" wrapText="1"/>
      <protection/>
    </xf>
    <xf numFmtId="0" fontId="54" fillId="0" borderId="33" xfId="22" applyFont="1" applyFill="1" applyBorder="1" applyAlignment="1" applyProtection="1">
      <alignment vertical="center"/>
      <protection/>
    </xf>
    <xf numFmtId="0" fontId="54" fillId="0" borderId="33" xfId="22" applyFont="1" applyFill="1" applyBorder="1" applyAlignment="1" applyProtection="1">
      <alignment horizontal="right" vertical="center" indent="1"/>
      <protection/>
    </xf>
    <xf numFmtId="0" fontId="54" fillId="0" borderId="34" xfId="22" applyFont="1" applyFill="1" applyBorder="1" applyAlignment="1" applyProtection="1">
      <alignment horizontal="right" vertical="center" indent="1"/>
      <protection/>
    </xf>
    <xf numFmtId="0" fontId="54" fillId="0" borderId="19" xfId="22" applyFont="1" applyFill="1" applyBorder="1" applyAlignment="1" applyProtection="1">
      <alignment horizontal="center" vertical="center"/>
      <protection/>
    </xf>
    <xf numFmtId="0" fontId="57" fillId="0" borderId="19" xfId="22" applyFont="1" applyFill="1" applyBorder="1" applyAlignment="1" applyProtection="1">
      <alignment horizontal="left" wrapText="1"/>
      <protection/>
    </xf>
    <xf numFmtId="0" fontId="57" fillId="0" borderId="19" xfId="22" applyFont="1" applyFill="1" applyBorder="1" applyAlignment="1" applyProtection="1">
      <alignment horizontal="center"/>
      <protection/>
    </xf>
    <xf numFmtId="4" fontId="54" fillId="0" borderId="35" xfId="22" applyNumberFormat="1" applyFont="1" applyFill="1" applyBorder="1" applyAlignment="1" applyProtection="1">
      <alignment horizontal="right" vertical="center" indent="1"/>
      <protection/>
    </xf>
    <xf numFmtId="0" fontId="54" fillId="0" borderId="35" xfId="22" applyFont="1" applyFill="1" applyBorder="1" applyAlignment="1" applyProtection="1">
      <alignment horizontal="center" vertical="center"/>
      <protection/>
    </xf>
    <xf numFmtId="0" fontId="57" fillId="0" borderId="35" xfId="22" applyFont="1" applyFill="1" applyBorder="1" applyAlignment="1" applyProtection="1">
      <alignment horizontal="left" wrapText="1"/>
      <protection/>
    </xf>
    <xf numFmtId="0" fontId="57" fillId="0" borderId="35" xfId="22" applyFont="1" applyFill="1" applyBorder="1" applyAlignment="1" applyProtection="1">
      <alignment horizontal="center"/>
      <protection/>
    </xf>
    <xf numFmtId="0" fontId="57" fillId="0" borderId="20" xfId="22" applyFont="1" applyFill="1" applyBorder="1" applyAlignment="1" applyProtection="1">
      <alignment wrapText="1"/>
      <protection/>
    </xf>
    <xf numFmtId="0" fontId="57" fillId="0" borderId="20" xfId="22" applyFont="1" applyFill="1" applyBorder="1" applyAlignment="1" applyProtection="1">
      <alignment horizontal="center"/>
      <protection/>
    </xf>
    <xf numFmtId="0" fontId="57" fillId="0" borderId="20" xfId="22" applyFont="1" applyFill="1" applyBorder="1" applyAlignment="1" applyProtection="1">
      <alignment wrapText="1"/>
      <protection/>
    </xf>
    <xf numFmtId="0" fontId="57" fillId="0" borderId="20" xfId="22" applyFont="1" applyFill="1" applyBorder="1" applyAlignment="1" applyProtection="1">
      <alignment horizontal="left" wrapText="1"/>
      <protection/>
    </xf>
    <xf numFmtId="0" fontId="45" fillId="0" borderId="33" xfId="22" applyFont="1" applyFill="1" applyBorder="1" applyAlignment="1" applyProtection="1">
      <alignment vertical="center" wrapText="1"/>
      <protection/>
    </xf>
    <xf numFmtId="4" fontId="54" fillId="0" borderId="31" xfId="22" applyNumberFormat="1" applyFont="1" applyFill="1" applyBorder="1" applyAlignment="1" applyProtection="1">
      <alignment horizontal="right" vertical="center" indent="1"/>
      <protection/>
    </xf>
    <xf numFmtId="0" fontId="54" fillId="0" borderId="32" xfId="22" applyFont="1" applyFill="1" applyBorder="1" applyProtection="1">
      <alignment/>
      <protection/>
    </xf>
    <xf numFmtId="0" fontId="54" fillId="0" borderId="33" xfId="22" applyFont="1" applyFill="1" applyBorder="1" applyAlignment="1" applyProtection="1">
      <alignment wrapText="1"/>
      <protection/>
    </xf>
    <xf numFmtId="0" fontId="54" fillId="0" borderId="33" xfId="22" applyFont="1" applyFill="1" applyBorder="1" applyProtection="1">
      <alignment/>
      <protection/>
    </xf>
    <xf numFmtId="4" fontId="54" fillId="0" borderId="34" xfId="22" applyNumberFormat="1" applyFont="1" applyFill="1" applyBorder="1" applyAlignment="1" applyProtection="1">
      <alignment horizontal="right" vertical="center" indent="1"/>
      <protection/>
    </xf>
    <xf numFmtId="168" fontId="54" fillId="0" borderId="32" xfId="0" applyNumberFormat="1" applyFont="1" applyFill="1" applyBorder="1" applyAlignment="1" applyProtection="1">
      <alignment vertical="center"/>
      <protection/>
    </xf>
    <xf numFmtId="0" fontId="56" fillId="0" borderId="33" xfId="0" applyFont="1" applyFill="1" applyBorder="1" applyAlignment="1" applyProtection="1">
      <alignment vertical="center" wrapText="1"/>
      <protection/>
    </xf>
    <xf numFmtId="0" fontId="54" fillId="0" borderId="33" xfId="0" applyFont="1" applyFill="1" applyBorder="1" applyAlignment="1" applyProtection="1">
      <alignment vertical="center"/>
      <protection/>
    </xf>
    <xf numFmtId="4" fontId="54" fillId="0" borderId="34" xfId="0" applyNumberFormat="1" applyFont="1" applyFill="1" applyBorder="1" applyAlignment="1" applyProtection="1">
      <alignment horizontal="right" vertical="center" indent="1"/>
      <protection/>
    </xf>
    <xf numFmtId="0" fontId="54" fillId="0" borderId="19" xfId="0" applyFont="1" applyFill="1" applyBorder="1" applyAlignment="1" applyProtection="1">
      <alignment horizontal="center" vertical="center"/>
      <protection/>
    </xf>
    <xf numFmtId="0" fontId="57" fillId="0" borderId="19" xfId="0" applyFont="1" applyFill="1" applyBorder="1" applyAlignment="1" applyProtection="1">
      <alignment horizontal="left" wrapText="1"/>
      <protection/>
    </xf>
    <xf numFmtId="0" fontId="57" fillId="0" borderId="19" xfId="0" applyFont="1" applyFill="1" applyBorder="1" applyAlignment="1" applyProtection="1">
      <alignment horizontal="center"/>
      <protection/>
    </xf>
    <xf numFmtId="0" fontId="57" fillId="0" borderId="20" xfId="0" applyFont="1" applyFill="1" applyBorder="1" applyAlignment="1" applyProtection="1">
      <alignment wrapText="1"/>
      <protection/>
    </xf>
    <xf numFmtId="0" fontId="57" fillId="0" borderId="20" xfId="0" applyFont="1" applyFill="1" applyBorder="1" applyAlignment="1" applyProtection="1">
      <alignment horizontal="center"/>
      <protection/>
    </xf>
    <xf numFmtId="0" fontId="57" fillId="0" borderId="20" xfId="0" applyFont="1" applyFill="1" applyBorder="1" applyAlignment="1" applyProtection="1">
      <alignment wrapText="1"/>
      <protection/>
    </xf>
    <xf numFmtId="0" fontId="54" fillId="0" borderId="20" xfId="0" applyFont="1" applyFill="1" applyBorder="1" applyAlignment="1" applyProtection="1">
      <alignment horizontal="center"/>
      <protection/>
    </xf>
    <xf numFmtId="4" fontId="55" fillId="0" borderId="34" xfId="0" applyNumberFormat="1" applyFont="1" applyFill="1" applyBorder="1" applyAlignment="1" applyProtection="1">
      <alignment horizontal="right" vertical="center" indent="1"/>
      <protection/>
    </xf>
    <xf numFmtId="0" fontId="54" fillId="0" borderId="33" xfId="0" applyFont="1" applyFill="1" applyBorder="1" applyAlignment="1" applyProtection="1">
      <alignment vertical="center" wrapText="1"/>
      <protection/>
    </xf>
    <xf numFmtId="168" fontId="54" fillId="0" borderId="32" xfId="22" applyNumberFormat="1" applyFont="1" applyFill="1" applyBorder="1" applyAlignment="1" applyProtection="1">
      <alignment vertical="center"/>
      <protection/>
    </xf>
    <xf numFmtId="0" fontId="57" fillId="0" borderId="36" xfId="22" applyFont="1" applyFill="1" applyBorder="1" applyAlignment="1" applyProtection="1">
      <alignment wrapText="1"/>
      <protection/>
    </xf>
    <xf numFmtId="0" fontId="57" fillId="0" borderId="36" xfId="22" applyFont="1" applyFill="1" applyBorder="1" applyAlignment="1" applyProtection="1">
      <alignment horizontal="center"/>
      <protection/>
    </xf>
    <xf numFmtId="0" fontId="57" fillId="0" borderId="20" xfId="0" applyFont="1" applyFill="1" applyBorder="1" applyAlignment="1" applyProtection="1">
      <alignment horizontal="left" wrapText="1"/>
      <protection/>
    </xf>
    <xf numFmtId="0" fontId="54" fillId="0" borderId="20" xfId="0" applyFont="1" applyFill="1" applyBorder="1" applyAlignment="1" applyProtection="1">
      <alignment horizontal="center"/>
      <protection/>
    </xf>
    <xf numFmtId="4" fontId="54" fillId="0" borderId="20" xfId="0" applyNumberFormat="1" applyFont="1" applyFill="1" applyBorder="1" applyAlignment="1" applyProtection="1">
      <alignment horizontal="right" vertical="center" indent="1"/>
      <protection/>
    </xf>
    <xf numFmtId="168" fontId="54" fillId="0" borderId="32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wrapText="1"/>
      <protection/>
    </xf>
    <xf numFmtId="169" fontId="54" fillId="0" borderId="19" xfId="24" applyNumberFormat="1" applyFont="1" applyBorder="1" applyAlignment="1" applyProtection="1">
      <alignment vertical="center"/>
      <protection locked="0"/>
    </xf>
    <xf numFmtId="169" fontId="54" fillId="0" borderId="20" xfId="24" applyNumberFormat="1" applyFont="1" applyBorder="1" applyAlignment="1" applyProtection="1">
      <alignment vertical="center"/>
      <protection locked="0"/>
    </xf>
    <xf numFmtId="0" fontId="54" fillId="0" borderId="33" xfId="22" applyFont="1" applyFill="1" applyBorder="1" applyAlignment="1" applyProtection="1">
      <alignment horizontal="right" vertical="center" indent="1"/>
      <protection locked="0"/>
    </xf>
    <xf numFmtId="169" fontId="54" fillId="0" borderId="36" xfId="24" applyNumberFormat="1" applyFont="1" applyBorder="1" applyAlignment="1" applyProtection="1">
      <alignment vertical="center"/>
      <protection locked="0"/>
    </xf>
    <xf numFmtId="1" fontId="54" fillId="0" borderId="20" xfId="24" applyNumberFormat="1" applyFont="1" applyBorder="1" applyAlignment="1" applyProtection="1">
      <alignment vertical="center"/>
      <protection locked="0"/>
    </xf>
    <xf numFmtId="0" fontId="27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/>
    </xf>
    <xf numFmtId="0" fontId="0" fillId="0" borderId="0" xfId="0" applyProtection="1">
      <protection/>
    </xf>
    <xf numFmtId="0" fontId="0" fillId="0" borderId="0" xfId="0" applyFont="1" applyAlignment="1" applyProtection="1">
      <alignment vertical="center"/>
      <protection/>
    </xf>
    <xf numFmtId="170" fontId="73" fillId="0" borderId="0" xfId="0" applyNumberFormat="1" applyFont="1" applyFill="1" applyBorder="1" applyAlignment="1" applyProtection="1">
      <alignment horizontal="right" vertical="top"/>
      <protection/>
    </xf>
    <xf numFmtId="49" fontId="73" fillId="0" borderId="0" xfId="0" applyNumberFormat="1" applyFont="1" applyFill="1" applyBorder="1" applyAlignment="1" applyProtection="1">
      <alignment horizontal="left" vertical="top" wrapText="1"/>
      <protection/>
    </xf>
    <xf numFmtId="0" fontId="73" fillId="0" borderId="0" xfId="0" applyFont="1" applyFill="1" applyBorder="1" applyAlignment="1" applyProtection="1">
      <alignment horizontal="left" vertical="top" wrapText="1"/>
      <protection/>
    </xf>
    <xf numFmtId="49" fontId="73" fillId="0" borderId="0" xfId="0" applyNumberFormat="1" applyFont="1" applyFill="1" applyBorder="1" applyAlignment="1" applyProtection="1">
      <alignment horizontal="center" vertical="top"/>
      <protection/>
    </xf>
    <xf numFmtId="171" fontId="23" fillId="0" borderId="0" xfId="0" applyNumberFormat="1" applyFont="1" applyFill="1" applyBorder="1" applyAlignment="1" applyProtection="1">
      <alignment horizontal="right" vertical="center"/>
      <protection/>
    </xf>
    <xf numFmtId="172" fontId="73" fillId="0" borderId="0" xfId="0" applyNumberFormat="1" applyFont="1" applyFill="1" applyBorder="1" applyAlignment="1" applyProtection="1">
      <alignment horizontal="right" vertical="center"/>
      <protection locked="0"/>
    </xf>
    <xf numFmtId="172" fontId="73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Protection="1">
      <protection/>
    </xf>
    <xf numFmtId="0" fontId="0" fillId="0" borderId="0" xfId="0"/>
    <xf numFmtId="0" fontId="0" fillId="0" borderId="0" xfId="0"/>
    <xf numFmtId="0" fontId="0" fillId="0" borderId="0" xfId="0" applyProtection="1">
      <protection/>
    </xf>
    <xf numFmtId="0" fontId="26" fillId="0" borderId="0" xfId="0" applyFont="1"/>
    <xf numFmtId="0" fontId="49" fillId="0" borderId="0" xfId="0" applyFont="1" applyAlignment="1">
      <alignment horizontal="center" vertical="center" wrapText="1"/>
    </xf>
    <xf numFmtId="0" fontId="26" fillId="0" borderId="0" xfId="0" applyFont="1" applyAlignment="1">
      <alignment vertical="center"/>
    </xf>
    <xf numFmtId="0" fontId="82" fillId="0" borderId="0" xfId="0" applyFont="1" applyAlignment="1">
      <alignment vertical="center"/>
    </xf>
    <xf numFmtId="0" fontId="26" fillId="0" borderId="0" xfId="0" applyFont="1" applyFill="1"/>
    <xf numFmtId="0" fontId="7" fillId="0" borderId="0" xfId="0" applyFont="1" applyProtection="1">
      <protection/>
    </xf>
    <xf numFmtId="4" fontId="7" fillId="0" borderId="0" xfId="0" applyNumberFormat="1" applyFont="1" applyProtection="1">
      <protection/>
    </xf>
    <xf numFmtId="0" fontId="7" fillId="0" borderId="0" xfId="0" applyFont="1" applyFill="1" applyProtection="1">
      <protection/>
    </xf>
    <xf numFmtId="0" fontId="57" fillId="0" borderId="20" xfId="0" applyFont="1" applyBorder="1"/>
    <xf numFmtId="4" fontId="10" fillId="0" borderId="3" xfId="0" applyNumberFormat="1" applyFont="1" applyBorder="1" applyAlignment="1" applyProtection="1">
      <alignment/>
      <protection/>
    </xf>
    <xf numFmtId="0" fontId="31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left" vertical="center"/>
    </xf>
    <xf numFmtId="0" fontId="27" fillId="0" borderId="0" xfId="0" applyFont="1" applyAlignment="1">
      <alignment horizontal="left" vertical="center" wrapText="1"/>
    </xf>
    <xf numFmtId="3" fontId="28" fillId="0" borderId="0" xfId="0" applyNumberFormat="1" applyFont="1" applyAlignment="1">
      <alignment vertical="center"/>
    </xf>
    <xf numFmtId="3" fontId="9" fillId="0" borderId="0" xfId="0" applyNumberFormat="1" applyFont="1" applyAlignment="1">
      <alignment vertical="center"/>
    </xf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4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23" fillId="0" borderId="6" xfId="0" applyFont="1" applyFill="1" applyBorder="1" applyAlignment="1">
      <alignment horizontal="center" vertical="center"/>
    </xf>
    <xf numFmtId="3" fontId="28" fillId="0" borderId="0" xfId="0" applyNumberFormat="1" applyFont="1" applyAlignment="1">
      <alignment horizontal="right" vertical="center"/>
    </xf>
    <xf numFmtId="4" fontId="6" fillId="3" borderId="7" xfId="0" applyNumberFormat="1" applyFont="1" applyFill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0" fillId="3" borderId="37" xfId="0" applyFont="1" applyFill="1" applyBorder="1" applyAlignment="1">
      <alignment vertical="center"/>
    </xf>
    <xf numFmtId="0" fontId="6" fillId="3" borderId="7" xfId="0" applyFont="1" applyFill="1" applyBorder="1" applyAlignment="1">
      <alignment horizontal="left" vertical="center"/>
    </xf>
    <xf numFmtId="164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/>
    </xf>
    <xf numFmtId="4" fontId="19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 wrapText="1"/>
    </xf>
    <xf numFmtId="4" fontId="18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16" fillId="21" borderId="0" xfId="0" applyFont="1" applyFill="1" applyAlignment="1">
      <alignment horizontal="center" vertical="center"/>
    </xf>
    <xf numFmtId="0" fontId="0" fillId="0" borderId="0" xfId="0"/>
    <xf numFmtId="0" fontId="23" fillId="0" borderId="7" xfId="0" applyFont="1" applyFill="1" applyBorder="1" applyAlignment="1">
      <alignment horizontal="right" vertical="center"/>
    </xf>
    <xf numFmtId="165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23" fillId="0" borderId="37" xfId="0" applyFont="1" applyFill="1" applyBorder="1" applyAlignment="1">
      <alignment horizontal="left" vertical="center"/>
    </xf>
    <xf numFmtId="0" fontId="21" fillId="0" borderId="13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4" fontId="25" fillId="0" borderId="0" xfId="0" applyNumberFormat="1" applyFont="1" applyAlignment="1">
      <alignment vertical="center"/>
    </xf>
    <xf numFmtId="3" fontId="25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vertical="center"/>
      <protection/>
    </xf>
    <xf numFmtId="0" fontId="16" fillId="21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49" fontId="62" fillId="0" borderId="0" xfId="0" applyNumberFormat="1" applyFont="1" applyAlignment="1" applyProtection="1">
      <alignment horizontal="left" wrapText="1"/>
      <protection/>
    </xf>
    <xf numFmtId="49" fontId="69" fillId="0" borderId="0" xfId="0" applyNumberFormat="1" applyFont="1" applyAlignment="1" applyProtection="1">
      <alignment horizontal="left" wrapText="1"/>
      <protection/>
    </xf>
    <xf numFmtId="49" fontId="62" fillId="0" borderId="0" xfId="0" applyNumberFormat="1" applyFont="1" applyFill="1" applyAlignment="1" applyProtection="1">
      <alignment horizontal="left" wrapText="1"/>
      <protection/>
    </xf>
    <xf numFmtId="49" fontId="69" fillId="0" borderId="0" xfId="0" applyNumberFormat="1" applyFont="1" applyFill="1" applyAlignment="1" applyProtection="1">
      <alignment horizontal="left" wrapText="1"/>
      <protection/>
    </xf>
    <xf numFmtId="0" fontId="79" fillId="0" borderId="0" xfId="0" applyFont="1" applyAlignment="1" applyProtection="1">
      <alignment horizontal="left" vertical="center" wrapText="1"/>
      <protection/>
    </xf>
    <xf numFmtId="0" fontId="60" fillId="0" borderId="0" xfId="0" applyFont="1" applyAlignment="1" applyProtection="1">
      <alignment vertical="center"/>
      <protection/>
    </xf>
    <xf numFmtId="0" fontId="47" fillId="0" borderId="0" xfId="0" applyFont="1" applyFill="1" applyBorder="1" applyAlignment="1">
      <alignment vertical="center" wrapText="1"/>
    </xf>
    <xf numFmtId="0" fontId="49" fillId="0" borderId="40" xfId="0" applyFont="1" applyFill="1" applyBorder="1" applyAlignment="1">
      <alignment vertical="center"/>
    </xf>
    <xf numFmtId="0" fontId="49" fillId="0" borderId="0" xfId="0" applyFont="1" applyFill="1" applyBorder="1" applyAlignment="1">
      <alignment vertical="center"/>
    </xf>
    <xf numFmtId="0" fontId="47" fillId="0" borderId="0" xfId="0" applyFont="1" applyFill="1" applyBorder="1" applyAlignment="1" applyProtection="1">
      <alignment vertical="center" wrapText="1"/>
      <protection/>
    </xf>
    <xf numFmtId="0" fontId="0" fillId="0" borderId="40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7" fillId="0" borderId="40" xfId="0" applyFont="1" applyFill="1" applyBorder="1" applyAlignment="1">
      <alignment vertical="center" wrapText="1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eutrální" xfId="21"/>
    <cellStyle name="Normální 2" xfId="22"/>
    <cellStyle name="Neutrální 2" xfId="23"/>
    <cellStyle name="Normální 3" xfId="24"/>
    <cellStyle name="Normální 4" xfId="25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78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78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81</xdr:row>
      <xdr:rowOff>47625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106</xdr:row>
      <xdr:rowOff>47625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81</xdr:row>
      <xdr:rowOff>200025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81</xdr:row>
      <xdr:rowOff>200025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kupiny\VRI\P3\INVESTICE\St&#345;edisko%20Okrouhl&#237;k,%20humanizace\PD\EPS,%20EZS,%20DTS\DEF\Kopie%20-%20V&#253;kaz%20v&#253;m&#283;r%20kabel&#225;&#382;-EP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kupiny\VRI\P3\INVESTICE\St&#345;edisko%20Okrouhl&#237;k,%20humanizace\PD\EPS,%20EZS,%20DTS\DEF\Kopie%20-%20V&#253;kaz%20v&#253;m&#283;r%20-kabel&#225;&#382;-EZ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</sheetNames>
    <sheetDataSet>
      <sheetData sheetId="0">
        <row r="21">
          <cell r="D21">
            <v>30</v>
          </cell>
        </row>
        <row r="25">
          <cell r="D25">
            <v>50</v>
          </cell>
        </row>
        <row r="30">
          <cell r="D30">
            <v>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</sheetNames>
    <sheetDataSet>
      <sheetData sheetId="0">
        <row r="18">
          <cell r="D18">
            <v>430</v>
          </cell>
        </row>
        <row r="20">
          <cell r="D20">
            <v>260</v>
          </cell>
        </row>
        <row r="21">
          <cell r="D21">
            <v>300</v>
          </cell>
        </row>
        <row r="22">
          <cell r="D22">
            <v>52</v>
          </cell>
        </row>
        <row r="25">
          <cell r="D25">
            <v>156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07"/>
  <sheetViews>
    <sheetView showGridLines="0" workbookViewId="0" topLeftCell="A78">
      <selection activeCell="A77" sqref="A1:XFD77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 hidden="1">
      <c r="A1" s="9" t="s">
        <v>0</v>
      </c>
      <c r="AZ1" s="9" t="s">
        <v>1</v>
      </c>
      <c r="BA1" s="9" t="s">
        <v>2</v>
      </c>
      <c r="BB1" s="9" t="s">
        <v>1</v>
      </c>
      <c r="BT1" s="9" t="s">
        <v>3</v>
      </c>
      <c r="BU1" s="9" t="s">
        <v>3</v>
      </c>
      <c r="BV1" s="9" t="s">
        <v>4</v>
      </c>
    </row>
    <row r="2" spans="44:72" s="1" customFormat="1" ht="36.95" customHeight="1" hidden="1">
      <c r="AR2" s="815" t="s">
        <v>5</v>
      </c>
      <c r="AS2" s="816"/>
      <c r="AT2" s="816"/>
      <c r="AU2" s="816"/>
      <c r="AV2" s="816"/>
      <c r="AW2" s="816"/>
      <c r="AX2" s="816"/>
      <c r="AY2" s="816"/>
      <c r="AZ2" s="816"/>
      <c r="BA2" s="816"/>
      <c r="BB2" s="816"/>
      <c r="BC2" s="816"/>
      <c r="BD2" s="816"/>
      <c r="BE2" s="816"/>
      <c r="BS2" s="10" t="s">
        <v>6</v>
      </c>
      <c r="BT2" s="10" t="s">
        <v>7</v>
      </c>
    </row>
    <row r="3" spans="2:72" s="1" customFormat="1" ht="6.95" customHeight="1" hidden="1"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3"/>
      <c r="BS3" s="10" t="s">
        <v>6</v>
      </c>
      <c r="BT3" s="10" t="s">
        <v>8</v>
      </c>
    </row>
    <row r="4" spans="2:71" s="1" customFormat="1" ht="24.95" customHeight="1" hidden="1">
      <c r="B4" s="13"/>
      <c r="D4" s="14" t="s">
        <v>9</v>
      </c>
      <c r="AR4" s="13"/>
      <c r="AS4" s="15" t="s">
        <v>10</v>
      </c>
      <c r="BS4" s="10" t="s">
        <v>11</v>
      </c>
    </row>
    <row r="5" spans="2:71" s="1" customFormat="1" ht="12" customHeight="1" hidden="1">
      <c r="B5" s="13"/>
      <c r="D5" s="16" t="s">
        <v>12</v>
      </c>
      <c r="K5" s="828" t="s">
        <v>13</v>
      </c>
      <c r="L5" s="816"/>
      <c r="M5" s="816"/>
      <c r="N5" s="816"/>
      <c r="O5" s="816"/>
      <c r="P5" s="816"/>
      <c r="Q5" s="816"/>
      <c r="R5" s="816"/>
      <c r="S5" s="816"/>
      <c r="T5" s="816"/>
      <c r="U5" s="816"/>
      <c r="V5" s="816"/>
      <c r="W5" s="816"/>
      <c r="X5" s="816"/>
      <c r="Y5" s="816"/>
      <c r="Z5" s="816"/>
      <c r="AA5" s="816"/>
      <c r="AB5" s="816"/>
      <c r="AC5" s="816"/>
      <c r="AD5" s="816"/>
      <c r="AE5" s="816"/>
      <c r="AF5" s="816"/>
      <c r="AG5" s="816"/>
      <c r="AH5" s="816"/>
      <c r="AI5" s="816"/>
      <c r="AJ5" s="816"/>
      <c r="AK5" s="816"/>
      <c r="AL5" s="816"/>
      <c r="AM5" s="816"/>
      <c r="AN5" s="816"/>
      <c r="AO5" s="816"/>
      <c r="AR5" s="13"/>
      <c r="BS5" s="10" t="s">
        <v>6</v>
      </c>
    </row>
    <row r="6" spans="2:71" s="1" customFormat="1" ht="36.95" customHeight="1" hidden="1">
      <c r="B6" s="13"/>
      <c r="D6" s="18" t="s">
        <v>14</v>
      </c>
      <c r="K6" s="829" t="s">
        <v>15</v>
      </c>
      <c r="L6" s="816"/>
      <c r="M6" s="816"/>
      <c r="N6" s="816"/>
      <c r="O6" s="816"/>
      <c r="P6" s="816"/>
      <c r="Q6" s="816"/>
      <c r="R6" s="816"/>
      <c r="S6" s="816"/>
      <c r="T6" s="816"/>
      <c r="U6" s="816"/>
      <c r="V6" s="816"/>
      <c r="W6" s="816"/>
      <c r="X6" s="816"/>
      <c r="Y6" s="816"/>
      <c r="Z6" s="816"/>
      <c r="AA6" s="816"/>
      <c r="AB6" s="816"/>
      <c r="AC6" s="816"/>
      <c r="AD6" s="816"/>
      <c r="AE6" s="816"/>
      <c r="AF6" s="816"/>
      <c r="AG6" s="816"/>
      <c r="AH6" s="816"/>
      <c r="AI6" s="816"/>
      <c r="AJ6" s="816"/>
      <c r="AK6" s="816"/>
      <c r="AL6" s="816"/>
      <c r="AM6" s="816"/>
      <c r="AN6" s="816"/>
      <c r="AO6" s="816"/>
      <c r="AR6" s="13"/>
      <c r="BS6" s="10" t="s">
        <v>6</v>
      </c>
    </row>
    <row r="7" spans="2:71" s="1" customFormat="1" ht="12" customHeight="1" hidden="1">
      <c r="B7" s="13"/>
      <c r="D7" s="19" t="s">
        <v>16</v>
      </c>
      <c r="K7" s="17" t="s">
        <v>1</v>
      </c>
      <c r="AK7" s="19" t="s">
        <v>17</v>
      </c>
      <c r="AN7" s="17" t="s">
        <v>1</v>
      </c>
      <c r="AR7" s="13"/>
      <c r="BS7" s="10" t="s">
        <v>6</v>
      </c>
    </row>
    <row r="8" spans="2:71" s="1" customFormat="1" ht="12" customHeight="1" hidden="1">
      <c r="B8" s="13"/>
      <c r="D8" s="19" t="s">
        <v>18</v>
      </c>
      <c r="K8" s="17" t="s">
        <v>19</v>
      </c>
      <c r="AK8" s="19" t="s">
        <v>20</v>
      </c>
      <c r="AN8" s="17" t="s">
        <v>21</v>
      </c>
      <c r="AR8" s="13"/>
      <c r="BS8" s="10" t="s">
        <v>6</v>
      </c>
    </row>
    <row r="9" spans="2:71" s="1" customFormat="1" ht="14.45" customHeight="1" hidden="1">
      <c r="B9" s="13"/>
      <c r="AR9" s="13"/>
      <c r="BS9" s="10" t="s">
        <v>6</v>
      </c>
    </row>
    <row r="10" spans="2:71" s="1" customFormat="1" ht="12" customHeight="1" hidden="1">
      <c r="B10" s="13"/>
      <c r="D10" s="19" t="s">
        <v>22</v>
      </c>
      <c r="AK10" s="19" t="s">
        <v>23</v>
      </c>
      <c r="AN10" s="17" t="s">
        <v>24</v>
      </c>
      <c r="AR10" s="13"/>
      <c r="BS10" s="10" t="s">
        <v>6</v>
      </c>
    </row>
    <row r="11" spans="2:71" s="1" customFormat="1" ht="18.4" customHeight="1" hidden="1">
      <c r="B11" s="13"/>
      <c r="E11" s="17" t="s">
        <v>25</v>
      </c>
      <c r="AK11" s="19" t="s">
        <v>26</v>
      </c>
      <c r="AN11" s="17" t="s">
        <v>27</v>
      </c>
      <c r="AR11" s="13"/>
      <c r="BS11" s="10" t="s">
        <v>6</v>
      </c>
    </row>
    <row r="12" spans="2:71" s="1" customFormat="1" ht="6.95" customHeight="1" hidden="1">
      <c r="B12" s="13"/>
      <c r="AR12" s="13"/>
      <c r="BS12" s="10" t="s">
        <v>6</v>
      </c>
    </row>
    <row r="13" spans="2:71" s="1" customFormat="1" ht="12" customHeight="1" hidden="1">
      <c r="B13" s="13"/>
      <c r="D13" s="19" t="s">
        <v>28</v>
      </c>
      <c r="AK13" s="19" t="s">
        <v>23</v>
      </c>
      <c r="AN13" s="17" t="s">
        <v>1</v>
      </c>
      <c r="AR13" s="13"/>
      <c r="BS13" s="10" t="s">
        <v>6</v>
      </c>
    </row>
    <row r="14" spans="2:71" ht="12.75" hidden="1">
      <c r="B14" s="13"/>
      <c r="E14" s="17" t="s">
        <v>29</v>
      </c>
      <c r="AK14" s="19" t="s">
        <v>26</v>
      </c>
      <c r="AN14" s="17" t="s">
        <v>1</v>
      </c>
      <c r="AR14" s="13"/>
      <c r="BS14" s="10" t="s">
        <v>6</v>
      </c>
    </row>
    <row r="15" spans="2:71" s="1" customFormat="1" ht="6.95" customHeight="1" hidden="1">
      <c r="B15" s="13"/>
      <c r="AR15" s="13"/>
      <c r="BS15" s="10" t="s">
        <v>3</v>
      </c>
    </row>
    <row r="16" spans="2:71" s="1" customFormat="1" ht="12" customHeight="1" hidden="1">
      <c r="B16" s="13"/>
      <c r="D16" s="19" t="s">
        <v>30</v>
      </c>
      <c r="AK16" s="19" t="s">
        <v>23</v>
      </c>
      <c r="AN16" s="17" t="s">
        <v>31</v>
      </c>
      <c r="AR16" s="13"/>
      <c r="BS16" s="10" t="s">
        <v>3</v>
      </c>
    </row>
    <row r="17" spans="2:71" s="1" customFormat="1" ht="18.4" customHeight="1" hidden="1">
      <c r="B17" s="13"/>
      <c r="E17" s="17" t="s">
        <v>32</v>
      </c>
      <c r="AK17" s="19" t="s">
        <v>26</v>
      </c>
      <c r="AN17" s="17" t="s">
        <v>33</v>
      </c>
      <c r="AR17" s="13"/>
      <c r="BS17" s="10" t="s">
        <v>34</v>
      </c>
    </row>
    <row r="18" spans="2:71" s="1" customFormat="1" ht="6.95" customHeight="1" hidden="1">
      <c r="B18" s="13"/>
      <c r="AR18" s="13"/>
      <c r="BS18" s="10" t="s">
        <v>6</v>
      </c>
    </row>
    <row r="19" spans="2:71" s="1" customFormat="1" ht="12" customHeight="1" hidden="1">
      <c r="B19" s="13"/>
      <c r="D19" s="19" t="s">
        <v>35</v>
      </c>
      <c r="AK19" s="19" t="s">
        <v>23</v>
      </c>
      <c r="AN19" s="17" t="s">
        <v>1</v>
      </c>
      <c r="AR19" s="13"/>
      <c r="BS19" s="10" t="s">
        <v>6</v>
      </c>
    </row>
    <row r="20" spans="2:71" s="1" customFormat="1" ht="18.4" customHeight="1" hidden="1">
      <c r="B20" s="13"/>
      <c r="E20" s="17" t="s">
        <v>29</v>
      </c>
      <c r="AK20" s="19" t="s">
        <v>26</v>
      </c>
      <c r="AN20" s="17" t="s">
        <v>1</v>
      </c>
      <c r="AR20" s="13"/>
      <c r="BS20" s="10" t="s">
        <v>34</v>
      </c>
    </row>
    <row r="21" spans="2:44" s="1" customFormat="1" ht="6.95" customHeight="1" hidden="1">
      <c r="B21" s="13"/>
      <c r="AR21" s="13"/>
    </row>
    <row r="22" spans="2:44" s="1" customFormat="1" ht="12" customHeight="1" hidden="1">
      <c r="B22" s="13"/>
      <c r="D22" s="19" t="s">
        <v>36</v>
      </c>
      <c r="AR22" s="13"/>
    </row>
    <row r="23" spans="2:44" s="1" customFormat="1" ht="16.5" customHeight="1" hidden="1">
      <c r="B23" s="13"/>
      <c r="E23" s="811" t="s">
        <v>1</v>
      </c>
      <c r="F23" s="811"/>
      <c r="G23" s="811"/>
      <c r="H23" s="811"/>
      <c r="I23" s="811"/>
      <c r="J23" s="811"/>
      <c r="K23" s="811"/>
      <c r="L23" s="811"/>
      <c r="M23" s="811"/>
      <c r="N23" s="811"/>
      <c r="O23" s="811"/>
      <c r="P23" s="811"/>
      <c r="Q23" s="811"/>
      <c r="R23" s="811"/>
      <c r="S23" s="811"/>
      <c r="T23" s="811"/>
      <c r="U23" s="811"/>
      <c r="V23" s="811"/>
      <c r="W23" s="811"/>
      <c r="X23" s="811"/>
      <c r="Y23" s="811"/>
      <c r="Z23" s="811"/>
      <c r="AA23" s="811"/>
      <c r="AB23" s="811"/>
      <c r="AC23" s="811"/>
      <c r="AD23" s="811"/>
      <c r="AE23" s="811"/>
      <c r="AF23" s="811"/>
      <c r="AG23" s="811"/>
      <c r="AH23" s="811"/>
      <c r="AI23" s="811"/>
      <c r="AJ23" s="811"/>
      <c r="AK23" s="811"/>
      <c r="AL23" s="811"/>
      <c r="AM23" s="811"/>
      <c r="AN23" s="811"/>
      <c r="AR23" s="13"/>
    </row>
    <row r="24" spans="2:44" s="1" customFormat="1" ht="6.95" customHeight="1" hidden="1">
      <c r="B24" s="13"/>
      <c r="AR24" s="13"/>
    </row>
    <row r="25" spans="2:44" s="1" customFormat="1" ht="6.95" customHeight="1" hidden="1">
      <c r="B25" s="13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R25" s="13"/>
    </row>
    <row r="26" spans="1:57" s="2" customFormat="1" ht="25.9" customHeight="1" hidden="1">
      <c r="A26" s="21"/>
      <c r="B26" s="22"/>
      <c r="C26" s="21"/>
      <c r="D26" s="23" t="s">
        <v>37</v>
      </c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812">
        <f>ROUND(AG94,2)</f>
        <v>0</v>
      </c>
      <c r="AL26" s="813"/>
      <c r="AM26" s="813"/>
      <c r="AN26" s="813"/>
      <c r="AO26" s="813"/>
      <c r="AP26" s="21"/>
      <c r="AQ26" s="21"/>
      <c r="AR26" s="22"/>
      <c r="BE26" s="21"/>
    </row>
    <row r="27" spans="1:57" s="2" customFormat="1" ht="6.95" customHeight="1" hidden="1">
      <c r="A27" s="21"/>
      <c r="B27" s="22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2"/>
      <c r="BE27" s="21"/>
    </row>
    <row r="28" spans="1:57" s="2" customFormat="1" ht="12.75" hidden="1">
      <c r="A28" s="21"/>
      <c r="B28" s="22"/>
      <c r="C28" s="21"/>
      <c r="D28" s="21"/>
      <c r="E28" s="21"/>
      <c r="F28" s="21"/>
      <c r="G28" s="21"/>
      <c r="H28" s="21"/>
      <c r="I28" s="21"/>
      <c r="J28" s="21"/>
      <c r="K28" s="21"/>
      <c r="L28" s="814" t="s">
        <v>38</v>
      </c>
      <c r="M28" s="814"/>
      <c r="N28" s="814"/>
      <c r="O28" s="814"/>
      <c r="P28" s="814"/>
      <c r="Q28" s="21"/>
      <c r="R28" s="21"/>
      <c r="S28" s="21"/>
      <c r="T28" s="21"/>
      <c r="U28" s="21"/>
      <c r="V28" s="21"/>
      <c r="W28" s="814" t="s">
        <v>39</v>
      </c>
      <c r="X28" s="814"/>
      <c r="Y28" s="814"/>
      <c r="Z28" s="814"/>
      <c r="AA28" s="814"/>
      <c r="AB28" s="814"/>
      <c r="AC28" s="814"/>
      <c r="AD28" s="814"/>
      <c r="AE28" s="814"/>
      <c r="AF28" s="21"/>
      <c r="AG28" s="21"/>
      <c r="AH28" s="21"/>
      <c r="AI28" s="21"/>
      <c r="AJ28" s="21"/>
      <c r="AK28" s="814" t="s">
        <v>40</v>
      </c>
      <c r="AL28" s="814"/>
      <c r="AM28" s="814"/>
      <c r="AN28" s="814"/>
      <c r="AO28" s="814"/>
      <c r="AP28" s="21"/>
      <c r="AQ28" s="21"/>
      <c r="AR28" s="22"/>
      <c r="BE28" s="21"/>
    </row>
    <row r="29" spans="2:44" s="3" customFormat="1" ht="14.45" customHeight="1" hidden="1">
      <c r="B29" s="25"/>
      <c r="D29" s="19" t="s">
        <v>41</v>
      </c>
      <c r="F29" s="19" t="s">
        <v>42</v>
      </c>
      <c r="L29" s="808">
        <v>0.21</v>
      </c>
      <c r="M29" s="809"/>
      <c r="N29" s="809"/>
      <c r="O29" s="809"/>
      <c r="P29" s="809"/>
      <c r="W29" s="810" t="e">
        <f>ROUND(AZ94,2)</f>
        <v>#REF!</v>
      </c>
      <c r="X29" s="809"/>
      <c r="Y29" s="809"/>
      <c r="Z29" s="809"/>
      <c r="AA29" s="809"/>
      <c r="AB29" s="809"/>
      <c r="AC29" s="809"/>
      <c r="AD29" s="809"/>
      <c r="AE29" s="809"/>
      <c r="AK29" s="810" t="e">
        <f>ROUND(AV94,2)</f>
        <v>#REF!</v>
      </c>
      <c r="AL29" s="809"/>
      <c r="AM29" s="809"/>
      <c r="AN29" s="809"/>
      <c r="AO29" s="809"/>
      <c r="AR29" s="25"/>
    </row>
    <row r="30" spans="2:44" s="3" customFormat="1" ht="14.45" customHeight="1" hidden="1">
      <c r="B30" s="25"/>
      <c r="F30" s="19" t="s">
        <v>43</v>
      </c>
      <c r="L30" s="808">
        <v>0.15</v>
      </c>
      <c r="M30" s="809"/>
      <c r="N30" s="809"/>
      <c r="O30" s="809"/>
      <c r="P30" s="809"/>
      <c r="W30" s="810" t="e">
        <f>ROUND(BA94,2)</f>
        <v>#REF!</v>
      </c>
      <c r="X30" s="809"/>
      <c r="Y30" s="809"/>
      <c r="Z30" s="809"/>
      <c r="AA30" s="809"/>
      <c r="AB30" s="809"/>
      <c r="AC30" s="809"/>
      <c r="AD30" s="809"/>
      <c r="AE30" s="809"/>
      <c r="AK30" s="810" t="e">
        <f>ROUND(AW94,2)</f>
        <v>#REF!</v>
      </c>
      <c r="AL30" s="809"/>
      <c r="AM30" s="809"/>
      <c r="AN30" s="809"/>
      <c r="AO30" s="809"/>
      <c r="AR30" s="25"/>
    </row>
    <row r="31" spans="2:44" s="3" customFormat="1" ht="14.45" customHeight="1" hidden="1">
      <c r="B31" s="25"/>
      <c r="F31" s="19" t="s">
        <v>44</v>
      </c>
      <c r="L31" s="808">
        <v>0.21</v>
      </c>
      <c r="M31" s="809"/>
      <c r="N31" s="809"/>
      <c r="O31" s="809"/>
      <c r="P31" s="809"/>
      <c r="W31" s="810" t="e">
        <f>ROUND(BB94,2)</f>
        <v>#REF!</v>
      </c>
      <c r="X31" s="809"/>
      <c r="Y31" s="809"/>
      <c r="Z31" s="809"/>
      <c r="AA31" s="809"/>
      <c r="AB31" s="809"/>
      <c r="AC31" s="809"/>
      <c r="AD31" s="809"/>
      <c r="AE31" s="809"/>
      <c r="AK31" s="810">
        <v>0</v>
      </c>
      <c r="AL31" s="809"/>
      <c r="AM31" s="809"/>
      <c r="AN31" s="809"/>
      <c r="AO31" s="809"/>
      <c r="AR31" s="25"/>
    </row>
    <row r="32" spans="2:44" s="3" customFormat="1" ht="14.45" customHeight="1" hidden="1">
      <c r="B32" s="25"/>
      <c r="F32" s="19" t="s">
        <v>45</v>
      </c>
      <c r="L32" s="808">
        <v>0.15</v>
      </c>
      <c r="M32" s="809"/>
      <c r="N32" s="809"/>
      <c r="O32" s="809"/>
      <c r="P32" s="809"/>
      <c r="W32" s="810" t="e">
        <f>ROUND(BC94,2)</f>
        <v>#REF!</v>
      </c>
      <c r="X32" s="809"/>
      <c r="Y32" s="809"/>
      <c r="Z32" s="809"/>
      <c r="AA32" s="809"/>
      <c r="AB32" s="809"/>
      <c r="AC32" s="809"/>
      <c r="AD32" s="809"/>
      <c r="AE32" s="809"/>
      <c r="AK32" s="810">
        <v>0</v>
      </c>
      <c r="AL32" s="809"/>
      <c r="AM32" s="809"/>
      <c r="AN32" s="809"/>
      <c r="AO32" s="809"/>
      <c r="AR32" s="25"/>
    </row>
    <row r="33" spans="2:44" s="3" customFormat="1" ht="14.45" customHeight="1" hidden="1">
      <c r="B33" s="25"/>
      <c r="F33" s="19" t="s">
        <v>46</v>
      </c>
      <c r="L33" s="808">
        <v>0</v>
      </c>
      <c r="M33" s="809"/>
      <c r="N33" s="809"/>
      <c r="O33" s="809"/>
      <c r="P33" s="809"/>
      <c r="W33" s="810" t="e">
        <f>ROUND(BD94,2)</f>
        <v>#REF!</v>
      </c>
      <c r="X33" s="809"/>
      <c r="Y33" s="809"/>
      <c r="Z33" s="809"/>
      <c r="AA33" s="809"/>
      <c r="AB33" s="809"/>
      <c r="AC33" s="809"/>
      <c r="AD33" s="809"/>
      <c r="AE33" s="809"/>
      <c r="AK33" s="810">
        <v>0</v>
      </c>
      <c r="AL33" s="809"/>
      <c r="AM33" s="809"/>
      <c r="AN33" s="809"/>
      <c r="AO33" s="809"/>
      <c r="AR33" s="25"/>
    </row>
    <row r="34" spans="1:57" s="2" customFormat="1" ht="6.95" customHeight="1" hidden="1">
      <c r="A34" s="21"/>
      <c r="B34" s="22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2"/>
      <c r="BE34" s="21"/>
    </row>
    <row r="35" spans="1:57" s="2" customFormat="1" ht="25.9" customHeight="1" hidden="1">
      <c r="A35" s="21"/>
      <c r="B35" s="22"/>
      <c r="C35" s="26"/>
      <c r="D35" s="27" t="s">
        <v>47</v>
      </c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9" t="s">
        <v>48</v>
      </c>
      <c r="U35" s="28"/>
      <c r="V35" s="28"/>
      <c r="W35" s="28"/>
      <c r="X35" s="807" t="s">
        <v>49</v>
      </c>
      <c r="Y35" s="805"/>
      <c r="Z35" s="805"/>
      <c r="AA35" s="805"/>
      <c r="AB35" s="805"/>
      <c r="AC35" s="28"/>
      <c r="AD35" s="28"/>
      <c r="AE35" s="28"/>
      <c r="AF35" s="28"/>
      <c r="AG35" s="28"/>
      <c r="AH35" s="28"/>
      <c r="AI35" s="28"/>
      <c r="AJ35" s="28"/>
      <c r="AK35" s="804" t="e">
        <f>SUM(AK26:AK33)</f>
        <v>#REF!</v>
      </c>
      <c r="AL35" s="805"/>
      <c r="AM35" s="805"/>
      <c r="AN35" s="805"/>
      <c r="AO35" s="806"/>
      <c r="AP35" s="26"/>
      <c r="AQ35" s="26"/>
      <c r="AR35" s="22"/>
      <c r="BE35" s="21"/>
    </row>
    <row r="36" spans="1:57" s="2" customFormat="1" ht="6.95" customHeight="1" hidden="1">
      <c r="A36" s="21"/>
      <c r="B36" s="22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2"/>
      <c r="BE36" s="21"/>
    </row>
    <row r="37" spans="1:57" s="2" customFormat="1" ht="14.45" customHeight="1" hidden="1">
      <c r="A37" s="21"/>
      <c r="B37" s="22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2"/>
      <c r="BE37" s="21"/>
    </row>
    <row r="38" spans="2:44" s="1" customFormat="1" ht="14.45" customHeight="1" hidden="1">
      <c r="B38" s="13"/>
      <c r="AR38" s="13"/>
    </row>
    <row r="39" spans="2:44" s="1" customFormat="1" ht="14.45" customHeight="1" hidden="1">
      <c r="B39" s="13"/>
      <c r="AR39" s="13"/>
    </row>
    <row r="40" spans="2:44" s="1" customFormat="1" ht="14.45" customHeight="1" hidden="1">
      <c r="B40" s="13"/>
      <c r="AR40" s="13"/>
    </row>
    <row r="41" spans="2:44" s="1" customFormat="1" ht="14.45" customHeight="1" hidden="1">
      <c r="B41" s="13"/>
      <c r="AR41" s="13"/>
    </row>
    <row r="42" spans="2:44" s="1" customFormat="1" ht="14.45" customHeight="1" hidden="1">
      <c r="B42" s="13"/>
      <c r="AR42" s="13"/>
    </row>
    <row r="43" spans="2:44" s="1" customFormat="1" ht="14.45" customHeight="1" hidden="1">
      <c r="B43" s="13"/>
      <c r="AR43" s="13"/>
    </row>
    <row r="44" spans="2:44" s="1" customFormat="1" ht="14.45" customHeight="1" hidden="1">
      <c r="B44" s="13"/>
      <c r="AR44" s="13"/>
    </row>
    <row r="45" spans="2:44" s="1" customFormat="1" ht="14.45" customHeight="1" hidden="1">
      <c r="B45" s="13"/>
      <c r="AR45" s="13"/>
    </row>
    <row r="46" spans="2:44" s="1" customFormat="1" ht="14.45" customHeight="1" hidden="1">
      <c r="B46" s="13"/>
      <c r="AR46" s="13"/>
    </row>
    <row r="47" spans="2:44" s="1" customFormat="1" ht="14.45" customHeight="1" hidden="1">
      <c r="B47" s="13"/>
      <c r="AR47" s="13"/>
    </row>
    <row r="48" spans="2:44" s="1" customFormat="1" ht="14.45" customHeight="1" hidden="1">
      <c r="B48" s="13"/>
      <c r="AR48" s="13"/>
    </row>
    <row r="49" spans="2:44" s="2" customFormat="1" ht="14.45" customHeight="1" hidden="1">
      <c r="B49" s="30"/>
      <c r="D49" s="31" t="s">
        <v>50</v>
      </c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1" t="s">
        <v>51</v>
      </c>
      <c r="AI49" s="32"/>
      <c r="AJ49" s="32"/>
      <c r="AK49" s="32"/>
      <c r="AL49" s="32"/>
      <c r="AM49" s="32"/>
      <c r="AN49" s="32"/>
      <c r="AO49" s="32"/>
      <c r="AR49" s="30"/>
    </row>
    <row r="50" spans="2:44" ht="12" hidden="1">
      <c r="B50" s="13"/>
      <c r="AR50" s="13"/>
    </row>
    <row r="51" spans="2:44" ht="12" hidden="1">
      <c r="B51" s="13"/>
      <c r="AR51" s="13"/>
    </row>
    <row r="52" spans="2:44" ht="12" hidden="1">
      <c r="B52" s="13"/>
      <c r="AR52" s="13"/>
    </row>
    <row r="53" spans="2:44" ht="12" hidden="1">
      <c r="B53" s="13"/>
      <c r="AR53" s="13"/>
    </row>
    <row r="54" spans="2:44" ht="12" hidden="1">
      <c r="B54" s="13"/>
      <c r="AR54" s="13"/>
    </row>
    <row r="55" spans="2:44" ht="12" hidden="1">
      <c r="B55" s="13"/>
      <c r="AR55" s="13"/>
    </row>
    <row r="56" spans="2:44" ht="12" hidden="1">
      <c r="B56" s="13"/>
      <c r="AR56" s="13"/>
    </row>
    <row r="57" spans="2:44" ht="12" hidden="1">
      <c r="B57" s="13"/>
      <c r="AR57" s="13"/>
    </row>
    <row r="58" spans="2:44" ht="12" hidden="1">
      <c r="B58" s="13"/>
      <c r="AR58" s="13"/>
    </row>
    <row r="59" spans="2:44" ht="12" hidden="1">
      <c r="B59" s="13"/>
      <c r="AR59" s="13"/>
    </row>
    <row r="60" spans="1:57" s="2" customFormat="1" ht="12.75" hidden="1">
      <c r="A60" s="21"/>
      <c r="B60" s="22"/>
      <c r="C60" s="21"/>
      <c r="D60" s="33" t="s">
        <v>52</v>
      </c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33" t="s">
        <v>53</v>
      </c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33" t="s">
        <v>52</v>
      </c>
      <c r="AI60" s="24"/>
      <c r="AJ60" s="24"/>
      <c r="AK60" s="24"/>
      <c r="AL60" s="24"/>
      <c r="AM60" s="33" t="s">
        <v>53</v>
      </c>
      <c r="AN60" s="24"/>
      <c r="AO60" s="24"/>
      <c r="AP60" s="21"/>
      <c r="AQ60" s="21"/>
      <c r="AR60" s="22"/>
      <c r="BE60" s="21"/>
    </row>
    <row r="61" spans="2:44" ht="12" hidden="1">
      <c r="B61" s="13"/>
      <c r="AR61" s="13"/>
    </row>
    <row r="62" spans="2:44" ht="12" hidden="1">
      <c r="B62" s="13"/>
      <c r="AR62" s="13"/>
    </row>
    <row r="63" spans="2:44" ht="12" hidden="1">
      <c r="B63" s="13"/>
      <c r="AR63" s="13"/>
    </row>
    <row r="64" spans="1:57" s="2" customFormat="1" ht="12.75" hidden="1">
      <c r="A64" s="21"/>
      <c r="B64" s="22"/>
      <c r="C64" s="21"/>
      <c r="D64" s="31" t="s">
        <v>54</v>
      </c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1" t="s">
        <v>55</v>
      </c>
      <c r="AI64" s="34"/>
      <c r="AJ64" s="34"/>
      <c r="AK64" s="34"/>
      <c r="AL64" s="34"/>
      <c r="AM64" s="34"/>
      <c r="AN64" s="34"/>
      <c r="AO64" s="34"/>
      <c r="AP64" s="21"/>
      <c r="AQ64" s="21"/>
      <c r="AR64" s="22"/>
      <c r="BE64" s="21"/>
    </row>
    <row r="65" spans="2:44" ht="12" hidden="1">
      <c r="B65" s="13"/>
      <c r="AR65" s="13"/>
    </row>
    <row r="66" spans="2:44" ht="12" hidden="1">
      <c r="B66" s="13"/>
      <c r="AR66" s="13"/>
    </row>
    <row r="67" spans="2:44" ht="12" hidden="1">
      <c r="B67" s="13"/>
      <c r="AR67" s="13"/>
    </row>
    <row r="68" spans="2:44" ht="12" hidden="1">
      <c r="B68" s="13"/>
      <c r="AR68" s="13"/>
    </row>
    <row r="69" spans="2:44" ht="12" hidden="1">
      <c r="B69" s="13"/>
      <c r="AR69" s="13"/>
    </row>
    <row r="70" spans="2:44" ht="12" hidden="1">
      <c r="B70" s="13"/>
      <c r="AR70" s="13"/>
    </row>
    <row r="71" spans="2:44" ht="12" hidden="1">
      <c r="B71" s="13"/>
      <c r="AR71" s="13"/>
    </row>
    <row r="72" spans="2:44" ht="12" hidden="1">
      <c r="B72" s="13"/>
      <c r="AR72" s="13"/>
    </row>
    <row r="73" spans="2:44" ht="12" hidden="1">
      <c r="B73" s="13"/>
      <c r="AR73" s="13"/>
    </row>
    <row r="74" spans="2:44" ht="12" hidden="1">
      <c r="B74" s="13"/>
      <c r="AR74" s="13"/>
    </row>
    <row r="75" spans="1:57" s="2" customFormat="1" ht="12.75" hidden="1">
      <c r="A75" s="21"/>
      <c r="B75" s="22"/>
      <c r="C75" s="21"/>
      <c r="D75" s="33" t="s">
        <v>52</v>
      </c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33" t="s">
        <v>53</v>
      </c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33" t="s">
        <v>52</v>
      </c>
      <c r="AI75" s="24"/>
      <c r="AJ75" s="24"/>
      <c r="AK75" s="24"/>
      <c r="AL75" s="24"/>
      <c r="AM75" s="33" t="s">
        <v>53</v>
      </c>
      <c r="AN75" s="24"/>
      <c r="AO75" s="24"/>
      <c r="AP75" s="21"/>
      <c r="AQ75" s="21"/>
      <c r="AR75" s="22"/>
      <c r="BE75" s="21"/>
    </row>
    <row r="76" spans="1:57" s="2" customFormat="1" ht="12" hidden="1">
      <c r="A76" s="21"/>
      <c r="B76" s="22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2"/>
      <c r="BE76" s="21"/>
    </row>
    <row r="77" spans="1:57" s="2" customFormat="1" ht="6.95" customHeight="1" hidden="1">
      <c r="A77" s="21"/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22"/>
      <c r="BE77" s="21"/>
    </row>
    <row r="81" spans="1:57" s="2" customFormat="1" ht="6.95" customHeight="1">
      <c r="A81" s="21"/>
      <c r="B81" s="37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22"/>
      <c r="BE81" s="21"/>
    </row>
    <row r="82" spans="1:57" s="2" customFormat="1" ht="24.95" customHeight="1">
      <c r="A82" s="21"/>
      <c r="B82" s="22"/>
      <c r="C82" s="14" t="s">
        <v>56</v>
      </c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2"/>
      <c r="BE82" s="21"/>
    </row>
    <row r="83" spans="1:57" s="2" customFormat="1" ht="6.95" customHeight="1">
      <c r="A83" s="21"/>
      <c r="B83" s="22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2"/>
      <c r="BE83" s="21"/>
    </row>
    <row r="84" spans="2:44" s="4" customFormat="1" ht="12" customHeight="1">
      <c r="B84" s="39"/>
      <c r="C84" s="19" t="s">
        <v>12</v>
      </c>
      <c r="L84" s="4" t="str">
        <f>K5</f>
        <v>2010/01</v>
      </c>
      <c r="AR84" s="39"/>
    </row>
    <row r="85" spans="2:44" s="5" customFormat="1" ht="36.95" customHeight="1">
      <c r="B85" s="40"/>
      <c r="C85" s="41" t="s">
        <v>14</v>
      </c>
      <c r="L85" s="791" t="str">
        <f>K6</f>
        <v>Středisko Okrouhlík - nástavba a stavební úpravy</v>
      </c>
      <c r="M85" s="792"/>
      <c r="N85" s="792"/>
      <c r="O85" s="792"/>
      <c r="P85" s="792"/>
      <c r="Q85" s="792"/>
      <c r="R85" s="792"/>
      <c r="S85" s="792"/>
      <c r="T85" s="792"/>
      <c r="U85" s="792"/>
      <c r="V85" s="792"/>
      <c r="W85" s="792"/>
      <c r="X85" s="792"/>
      <c r="Y85" s="792"/>
      <c r="Z85" s="792"/>
      <c r="AA85" s="792"/>
      <c r="AB85" s="792"/>
      <c r="AC85" s="792"/>
      <c r="AD85" s="792"/>
      <c r="AE85" s="792"/>
      <c r="AF85" s="792"/>
      <c r="AG85" s="792"/>
      <c r="AH85" s="792"/>
      <c r="AI85" s="792"/>
      <c r="AJ85" s="792"/>
      <c r="AK85" s="792"/>
      <c r="AL85" s="792"/>
      <c r="AM85" s="792"/>
      <c r="AN85" s="792"/>
      <c r="AO85" s="792"/>
      <c r="AR85" s="40"/>
    </row>
    <row r="86" spans="1:57" s="2" customFormat="1" ht="6.95" customHeight="1">
      <c r="A86" s="21"/>
      <c r="B86" s="22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2"/>
      <c r="BE86" s="21"/>
    </row>
    <row r="87" spans="1:57" s="2" customFormat="1" ht="12" customHeight="1">
      <c r="A87" s="21"/>
      <c r="B87" s="22"/>
      <c r="C87" s="19" t="s">
        <v>18</v>
      </c>
      <c r="D87" s="21"/>
      <c r="E87" s="21"/>
      <c r="F87" s="21"/>
      <c r="G87" s="21"/>
      <c r="H87" s="21"/>
      <c r="I87" s="21"/>
      <c r="J87" s="21"/>
      <c r="K87" s="21"/>
      <c r="L87" s="42" t="str">
        <f>IF(K8="","",K8)</f>
        <v>st.p. 1443, k.ú. Staré Benátky</v>
      </c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19" t="s">
        <v>20</v>
      </c>
      <c r="AJ87" s="21"/>
      <c r="AK87" s="21"/>
      <c r="AL87" s="21"/>
      <c r="AM87" s="818"/>
      <c r="AN87" s="818"/>
      <c r="AO87" s="21"/>
      <c r="AP87" s="21"/>
      <c r="AQ87" s="21"/>
      <c r="AR87" s="22"/>
      <c r="BE87" s="21"/>
    </row>
    <row r="88" spans="1:57" s="2" customFormat="1" ht="6.95" customHeight="1">
      <c r="A88" s="21"/>
      <c r="B88" s="22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2"/>
      <c r="BE88" s="21"/>
    </row>
    <row r="89" spans="1:57" s="2" customFormat="1" ht="40.15" customHeight="1">
      <c r="A89" s="21"/>
      <c r="B89" s="22"/>
      <c r="C89" s="19" t="s">
        <v>22</v>
      </c>
      <c r="D89" s="21"/>
      <c r="E89" s="21"/>
      <c r="F89" s="21"/>
      <c r="G89" s="21"/>
      <c r="H89" s="21"/>
      <c r="I89" s="21"/>
      <c r="J89" s="21"/>
      <c r="K89" s="21"/>
      <c r="L89" s="4" t="str">
        <f>IF(E11="","",E11)</f>
        <v>VaK Mladá Boleslav, Čechova 1151, Mladá Boleslav</v>
      </c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19" t="s">
        <v>30</v>
      </c>
      <c r="AJ89" s="21"/>
      <c r="AK89" s="21"/>
      <c r="AL89" s="21"/>
      <c r="AM89" s="819" t="str">
        <f>IF(E17="","",E17)</f>
        <v>ŽÁROVKA PROJEKTANTI,Křižíkova 788/2,Hradec Králové</v>
      </c>
      <c r="AN89" s="820"/>
      <c r="AO89" s="820"/>
      <c r="AP89" s="820"/>
      <c r="AQ89" s="21"/>
      <c r="AR89" s="22"/>
      <c r="AS89" s="822" t="s">
        <v>57</v>
      </c>
      <c r="AT89" s="823"/>
      <c r="AU89" s="43"/>
      <c r="AV89" s="43"/>
      <c r="AW89" s="43"/>
      <c r="AX89" s="43"/>
      <c r="AY89" s="43"/>
      <c r="AZ89" s="43"/>
      <c r="BA89" s="43"/>
      <c r="BB89" s="43"/>
      <c r="BC89" s="43"/>
      <c r="BD89" s="44"/>
      <c r="BE89" s="21"/>
    </row>
    <row r="90" spans="1:57" s="2" customFormat="1" ht="15.2" customHeight="1">
      <c r="A90" s="21"/>
      <c r="B90" s="22"/>
      <c r="C90" s="19" t="s">
        <v>28</v>
      </c>
      <c r="D90" s="21"/>
      <c r="E90" s="21"/>
      <c r="F90" s="21"/>
      <c r="G90" s="21"/>
      <c r="H90" s="21"/>
      <c r="I90" s="21"/>
      <c r="J90" s="21"/>
      <c r="K90" s="21"/>
      <c r="L90" s="4" t="str">
        <f>IF(E14="","",E14)</f>
        <v xml:space="preserve"> </v>
      </c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19" t="s">
        <v>35</v>
      </c>
      <c r="AJ90" s="21"/>
      <c r="AK90" s="21"/>
      <c r="AL90" s="21"/>
      <c r="AM90" s="819" t="str">
        <f>IF(E20="","",E20)</f>
        <v xml:space="preserve"> </v>
      </c>
      <c r="AN90" s="820"/>
      <c r="AO90" s="820"/>
      <c r="AP90" s="820"/>
      <c r="AQ90" s="21"/>
      <c r="AR90" s="22"/>
      <c r="AS90" s="824"/>
      <c r="AT90" s="825"/>
      <c r="AU90" s="45"/>
      <c r="AV90" s="45"/>
      <c r="AW90" s="45"/>
      <c r="AX90" s="45"/>
      <c r="AY90" s="45"/>
      <c r="AZ90" s="45"/>
      <c r="BA90" s="45"/>
      <c r="BB90" s="45"/>
      <c r="BC90" s="45"/>
      <c r="BD90" s="46"/>
      <c r="BE90" s="21"/>
    </row>
    <row r="91" spans="1:57" s="2" customFormat="1" ht="10.9" customHeight="1">
      <c r="A91" s="21"/>
      <c r="B91" s="22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2"/>
      <c r="AS91" s="824"/>
      <c r="AT91" s="825"/>
      <c r="AU91" s="45"/>
      <c r="AV91" s="45"/>
      <c r="AW91" s="45"/>
      <c r="AX91" s="45"/>
      <c r="AY91" s="45"/>
      <c r="AZ91" s="45"/>
      <c r="BA91" s="45"/>
      <c r="BB91" s="45"/>
      <c r="BC91" s="45"/>
      <c r="BD91" s="46"/>
      <c r="BE91" s="21"/>
    </row>
    <row r="92" spans="1:57" s="84" customFormat="1" ht="29.25" customHeight="1">
      <c r="A92" s="82"/>
      <c r="B92" s="111"/>
      <c r="C92" s="802" t="s">
        <v>58</v>
      </c>
      <c r="D92" s="794"/>
      <c r="E92" s="794"/>
      <c r="F92" s="794"/>
      <c r="G92" s="794"/>
      <c r="H92" s="209"/>
      <c r="I92" s="793" t="s">
        <v>59</v>
      </c>
      <c r="J92" s="794"/>
      <c r="K92" s="794"/>
      <c r="L92" s="794"/>
      <c r="M92" s="794"/>
      <c r="N92" s="794"/>
      <c r="O92" s="794"/>
      <c r="P92" s="794"/>
      <c r="Q92" s="794"/>
      <c r="R92" s="794"/>
      <c r="S92" s="794"/>
      <c r="T92" s="794"/>
      <c r="U92" s="794"/>
      <c r="V92" s="794"/>
      <c r="W92" s="794"/>
      <c r="X92" s="794"/>
      <c r="Y92" s="794"/>
      <c r="Z92" s="794"/>
      <c r="AA92" s="794"/>
      <c r="AB92" s="794"/>
      <c r="AC92" s="794"/>
      <c r="AD92" s="794"/>
      <c r="AE92" s="794"/>
      <c r="AF92" s="794"/>
      <c r="AG92" s="817" t="s">
        <v>60</v>
      </c>
      <c r="AH92" s="794"/>
      <c r="AI92" s="794"/>
      <c r="AJ92" s="794"/>
      <c r="AK92" s="794"/>
      <c r="AL92" s="794"/>
      <c r="AM92" s="794"/>
      <c r="AN92" s="793"/>
      <c r="AO92" s="794"/>
      <c r="AP92" s="821"/>
      <c r="AQ92" s="210" t="s">
        <v>61</v>
      </c>
      <c r="AR92" s="111"/>
      <c r="AS92" s="119" t="s">
        <v>62</v>
      </c>
      <c r="AT92" s="120" t="s">
        <v>63</v>
      </c>
      <c r="AU92" s="120" t="s">
        <v>64</v>
      </c>
      <c r="AV92" s="120" t="s">
        <v>65</v>
      </c>
      <c r="AW92" s="120" t="s">
        <v>66</v>
      </c>
      <c r="AX92" s="120" t="s">
        <v>67</v>
      </c>
      <c r="AY92" s="120" t="s">
        <v>68</v>
      </c>
      <c r="AZ92" s="120" t="s">
        <v>69</v>
      </c>
      <c r="BA92" s="120" t="s">
        <v>70</v>
      </c>
      <c r="BB92" s="120" t="s">
        <v>71</v>
      </c>
      <c r="BC92" s="120" t="s">
        <v>72</v>
      </c>
      <c r="BD92" s="121" t="s">
        <v>73</v>
      </c>
      <c r="BE92" s="82"/>
    </row>
    <row r="93" spans="1:57" s="2" customFormat="1" ht="10.9" customHeight="1">
      <c r="A93" s="21"/>
      <c r="B93" s="22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2"/>
      <c r="AS93" s="47"/>
      <c r="AT93" s="48"/>
      <c r="AU93" s="48"/>
      <c r="AV93" s="48"/>
      <c r="AW93" s="48"/>
      <c r="AX93" s="48"/>
      <c r="AY93" s="48"/>
      <c r="AZ93" s="48"/>
      <c r="BA93" s="48"/>
      <c r="BB93" s="48"/>
      <c r="BC93" s="48"/>
      <c r="BD93" s="49"/>
      <c r="BE93" s="21"/>
    </row>
    <row r="94" spans="2:90" s="6" customFormat="1" ht="32.45" customHeight="1">
      <c r="B94" s="50"/>
      <c r="C94" s="51" t="s">
        <v>74</v>
      </c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52"/>
      <c r="AF94" s="52"/>
      <c r="AG94" s="827">
        <f>ROUND(AG95+AG96+AG97+AG98+AG99+AG100+AG101+AG105+AG106+AG107,2)</f>
        <v>0</v>
      </c>
      <c r="AH94" s="827"/>
      <c r="AI94" s="827"/>
      <c r="AJ94" s="827"/>
      <c r="AK94" s="827"/>
      <c r="AL94" s="827"/>
      <c r="AM94" s="827"/>
      <c r="AN94" s="826"/>
      <c r="AO94" s="826"/>
      <c r="AP94" s="826"/>
      <c r="AQ94" s="53" t="s">
        <v>1</v>
      </c>
      <c r="AR94" s="50"/>
      <c r="AS94" s="54" t="e">
        <f>ROUND(AS95+#REF!+AS100,2)</f>
        <v>#REF!</v>
      </c>
      <c r="AT94" s="55" t="e">
        <f aca="true" t="shared" si="0" ref="AT94:AT100">ROUND(SUM(AV94:AW94),2)</f>
        <v>#REF!</v>
      </c>
      <c r="AU94" s="56" t="e">
        <f>ROUND(AU95+#REF!+AU100,5)</f>
        <v>#REF!</v>
      </c>
      <c r="AV94" s="55" t="e">
        <f>ROUND(AZ94*L29,2)</f>
        <v>#REF!</v>
      </c>
      <c r="AW94" s="55" t="e">
        <f>ROUND(BA94*L30,2)</f>
        <v>#REF!</v>
      </c>
      <c r="AX94" s="55" t="e">
        <f>ROUND(BB94*L29,2)</f>
        <v>#REF!</v>
      </c>
      <c r="AY94" s="55" t="e">
        <f>ROUND(BC94*L30,2)</f>
        <v>#REF!</v>
      </c>
      <c r="AZ94" s="55" t="e">
        <f>ROUND(AZ95+#REF!+AZ100,2)</f>
        <v>#REF!</v>
      </c>
      <c r="BA94" s="55" t="e">
        <f>ROUND(BA95+#REF!+BA100,2)</f>
        <v>#REF!</v>
      </c>
      <c r="BB94" s="55" t="e">
        <f>ROUND(BB95+#REF!+BB100,2)</f>
        <v>#REF!</v>
      </c>
      <c r="BC94" s="55" t="e">
        <f>ROUND(BC95+#REF!+BC100,2)</f>
        <v>#REF!</v>
      </c>
      <c r="BD94" s="57" t="e">
        <f>ROUND(BD95+#REF!+BD100,2)</f>
        <v>#REF!</v>
      </c>
      <c r="BS94" s="58" t="s">
        <v>75</v>
      </c>
      <c r="BT94" s="58" t="s">
        <v>76</v>
      </c>
      <c r="BU94" s="59" t="s">
        <v>77</v>
      </c>
      <c r="BV94" s="58" t="s">
        <v>78</v>
      </c>
      <c r="BW94" s="58" t="s">
        <v>4</v>
      </c>
      <c r="BX94" s="58" t="s">
        <v>79</v>
      </c>
      <c r="CL94" s="58" t="s">
        <v>1</v>
      </c>
    </row>
    <row r="95" spans="2:91" s="7" customFormat="1" ht="16.5" customHeight="1">
      <c r="B95" s="60"/>
      <c r="C95" s="61"/>
      <c r="D95" s="795">
        <v>1</v>
      </c>
      <c r="E95" s="795"/>
      <c r="F95" s="795"/>
      <c r="G95" s="795"/>
      <c r="H95" s="795"/>
      <c r="I95" s="113"/>
      <c r="J95" s="795" t="s">
        <v>3776</v>
      </c>
      <c r="K95" s="795"/>
      <c r="L95" s="795"/>
      <c r="M95" s="795"/>
      <c r="N95" s="795"/>
      <c r="O95" s="795"/>
      <c r="P95" s="795"/>
      <c r="Q95" s="795"/>
      <c r="R95" s="795"/>
      <c r="S95" s="795"/>
      <c r="T95" s="795"/>
      <c r="U95" s="795"/>
      <c r="V95" s="795"/>
      <c r="W95" s="795"/>
      <c r="X95" s="795"/>
      <c r="Y95" s="795"/>
      <c r="Z95" s="795"/>
      <c r="AA95" s="795"/>
      <c r="AB95" s="795"/>
      <c r="AC95" s="795"/>
      <c r="AD95" s="795"/>
      <c r="AE95" s="795"/>
      <c r="AF95" s="795"/>
      <c r="AG95" s="803">
        <f>'01 - Stavební práce'!J96</f>
        <v>0</v>
      </c>
      <c r="AH95" s="796"/>
      <c r="AI95" s="796"/>
      <c r="AJ95" s="796"/>
      <c r="AK95" s="796"/>
      <c r="AL95" s="796"/>
      <c r="AM95" s="796"/>
      <c r="AN95" s="798"/>
      <c r="AO95" s="799"/>
      <c r="AP95" s="799"/>
      <c r="AQ95" s="62" t="s">
        <v>80</v>
      </c>
      <c r="AR95" s="60"/>
      <c r="AS95" s="63">
        <f>ROUND(SUM(AS96:AS99),2)</f>
        <v>0</v>
      </c>
      <c r="AT95" s="64">
        <f t="shared" si="0"/>
        <v>0</v>
      </c>
      <c r="AU95" s="65" t="e">
        <f>ROUND(SUM(AU96:AU99),5)</f>
        <v>#REF!</v>
      </c>
      <c r="AV95" s="64">
        <f>ROUND(AZ95*L29,2)</f>
        <v>0</v>
      </c>
      <c r="AW95" s="64">
        <f>ROUND(BA95*L30,2)</f>
        <v>0</v>
      </c>
      <c r="AX95" s="64">
        <f>ROUND(BB95*L29,2)</f>
        <v>0</v>
      </c>
      <c r="AY95" s="64">
        <f>ROUND(BC95*L30,2)</f>
        <v>0</v>
      </c>
      <c r="AZ95" s="64">
        <f>ROUND(SUM(AZ96:AZ99),2)</f>
        <v>0</v>
      </c>
      <c r="BA95" s="64">
        <f>ROUND(SUM(BA96:BA99),2)</f>
        <v>0</v>
      </c>
      <c r="BB95" s="64">
        <f>ROUND(SUM(BB96:BB99),2)</f>
        <v>0</v>
      </c>
      <c r="BC95" s="64">
        <f>ROUND(SUM(BC96:BC99),2)</f>
        <v>0</v>
      </c>
      <c r="BD95" s="66">
        <f>ROUND(SUM(BD96:BD99),2)</f>
        <v>0</v>
      </c>
      <c r="BS95" s="67" t="s">
        <v>75</v>
      </c>
      <c r="BT95" s="67" t="s">
        <v>81</v>
      </c>
      <c r="BV95" s="67" t="s">
        <v>78</v>
      </c>
      <c r="BW95" s="67" t="s">
        <v>82</v>
      </c>
      <c r="BX95" s="67" t="s">
        <v>4</v>
      </c>
      <c r="CL95" s="67" t="s">
        <v>1</v>
      </c>
      <c r="CM95" s="67" t="s">
        <v>83</v>
      </c>
    </row>
    <row r="96" spans="1:90" s="4" customFormat="1" ht="16.5" customHeight="1">
      <c r="A96" s="68" t="s">
        <v>84</v>
      </c>
      <c r="B96" s="39"/>
      <c r="C96" s="8"/>
      <c r="D96" s="765">
        <v>2</v>
      </c>
      <c r="E96" s="795"/>
      <c r="F96" s="795"/>
      <c r="G96" s="795"/>
      <c r="H96" s="795"/>
      <c r="I96" s="795"/>
      <c r="J96" s="112"/>
      <c r="K96" s="790" t="s">
        <v>3850</v>
      </c>
      <c r="L96" s="790"/>
      <c r="M96" s="790"/>
      <c r="N96" s="790"/>
      <c r="O96" s="790"/>
      <c r="P96" s="790"/>
      <c r="Q96" s="790"/>
      <c r="R96" s="790"/>
      <c r="S96" s="790"/>
      <c r="T96" s="790"/>
      <c r="U96" s="790"/>
      <c r="V96" s="790"/>
      <c r="W96" s="790"/>
      <c r="X96" s="790"/>
      <c r="Y96" s="790"/>
      <c r="Z96" s="790"/>
      <c r="AA96" s="790"/>
      <c r="AB96" s="790"/>
      <c r="AC96" s="790"/>
      <c r="AD96" s="790"/>
      <c r="AE96" s="790"/>
      <c r="AF96" s="790"/>
      <c r="AG96" s="797">
        <f>Elektroinstalace!J98</f>
        <v>0</v>
      </c>
      <c r="AH96" s="797"/>
      <c r="AI96" s="797"/>
      <c r="AJ96" s="797"/>
      <c r="AK96" s="797"/>
      <c r="AL96" s="797"/>
      <c r="AM96" s="797"/>
      <c r="AN96" s="800"/>
      <c r="AO96" s="801"/>
      <c r="AP96" s="801"/>
      <c r="AQ96" s="69" t="s">
        <v>85</v>
      </c>
      <c r="AR96" s="39"/>
      <c r="AS96" s="70">
        <v>0</v>
      </c>
      <c r="AT96" s="71">
        <f t="shared" si="0"/>
        <v>0</v>
      </c>
      <c r="AU96" s="72" t="e">
        <f>Elektroinstalace!P137</f>
        <v>#REF!</v>
      </c>
      <c r="AV96" s="71">
        <f>Elektroinstalace!J35</f>
        <v>0</v>
      </c>
      <c r="AW96" s="71">
        <f>Elektroinstalace!J36</f>
        <v>0</v>
      </c>
      <c r="AX96" s="71">
        <f>Elektroinstalace!J37</f>
        <v>0</v>
      </c>
      <c r="AY96" s="71">
        <f>Elektroinstalace!J38</f>
        <v>0</v>
      </c>
      <c r="AZ96" s="71">
        <f>Elektroinstalace!F35</f>
        <v>0</v>
      </c>
      <c r="BA96" s="71">
        <f>Elektroinstalace!F36</f>
        <v>0</v>
      </c>
      <c r="BB96" s="71">
        <f>Elektroinstalace!F37</f>
        <v>0</v>
      </c>
      <c r="BC96" s="71">
        <f>Elektroinstalace!F38</f>
        <v>0</v>
      </c>
      <c r="BD96" s="73">
        <f>Elektroinstalace!F39</f>
        <v>0</v>
      </c>
      <c r="BT96" s="17" t="s">
        <v>83</v>
      </c>
      <c r="BV96" s="17" t="s">
        <v>78</v>
      </c>
      <c r="BW96" s="17" t="s">
        <v>86</v>
      </c>
      <c r="BX96" s="17" t="s">
        <v>82</v>
      </c>
      <c r="CL96" s="17" t="s">
        <v>1</v>
      </c>
    </row>
    <row r="97" spans="1:90" s="4" customFormat="1" ht="16.5" customHeight="1">
      <c r="A97" s="68" t="s">
        <v>84</v>
      </c>
      <c r="B97" s="39"/>
      <c r="C97" s="8"/>
      <c r="D97" s="765">
        <v>3</v>
      </c>
      <c r="E97" s="795"/>
      <c r="F97" s="795"/>
      <c r="G97" s="795"/>
      <c r="H97" s="795"/>
      <c r="I97" s="795"/>
      <c r="J97" s="8"/>
      <c r="K97" s="790" t="s">
        <v>1670</v>
      </c>
      <c r="L97" s="790"/>
      <c r="M97" s="790"/>
      <c r="N97" s="790"/>
      <c r="O97" s="790"/>
      <c r="P97" s="790"/>
      <c r="Q97" s="790"/>
      <c r="R97" s="790"/>
      <c r="S97" s="790"/>
      <c r="T97" s="790"/>
      <c r="U97" s="790"/>
      <c r="V97" s="790"/>
      <c r="W97" s="790"/>
      <c r="X97" s="790"/>
      <c r="Y97" s="790"/>
      <c r="Z97" s="790"/>
      <c r="AA97" s="790"/>
      <c r="AB97" s="790"/>
      <c r="AC97" s="790"/>
      <c r="AD97" s="790"/>
      <c r="AE97" s="790"/>
      <c r="AF97" s="790"/>
      <c r="AG97" s="797">
        <f>'01-02 - VZT'!J122</f>
        <v>0</v>
      </c>
      <c r="AH97" s="797"/>
      <c r="AI97" s="797"/>
      <c r="AJ97" s="797"/>
      <c r="AK97" s="797"/>
      <c r="AL97" s="797"/>
      <c r="AM97" s="797"/>
      <c r="AN97" s="800"/>
      <c r="AO97" s="801"/>
      <c r="AP97" s="801"/>
      <c r="AQ97" s="69" t="s">
        <v>85</v>
      </c>
      <c r="AR97" s="39"/>
      <c r="AS97" s="70">
        <v>0</v>
      </c>
      <c r="AT97" s="71">
        <f t="shared" si="0"/>
        <v>0</v>
      </c>
      <c r="AU97" s="72">
        <f>'01-02 - VZT'!P122</f>
        <v>62.727999999999994</v>
      </c>
      <c r="AV97" s="71">
        <f>'01-02 - VZT'!J35</f>
        <v>0</v>
      </c>
      <c r="AW97" s="71">
        <f>'01-02 - VZT'!J36</f>
        <v>0</v>
      </c>
      <c r="AX97" s="71">
        <f>'01-02 - VZT'!J37</f>
        <v>0</v>
      </c>
      <c r="AY97" s="71">
        <f>'01-02 - VZT'!J38</f>
        <v>0</v>
      </c>
      <c r="AZ97" s="71">
        <f>'01-02 - VZT'!F35</f>
        <v>0</v>
      </c>
      <c r="BA97" s="71">
        <f>'01-02 - VZT'!F36</f>
        <v>0</v>
      </c>
      <c r="BB97" s="71">
        <f>'01-02 - VZT'!F37</f>
        <v>0</v>
      </c>
      <c r="BC97" s="71">
        <f>'01-02 - VZT'!F38</f>
        <v>0</v>
      </c>
      <c r="BD97" s="73">
        <f>'01-02 - VZT'!F39</f>
        <v>0</v>
      </c>
      <c r="BT97" s="17" t="s">
        <v>83</v>
      </c>
      <c r="BV97" s="17" t="s">
        <v>78</v>
      </c>
      <c r="BW97" s="17" t="s">
        <v>87</v>
      </c>
      <c r="BX97" s="17" t="s">
        <v>82</v>
      </c>
      <c r="CL97" s="17" t="s">
        <v>1</v>
      </c>
    </row>
    <row r="98" spans="1:90" s="4" customFormat="1" ht="16.5" customHeight="1">
      <c r="A98" s="68" t="s">
        <v>84</v>
      </c>
      <c r="B98" s="39"/>
      <c r="C98" s="8"/>
      <c r="D98" s="765">
        <v>4</v>
      </c>
      <c r="E98" s="795"/>
      <c r="F98" s="795"/>
      <c r="G98" s="795"/>
      <c r="H98" s="795"/>
      <c r="I98" s="795"/>
      <c r="J98" s="8"/>
      <c r="K98" s="790" t="s">
        <v>3842</v>
      </c>
      <c r="L98" s="790"/>
      <c r="M98" s="790"/>
      <c r="N98" s="790"/>
      <c r="O98" s="790"/>
      <c r="P98" s="790"/>
      <c r="Q98" s="790"/>
      <c r="R98" s="790"/>
      <c r="S98" s="790"/>
      <c r="T98" s="790"/>
      <c r="U98" s="790"/>
      <c r="V98" s="790"/>
      <c r="W98" s="790"/>
      <c r="X98" s="790"/>
      <c r="Y98" s="790"/>
      <c r="Z98" s="790"/>
      <c r="AA98" s="790"/>
      <c r="AB98" s="790"/>
      <c r="AC98" s="790"/>
      <c r="AD98" s="790"/>
      <c r="AE98" s="790"/>
      <c r="AF98" s="790"/>
      <c r="AG98" s="797">
        <f>'01-03 - ZTI'!J98</f>
        <v>0</v>
      </c>
      <c r="AH98" s="797"/>
      <c r="AI98" s="797"/>
      <c r="AJ98" s="797"/>
      <c r="AK98" s="797"/>
      <c r="AL98" s="797"/>
      <c r="AM98" s="797"/>
      <c r="AN98" s="800"/>
      <c r="AO98" s="801"/>
      <c r="AP98" s="801"/>
      <c r="AQ98" s="69" t="s">
        <v>85</v>
      </c>
      <c r="AR98" s="39"/>
      <c r="AS98" s="70">
        <v>0</v>
      </c>
      <c r="AT98" s="71">
        <f t="shared" si="0"/>
        <v>0</v>
      </c>
      <c r="AU98" s="72">
        <f>'01-03 - ZTI'!P125</f>
        <v>0</v>
      </c>
      <c r="AV98" s="71">
        <f>'01-03 - ZTI'!J35</f>
        <v>0</v>
      </c>
      <c r="AW98" s="71">
        <f>'01-03 - ZTI'!J36</f>
        <v>0</v>
      </c>
      <c r="AX98" s="71">
        <f>'01-03 - ZTI'!J37</f>
        <v>0</v>
      </c>
      <c r="AY98" s="71">
        <f>'01-03 - ZTI'!J38</f>
        <v>0</v>
      </c>
      <c r="AZ98" s="71">
        <f>'01-03 - ZTI'!F35</f>
        <v>0</v>
      </c>
      <c r="BA98" s="71">
        <f>'01-03 - ZTI'!F36</f>
        <v>0</v>
      </c>
      <c r="BB98" s="71">
        <f>'01-03 - ZTI'!F37</f>
        <v>0</v>
      </c>
      <c r="BC98" s="71">
        <f>'01-03 - ZTI'!F38</f>
        <v>0</v>
      </c>
      <c r="BD98" s="73">
        <f>'01-03 - ZTI'!F39</f>
        <v>0</v>
      </c>
      <c r="BT98" s="17" t="s">
        <v>83</v>
      </c>
      <c r="BV98" s="17" t="s">
        <v>78</v>
      </c>
      <c r="BW98" s="17" t="s">
        <v>88</v>
      </c>
      <c r="BX98" s="17" t="s">
        <v>82</v>
      </c>
      <c r="CL98" s="17" t="s">
        <v>1</v>
      </c>
    </row>
    <row r="99" spans="1:90" s="4" customFormat="1" ht="16.5" customHeight="1">
      <c r="A99" s="68" t="s">
        <v>84</v>
      </c>
      <c r="B99" s="39"/>
      <c r="C99" s="8"/>
      <c r="D99" s="765">
        <v>5</v>
      </c>
      <c r="E99" s="795"/>
      <c r="F99" s="795"/>
      <c r="G99" s="795"/>
      <c r="H99" s="795"/>
      <c r="I99" s="795"/>
      <c r="J99" s="8"/>
      <c r="K99" s="790" t="s">
        <v>3851</v>
      </c>
      <c r="L99" s="790"/>
      <c r="M99" s="790"/>
      <c r="N99" s="790"/>
      <c r="O99" s="790"/>
      <c r="P99" s="790"/>
      <c r="Q99" s="790"/>
      <c r="R99" s="790"/>
      <c r="S99" s="790"/>
      <c r="T99" s="790"/>
      <c r="U99" s="790"/>
      <c r="V99" s="790"/>
      <c r="W99" s="790"/>
      <c r="X99" s="790"/>
      <c r="Y99" s="790"/>
      <c r="Z99" s="790"/>
      <c r="AA99" s="790"/>
      <c r="AB99" s="790"/>
      <c r="AC99" s="790"/>
      <c r="AD99" s="790"/>
      <c r="AE99" s="790"/>
      <c r="AF99" s="790"/>
      <c r="AG99" s="797">
        <f>'01-04 - ÚT'!J98</f>
        <v>0</v>
      </c>
      <c r="AH99" s="797"/>
      <c r="AI99" s="797"/>
      <c r="AJ99" s="797"/>
      <c r="AK99" s="797"/>
      <c r="AL99" s="797"/>
      <c r="AM99" s="797"/>
      <c r="AN99" s="800"/>
      <c r="AO99" s="801"/>
      <c r="AP99" s="801"/>
      <c r="AQ99" s="69" t="s">
        <v>85</v>
      </c>
      <c r="AR99" s="39"/>
      <c r="AS99" s="70">
        <v>0</v>
      </c>
      <c r="AT99" s="71">
        <f t="shared" si="0"/>
        <v>0</v>
      </c>
      <c r="AU99" s="72">
        <f>'01-04 - ÚT'!P127</f>
        <v>0</v>
      </c>
      <c r="AV99" s="71">
        <f>'01-04 - ÚT'!J35</f>
        <v>0</v>
      </c>
      <c r="AW99" s="71">
        <f>'01-04 - ÚT'!J36</f>
        <v>0</v>
      </c>
      <c r="AX99" s="71">
        <f>'01-04 - ÚT'!J37</f>
        <v>0</v>
      </c>
      <c r="AY99" s="71">
        <f>'01-04 - ÚT'!J38</f>
        <v>0</v>
      </c>
      <c r="AZ99" s="71">
        <f>'01-04 - ÚT'!F35</f>
        <v>0</v>
      </c>
      <c r="BA99" s="71">
        <f>'01-04 - ÚT'!F36</f>
        <v>0</v>
      </c>
      <c r="BB99" s="71">
        <f>'01-04 - ÚT'!F37</f>
        <v>0</v>
      </c>
      <c r="BC99" s="71">
        <f>'01-04 - ÚT'!F38</f>
        <v>0</v>
      </c>
      <c r="BD99" s="73">
        <f>'01-04 - ÚT'!F39</f>
        <v>0</v>
      </c>
      <c r="BT99" s="17" t="s">
        <v>83</v>
      </c>
      <c r="BV99" s="17" t="s">
        <v>78</v>
      </c>
      <c r="BW99" s="17" t="s">
        <v>89</v>
      </c>
      <c r="BX99" s="17" t="s">
        <v>82</v>
      </c>
      <c r="CL99" s="17" t="s">
        <v>1</v>
      </c>
    </row>
    <row r="100" spans="1:91" s="7" customFormat="1" ht="16.5" customHeight="1">
      <c r="A100" s="68" t="s">
        <v>84</v>
      </c>
      <c r="B100" s="60"/>
      <c r="C100" s="61"/>
      <c r="D100" s="795">
        <v>6</v>
      </c>
      <c r="E100" s="795"/>
      <c r="F100" s="795"/>
      <c r="G100" s="795"/>
      <c r="H100" s="795"/>
      <c r="I100" s="113"/>
      <c r="J100" s="795" t="s">
        <v>92</v>
      </c>
      <c r="K100" s="795"/>
      <c r="L100" s="795"/>
      <c r="M100" s="795"/>
      <c r="N100" s="795"/>
      <c r="O100" s="795"/>
      <c r="P100" s="795"/>
      <c r="Q100" s="795"/>
      <c r="R100" s="795"/>
      <c r="S100" s="795"/>
      <c r="T100" s="795"/>
      <c r="U100" s="795"/>
      <c r="V100" s="795"/>
      <c r="W100" s="795"/>
      <c r="X100" s="795"/>
      <c r="Y100" s="795"/>
      <c r="Z100" s="795"/>
      <c r="AA100" s="795"/>
      <c r="AB100" s="795"/>
      <c r="AC100" s="795"/>
      <c r="AD100" s="795"/>
      <c r="AE100" s="795"/>
      <c r="AF100" s="795"/>
      <c r="AG100" s="796">
        <f>'03 - Vedlejší rozpočtové ...'!J120</f>
        <v>0</v>
      </c>
      <c r="AH100" s="796"/>
      <c r="AI100" s="796"/>
      <c r="AJ100" s="796"/>
      <c r="AK100" s="796"/>
      <c r="AL100" s="796"/>
      <c r="AM100" s="796"/>
      <c r="AN100" s="798"/>
      <c r="AO100" s="799"/>
      <c r="AP100" s="799"/>
      <c r="AQ100" s="62" t="s">
        <v>80</v>
      </c>
      <c r="AR100" s="60"/>
      <c r="AS100" s="74">
        <v>0</v>
      </c>
      <c r="AT100" s="75">
        <f t="shared" si="0"/>
        <v>0</v>
      </c>
      <c r="AU100" s="76">
        <f>'03 - Vedlejší rozpočtové ...'!P120</f>
        <v>0</v>
      </c>
      <c r="AV100" s="75">
        <f>'03 - Vedlejší rozpočtové ...'!J33</f>
        <v>0</v>
      </c>
      <c r="AW100" s="75">
        <f>'03 - Vedlejší rozpočtové ...'!J34</f>
        <v>0</v>
      </c>
      <c r="AX100" s="75">
        <f>'03 - Vedlejší rozpočtové ...'!J35</f>
        <v>0</v>
      </c>
      <c r="AY100" s="75">
        <f>'03 - Vedlejší rozpočtové ...'!J36</f>
        <v>0</v>
      </c>
      <c r="AZ100" s="75">
        <f>'03 - Vedlejší rozpočtové ...'!F33</f>
        <v>0</v>
      </c>
      <c r="BA100" s="75">
        <f>'03 - Vedlejší rozpočtové ...'!F34</f>
        <v>0</v>
      </c>
      <c r="BB100" s="75">
        <f>'03 - Vedlejší rozpočtové ...'!F35</f>
        <v>0</v>
      </c>
      <c r="BC100" s="75">
        <f>'03 - Vedlejší rozpočtové ...'!F36</f>
        <v>0</v>
      </c>
      <c r="BD100" s="77">
        <f>'03 - Vedlejší rozpočtové ...'!F37</f>
        <v>0</v>
      </c>
      <c r="BT100" s="67" t="s">
        <v>81</v>
      </c>
      <c r="BV100" s="67" t="s">
        <v>78</v>
      </c>
      <c r="BW100" s="67" t="s">
        <v>93</v>
      </c>
      <c r="BX100" s="67" t="s">
        <v>4</v>
      </c>
      <c r="CL100" s="67" t="s">
        <v>1</v>
      </c>
      <c r="CM100" s="67" t="s">
        <v>83</v>
      </c>
    </row>
    <row r="101" spans="2:91" s="7" customFormat="1" ht="16.5" customHeight="1">
      <c r="B101" s="60"/>
      <c r="C101" s="61"/>
      <c r="D101" s="795">
        <v>7</v>
      </c>
      <c r="E101" s="795"/>
      <c r="F101" s="795"/>
      <c r="G101" s="795"/>
      <c r="H101" s="795"/>
      <c r="I101" s="113"/>
      <c r="J101" s="795" t="s">
        <v>3523</v>
      </c>
      <c r="K101" s="795"/>
      <c r="L101" s="795"/>
      <c r="M101" s="795"/>
      <c r="N101" s="795"/>
      <c r="O101" s="795"/>
      <c r="P101" s="795"/>
      <c r="Q101" s="795"/>
      <c r="R101" s="795"/>
      <c r="S101" s="795"/>
      <c r="T101" s="795"/>
      <c r="U101" s="795"/>
      <c r="V101" s="795"/>
      <c r="W101" s="795"/>
      <c r="X101" s="795"/>
      <c r="Y101" s="795"/>
      <c r="Z101" s="795"/>
      <c r="AA101" s="795"/>
      <c r="AB101" s="795"/>
      <c r="AC101" s="795"/>
      <c r="AD101" s="795"/>
      <c r="AE101" s="795"/>
      <c r="AF101" s="795"/>
      <c r="AG101" s="803">
        <f>SUM(AG102:AM104)</f>
        <v>0</v>
      </c>
      <c r="AH101" s="796"/>
      <c r="AI101" s="796"/>
      <c r="AJ101" s="796"/>
      <c r="AK101" s="796"/>
      <c r="AL101" s="796"/>
      <c r="AM101" s="796"/>
      <c r="AN101" s="798"/>
      <c r="AO101" s="799"/>
      <c r="AP101" s="799"/>
      <c r="AQ101" s="62" t="s">
        <v>80</v>
      </c>
      <c r="AR101" s="60"/>
      <c r="AS101" s="63">
        <f>ROUND(SUM(AS102:AS103),2)</f>
        <v>0</v>
      </c>
      <c r="AT101" s="64">
        <f aca="true" t="shared" si="1" ref="AT101">ROUND(SUM(AV101:AW101),2)</f>
        <v>0</v>
      </c>
      <c r="AU101" s="65" t="e">
        <f>ROUND(SUM(AU102:AU103),5)</f>
        <v>#REF!</v>
      </c>
      <c r="AV101" s="64">
        <f>ROUND(AZ101*L33,2)</f>
        <v>0</v>
      </c>
      <c r="AW101" s="64">
        <f>ROUND(BA101*L34,2)</f>
        <v>0</v>
      </c>
      <c r="AX101" s="64">
        <f>ROUND(BB101*L33,2)</f>
        <v>0</v>
      </c>
      <c r="AY101" s="64">
        <f>ROUND(BC101*L34,2)</f>
        <v>0</v>
      </c>
      <c r="AZ101" s="64">
        <f>ROUND(SUM(AZ102:AZ103),2)</f>
        <v>0</v>
      </c>
      <c r="BA101" s="64">
        <f>ROUND(SUM(BA102:BA103),2)</f>
        <v>0</v>
      </c>
      <c r="BB101" s="64">
        <f>ROUND(SUM(BB102:BB103),2)</f>
        <v>0</v>
      </c>
      <c r="BC101" s="64">
        <f>ROUND(SUM(BC102:BC103),2)</f>
        <v>0</v>
      </c>
      <c r="BD101" s="66">
        <f>ROUND(SUM(BD102:BD103),2)</f>
        <v>0</v>
      </c>
      <c r="BS101" s="67" t="s">
        <v>75</v>
      </c>
      <c r="BT101" s="67" t="s">
        <v>81</v>
      </c>
      <c r="BV101" s="67" t="s">
        <v>78</v>
      </c>
      <c r="BW101" s="67" t="s">
        <v>90</v>
      </c>
      <c r="BX101" s="67" t="s">
        <v>4</v>
      </c>
      <c r="CL101" s="67" t="s">
        <v>1</v>
      </c>
      <c r="CM101" s="67" t="s">
        <v>83</v>
      </c>
    </row>
    <row r="102" spans="1:90" s="88" customFormat="1" ht="16.5" customHeight="1">
      <c r="A102" s="68" t="s">
        <v>84</v>
      </c>
      <c r="B102" s="39"/>
      <c r="C102" s="87"/>
      <c r="D102" s="87"/>
      <c r="E102" s="790"/>
      <c r="F102" s="790"/>
      <c r="G102" s="790"/>
      <c r="H102" s="790"/>
      <c r="I102" s="790"/>
      <c r="J102" s="87"/>
      <c r="K102" s="790" t="s">
        <v>3520</v>
      </c>
      <c r="L102" s="790"/>
      <c r="M102" s="790"/>
      <c r="N102" s="790"/>
      <c r="O102" s="790"/>
      <c r="P102" s="790"/>
      <c r="Q102" s="790"/>
      <c r="R102" s="790"/>
      <c r="S102" s="790"/>
      <c r="T102" s="790"/>
      <c r="U102" s="790"/>
      <c r="V102" s="790"/>
      <c r="W102" s="790"/>
      <c r="X102" s="790"/>
      <c r="Y102" s="790"/>
      <c r="Z102" s="790"/>
      <c r="AA102" s="790"/>
      <c r="AB102" s="790"/>
      <c r="AC102" s="790"/>
      <c r="AD102" s="790"/>
      <c r="AE102" s="790"/>
      <c r="AF102" s="790"/>
      <c r="AG102" s="797">
        <f>EPS!F10</f>
        <v>0</v>
      </c>
      <c r="AH102" s="797"/>
      <c r="AI102" s="797"/>
      <c r="AJ102" s="797"/>
      <c r="AK102" s="797"/>
      <c r="AL102" s="797"/>
      <c r="AM102" s="797"/>
      <c r="AN102" s="800"/>
      <c r="AO102" s="801"/>
      <c r="AP102" s="801"/>
      <c r="AQ102" s="69" t="s">
        <v>85</v>
      </c>
      <c r="AR102" s="39"/>
      <c r="AS102" s="70">
        <v>0</v>
      </c>
      <c r="AT102" s="71">
        <f aca="true" t="shared" si="2" ref="AT102:AT105">ROUND(SUM(AV102:AW102),2)</f>
        <v>0</v>
      </c>
      <c r="AU102" s="72">
        <f>'01-03 - ZTI'!P132</f>
        <v>0</v>
      </c>
      <c r="AV102" s="71">
        <f>'01-03 - ZTI'!J41</f>
        <v>0</v>
      </c>
      <c r="AW102" s="71">
        <f>'01-03 - ZTI'!J42</f>
        <v>0</v>
      </c>
      <c r="AX102" s="71">
        <f>'01-03 - ZTI'!J43</f>
        <v>0</v>
      </c>
      <c r="AY102" s="71">
        <f>'01-03 - ZTI'!J44</f>
        <v>0</v>
      </c>
      <c r="AZ102" s="71">
        <f>'01-03 - ZTI'!F41</f>
        <v>0</v>
      </c>
      <c r="BA102" s="71">
        <f>'01-03 - ZTI'!F42</f>
        <v>0</v>
      </c>
      <c r="BB102" s="71">
        <f>'01-03 - ZTI'!F43</f>
        <v>0</v>
      </c>
      <c r="BC102" s="71">
        <f>'01-03 - ZTI'!F44</f>
        <v>0</v>
      </c>
      <c r="BD102" s="73">
        <f>'01-03 - ZTI'!F45</f>
        <v>0</v>
      </c>
      <c r="BT102" s="89" t="s">
        <v>83</v>
      </c>
      <c r="BV102" s="89" t="s">
        <v>78</v>
      </c>
      <c r="BW102" s="89" t="s">
        <v>88</v>
      </c>
      <c r="BX102" s="89" t="s">
        <v>82</v>
      </c>
      <c r="CL102" s="89" t="s">
        <v>1</v>
      </c>
    </row>
    <row r="103" spans="1:90" s="88" customFormat="1" ht="16.5" customHeight="1">
      <c r="A103" s="68" t="s">
        <v>84</v>
      </c>
      <c r="B103" s="39"/>
      <c r="C103" s="87"/>
      <c r="D103" s="87"/>
      <c r="E103" s="790"/>
      <c r="F103" s="790"/>
      <c r="G103" s="790"/>
      <c r="H103" s="790"/>
      <c r="I103" s="790"/>
      <c r="J103" s="87"/>
      <c r="K103" s="790" t="s">
        <v>3521</v>
      </c>
      <c r="L103" s="790"/>
      <c r="M103" s="790"/>
      <c r="N103" s="790"/>
      <c r="O103" s="790"/>
      <c r="P103" s="790"/>
      <c r="Q103" s="790"/>
      <c r="R103" s="790"/>
      <c r="S103" s="790"/>
      <c r="T103" s="790"/>
      <c r="U103" s="790"/>
      <c r="V103" s="790"/>
      <c r="W103" s="790"/>
      <c r="X103" s="790"/>
      <c r="Y103" s="790"/>
      <c r="Z103" s="790"/>
      <c r="AA103" s="790"/>
      <c r="AB103" s="790"/>
      <c r="AC103" s="790"/>
      <c r="AD103" s="790"/>
      <c r="AE103" s="790"/>
      <c r="AF103" s="790"/>
      <c r="AG103" s="797">
        <f>EZS!F10</f>
        <v>0</v>
      </c>
      <c r="AH103" s="797"/>
      <c r="AI103" s="797"/>
      <c r="AJ103" s="797"/>
      <c r="AK103" s="797"/>
      <c r="AL103" s="797"/>
      <c r="AM103" s="797"/>
      <c r="AN103" s="800"/>
      <c r="AO103" s="801"/>
      <c r="AP103" s="801"/>
      <c r="AQ103" s="69" t="s">
        <v>85</v>
      </c>
      <c r="AR103" s="39"/>
      <c r="AS103" s="70">
        <v>0</v>
      </c>
      <c r="AT103" s="71">
        <f t="shared" si="2"/>
        <v>0</v>
      </c>
      <c r="AU103" s="72" t="e">
        <f>#REF!</f>
        <v>#REF!</v>
      </c>
      <c r="AV103" s="71">
        <f>'01-03 - ZTI'!J42</f>
        <v>0</v>
      </c>
      <c r="AW103" s="71">
        <f>'01-03 - ZTI'!J43</f>
        <v>0</v>
      </c>
      <c r="AX103" s="71">
        <f>'01-03 - ZTI'!J44</f>
        <v>0</v>
      </c>
      <c r="AY103" s="71">
        <f>'01-03 - ZTI'!J45</f>
        <v>0</v>
      </c>
      <c r="AZ103" s="71">
        <f>'01-03 - ZTI'!F42</f>
        <v>0</v>
      </c>
      <c r="BA103" s="71">
        <f>'01-03 - ZTI'!F43</f>
        <v>0</v>
      </c>
      <c r="BB103" s="71">
        <f>'01-03 - ZTI'!F44</f>
        <v>0</v>
      </c>
      <c r="BC103" s="71">
        <f>'01-03 - ZTI'!F45</f>
        <v>0</v>
      </c>
      <c r="BD103" s="73">
        <f>'01-03 - ZTI'!F46</f>
        <v>0</v>
      </c>
      <c r="BT103" s="89" t="s">
        <v>83</v>
      </c>
      <c r="BV103" s="89" t="s">
        <v>78</v>
      </c>
      <c r="BW103" s="89" t="s">
        <v>88</v>
      </c>
      <c r="BX103" s="89" t="s">
        <v>82</v>
      </c>
      <c r="CL103" s="89" t="s">
        <v>1</v>
      </c>
    </row>
    <row r="104" spans="1:90" s="88" customFormat="1" ht="16.5" customHeight="1">
      <c r="A104" s="68" t="s">
        <v>84</v>
      </c>
      <c r="B104" s="39"/>
      <c r="C104" s="87"/>
      <c r="D104" s="87"/>
      <c r="E104" s="790"/>
      <c r="F104" s="790"/>
      <c r="G104" s="790"/>
      <c r="H104" s="790"/>
      <c r="I104" s="790"/>
      <c r="J104" s="87"/>
      <c r="K104" s="790" t="s">
        <v>3522</v>
      </c>
      <c r="L104" s="790"/>
      <c r="M104" s="790"/>
      <c r="N104" s="790"/>
      <c r="O104" s="790"/>
      <c r="P104" s="790"/>
      <c r="Q104" s="790"/>
      <c r="R104" s="790"/>
      <c r="S104" s="790"/>
      <c r="T104" s="790"/>
      <c r="U104" s="790"/>
      <c r="V104" s="790"/>
      <c r="W104" s="790"/>
      <c r="X104" s="790"/>
      <c r="Y104" s="790"/>
      <c r="Z104" s="790"/>
      <c r="AA104" s="790"/>
      <c r="AB104" s="790"/>
      <c r="AC104" s="790"/>
      <c r="AD104" s="790"/>
      <c r="AE104" s="790"/>
      <c r="AF104" s="790"/>
      <c r="AG104" s="797">
        <f>DTS!F10</f>
        <v>0</v>
      </c>
      <c r="AH104" s="797"/>
      <c r="AI104" s="797"/>
      <c r="AJ104" s="797"/>
      <c r="AK104" s="797"/>
      <c r="AL104" s="797"/>
      <c r="AM104" s="797"/>
      <c r="AN104" s="800"/>
      <c r="AO104" s="801"/>
      <c r="AP104" s="801"/>
      <c r="AQ104" s="69" t="s">
        <v>85</v>
      </c>
      <c r="AR104" s="39"/>
      <c r="AS104" s="70">
        <v>0</v>
      </c>
      <c r="AT104" s="71">
        <f t="shared" si="2"/>
        <v>0</v>
      </c>
      <c r="AU104" s="72">
        <f>'01-03 - ZTI'!P133</f>
        <v>0</v>
      </c>
      <c r="AV104" s="71">
        <f>'01-03 - ZTI'!J43</f>
        <v>0</v>
      </c>
      <c r="AW104" s="71">
        <f>'01-03 - ZTI'!J44</f>
        <v>0</v>
      </c>
      <c r="AX104" s="71">
        <f>'01-03 - ZTI'!J45</f>
        <v>0</v>
      </c>
      <c r="AY104" s="71">
        <f>'01-03 - ZTI'!J46</f>
        <v>0</v>
      </c>
      <c r="AZ104" s="71">
        <f>'01-03 - ZTI'!F43</f>
        <v>0</v>
      </c>
      <c r="BA104" s="71">
        <f>'01-03 - ZTI'!F44</f>
        <v>0</v>
      </c>
      <c r="BB104" s="71">
        <f>'01-03 - ZTI'!F45</f>
        <v>0</v>
      </c>
      <c r="BC104" s="71">
        <f>'01-03 - ZTI'!F46</f>
        <v>0</v>
      </c>
      <c r="BD104" s="73">
        <f>'01-03 - ZTI'!F47</f>
        <v>0</v>
      </c>
      <c r="BT104" s="89" t="s">
        <v>83</v>
      </c>
      <c r="BV104" s="89" t="s">
        <v>78</v>
      </c>
      <c r="BW104" s="89" t="s">
        <v>88</v>
      </c>
      <c r="BX104" s="89" t="s">
        <v>82</v>
      </c>
      <c r="CL104" s="89" t="s">
        <v>1</v>
      </c>
    </row>
    <row r="105" spans="2:91" s="7" customFormat="1" ht="16.5" customHeight="1">
      <c r="B105" s="60"/>
      <c r="C105" s="61"/>
      <c r="D105" s="795">
        <v>8</v>
      </c>
      <c r="E105" s="795"/>
      <c r="F105" s="795"/>
      <c r="G105" s="795"/>
      <c r="H105" s="795"/>
      <c r="I105" s="97"/>
      <c r="J105" s="795" t="s">
        <v>3621</v>
      </c>
      <c r="K105" s="795"/>
      <c r="L105" s="795"/>
      <c r="M105" s="795"/>
      <c r="N105" s="795"/>
      <c r="O105" s="795"/>
      <c r="P105" s="795"/>
      <c r="Q105" s="795"/>
      <c r="R105" s="795"/>
      <c r="S105" s="795"/>
      <c r="T105" s="795"/>
      <c r="U105" s="795"/>
      <c r="V105" s="795"/>
      <c r="W105" s="795"/>
      <c r="X105" s="795"/>
      <c r="Y105" s="795"/>
      <c r="Z105" s="795"/>
      <c r="AA105" s="795"/>
      <c r="AB105" s="795"/>
      <c r="AC105" s="795"/>
      <c r="AD105" s="795"/>
      <c r="AE105" s="795"/>
      <c r="AF105" s="795"/>
      <c r="AG105" s="803">
        <f>'Oprava kanal.přípojky'!L9</f>
        <v>0</v>
      </c>
      <c r="AH105" s="796"/>
      <c r="AI105" s="796"/>
      <c r="AJ105" s="796"/>
      <c r="AK105" s="796"/>
      <c r="AL105" s="796"/>
      <c r="AM105" s="796"/>
      <c r="AN105" s="798"/>
      <c r="AO105" s="799"/>
      <c r="AP105" s="799"/>
      <c r="AQ105" s="62" t="s">
        <v>80</v>
      </c>
      <c r="AR105" s="60"/>
      <c r="AS105" s="63">
        <f>ROUND(SUM(AS106:AS107),2)</f>
        <v>0</v>
      </c>
      <c r="AT105" s="64">
        <f t="shared" si="2"/>
        <v>0</v>
      </c>
      <c r="AU105" s="65">
        <f>ROUND(SUM(AU106:AU107),5)</f>
        <v>0</v>
      </c>
      <c r="AV105" s="64">
        <f>ROUND(AZ105*L37,2)</f>
        <v>0</v>
      </c>
      <c r="AW105" s="64">
        <f>ROUND(BA105*L38,2)</f>
        <v>0</v>
      </c>
      <c r="AX105" s="64">
        <f>ROUND(BB105*L37,2)</f>
        <v>0</v>
      </c>
      <c r="AY105" s="64">
        <f>ROUND(BC105*L38,2)</f>
        <v>0</v>
      </c>
      <c r="AZ105" s="64">
        <f>ROUND(SUM(AZ106:AZ107),2)</f>
        <v>0</v>
      </c>
      <c r="BA105" s="64">
        <f>ROUND(SUM(BA106:BA107),2)</f>
        <v>0</v>
      </c>
      <c r="BB105" s="64">
        <f>ROUND(SUM(BB106:BB107),2)</f>
        <v>0</v>
      </c>
      <c r="BC105" s="64">
        <f>ROUND(SUM(BC106:BC107),2)</f>
        <v>0</v>
      </c>
      <c r="BD105" s="66">
        <f>ROUND(SUM(BD106:BD107),2)</f>
        <v>0</v>
      </c>
      <c r="BS105" s="67" t="s">
        <v>75</v>
      </c>
      <c r="BT105" s="67" t="s">
        <v>81</v>
      </c>
      <c r="BV105" s="67" t="s">
        <v>78</v>
      </c>
      <c r="BW105" s="67" t="s">
        <v>90</v>
      </c>
      <c r="BX105" s="67" t="s">
        <v>4</v>
      </c>
      <c r="CL105" s="67" t="s">
        <v>1</v>
      </c>
      <c r="CM105" s="67" t="s">
        <v>83</v>
      </c>
    </row>
    <row r="106" spans="2:91" s="7" customFormat="1" ht="16.5" customHeight="1">
      <c r="B106" s="60"/>
      <c r="C106" s="61"/>
      <c r="D106" s="795">
        <v>9</v>
      </c>
      <c r="E106" s="795"/>
      <c r="F106" s="795"/>
      <c r="G106" s="795"/>
      <c r="H106" s="795"/>
      <c r="I106" s="104"/>
      <c r="J106" s="795" t="s">
        <v>3623</v>
      </c>
      <c r="K106" s="795"/>
      <c r="L106" s="795"/>
      <c r="M106" s="795"/>
      <c r="N106" s="795"/>
      <c r="O106" s="795"/>
      <c r="P106" s="795"/>
      <c r="Q106" s="795"/>
      <c r="R106" s="795"/>
      <c r="S106" s="795"/>
      <c r="T106" s="795"/>
      <c r="U106" s="795"/>
      <c r="V106" s="795"/>
      <c r="W106" s="795"/>
      <c r="X106" s="795"/>
      <c r="Y106" s="795"/>
      <c r="Z106" s="795"/>
      <c r="AA106" s="795"/>
      <c r="AB106" s="795"/>
      <c r="AC106" s="795"/>
      <c r="AD106" s="795"/>
      <c r="AE106" s="795"/>
      <c r="AF106" s="795"/>
      <c r="AG106" s="803">
        <f>'Oprava žumpy'!L9</f>
        <v>0</v>
      </c>
      <c r="AH106" s="796"/>
      <c r="AI106" s="796"/>
      <c r="AJ106" s="796"/>
      <c r="AK106" s="796"/>
      <c r="AL106" s="796"/>
      <c r="AM106" s="796"/>
      <c r="AN106" s="798"/>
      <c r="AO106" s="799"/>
      <c r="AP106" s="799"/>
      <c r="AQ106" s="62" t="s">
        <v>80</v>
      </c>
      <c r="AR106" s="60"/>
      <c r="AS106" s="63">
        <f>ROUND(SUM(AS107:AS108),2)</f>
        <v>0</v>
      </c>
      <c r="AT106" s="64">
        <f aca="true" t="shared" si="3" ref="AT106:AT107">ROUND(SUM(AV106:AW106),2)</f>
        <v>0</v>
      </c>
      <c r="AU106" s="65">
        <f>ROUND(SUM(AU107:AU108),5)</f>
        <v>0</v>
      </c>
      <c r="AV106" s="64">
        <f>ROUND(AZ106*L38,2)</f>
        <v>0</v>
      </c>
      <c r="AW106" s="64">
        <f>ROUND(BA106*L39,2)</f>
        <v>0</v>
      </c>
      <c r="AX106" s="64">
        <f>ROUND(BB106*L38,2)</f>
        <v>0</v>
      </c>
      <c r="AY106" s="64">
        <f>ROUND(BC106*L39,2)</f>
        <v>0</v>
      </c>
      <c r="AZ106" s="64">
        <f aca="true" t="shared" si="4" ref="AZ106:BD106">ROUND(SUM(AZ107:AZ108),2)</f>
        <v>0</v>
      </c>
      <c r="BA106" s="64">
        <f t="shared" si="4"/>
        <v>0</v>
      </c>
      <c r="BB106" s="64">
        <f t="shared" si="4"/>
        <v>0</v>
      </c>
      <c r="BC106" s="64">
        <f t="shared" si="4"/>
        <v>0</v>
      </c>
      <c r="BD106" s="66">
        <f t="shared" si="4"/>
        <v>0</v>
      </c>
      <c r="BS106" s="67" t="s">
        <v>75</v>
      </c>
      <c r="BT106" s="67" t="s">
        <v>81</v>
      </c>
      <c r="BV106" s="67" t="s">
        <v>78</v>
      </c>
      <c r="BW106" s="67" t="s">
        <v>90</v>
      </c>
      <c r="BX106" s="67" t="s">
        <v>4</v>
      </c>
      <c r="CL106" s="67" t="s">
        <v>1</v>
      </c>
      <c r="CM106" s="67" t="s">
        <v>83</v>
      </c>
    </row>
    <row r="107" spans="2:91" s="7" customFormat="1" ht="16.5" customHeight="1">
      <c r="B107" s="60"/>
      <c r="C107" s="61"/>
      <c r="D107" s="795">
        <v>10</v>
      </c>
      <c r="E107" s="795"/>
      <c r="F107" s="795"/>
      <c r="G107" s="795"/>
      <c r="H107" s="795"/>
      <c r="I107" s="110"/>
      <c r="J107" s="795" t="s">
        <v>3674</v>
      </c>
      <c r="K107" s="795"/>
      <c r="L107" s="795"/>
      <c r="M107" s="795"/>
      <c r="N107" s="795"/>
      <c r="O107" s="795"/>
      <c r="P107" s="795"/>
      <c r="Q107" s="795"/>
      <c r="R107" s="795"/>
      <c r="S107" s="795"/>
      <c r="T107" s="795"/>
      <c r="U107" s="795"/>
      <c r="V107" s="795"/>
      <c r="W107" s="795"/>
      <c r="X107" s="795"/>
      <c r="Y107" s="795"/>
      <c r="Z107" s="795"/>
      <c r="AA107" s="795"/>
      <c r="AB107" s="795"/>
      <c r="AC107" s="795"/>
      <c r="AD107" s="795"/>
      <c r="AE107" s="795"/>
      <c r="AF107" s="795"/>
      <c r="AG107" s="803">
        <f>'Oprava dešťové kanalizace'!L11</f>
        <v>0</v>
      </c>
      <c r="AH107" s="796"/>
      <c r="AI107" s="796"/>
      <c r="AJ107" s="796"/>
      <c r="AK107" s="796"/>
      <c r="AL107" s="796"/>
      <c r="AM107" s="796"/>
      <c r="AN107" s="798"/>
      <c r="AO107" s="799"/>
      <c r="AP107" s="799"/>
      <c r="AQ107" s="62" t="s">
        <v>80</v>
      </c>
      <c r="AR107" s="60"/>
      <c r="AS107" s="63">
        <f>ROUND(SUM(AS108:AS109),2)</f>
        <v>0</v>
      </c>
      <c r="AT107" s="64">
        <f t="shared" si="3"/>
        <v>0</v>
      </c>
      <c r="AU107" s="65">
        <f>ROUND(SUM(AU108:AU109),5)</f>
        <v>0</v>
      </c>
      <c r="AV107" s="64">
        <f>ROUND(AZ107*L39,2)</f>
        <v>0</v>
      </c>
      <c r="AW107" s="64">
        <f>ROUND(BA107*L40,2)</f>
        <v>0</v>
      </c>
      <c r="AX107" s="64">
        <f>ROUND(BB107*L39,2)</f>
        <v>0</v>
      </c>
      <c r="AY107" s="64">
        <f>ROUND(BC107*L40,2)</f>
        <v>0</v>
      </c>
      <c r="AZ107" s="64">
        <f>ROUND(SUM(AZ108:AZ109),2)</f>
        <v>0</v>
      </c>
      <c r="BA107" s="64">
        <f>ROUND(SUM(BA108:BA109),2)</f>
        <v>0</v>
      </c>
      <c r="BB107" s="64">
        <f>ROUND(SUM(BB108:BB109),2)</f>
        <v>0</v>
      </c>
      <c r="BC107" s="64">
        <f>ROUND(SUM(BC108:BC109),2)</f>
        <v>0</v>
      </c>
      <c r="BD107" s="66">
        <f>ROUND(SUM(BD108:BD109),2)</f>
        <v>0</v>
      </c>
      <c r="BS107" s="67" t="s">
        <v>75</v>
      </c>
      <c r="BT107" s="67" t="s">
        <v>81</v>
      </c>
      <c r="BV107" s="67" t="s">
        <v>78</v>
      </c>
      <c r="BW107" s="67" t="s">
        <v>90</v>
      </c>
      <c r="BX107" s="67" t="s">
        <v>4</v>
      </c>
      <c r="CL107" s="67" t="s">
        <v>1</v>
      </c>
      <c r="CM107" s="67" t="s">
        <v>83</v>
      </c>
    </row>
  </sheetData>
  <sheetProtection password="CABD" sheet="1" objects="1" scenarios="1"/>
  <mergeCells count="88">
    <mergeCell ref="D101:H101"/>
    <mergeCell ref="J101:AF101"/>
    <mergeCell ref="AG101:AM101"/>
    <mergeCell ref="AN101:AP101"/>
    <mergeCell ref="E104:I104"/>
    <mergeCell ref="K104:AF104"/>
    <mergeCell ref="AG104:AM104"/>
    <mergeCell ref="AN104:AP104"/>
    <mergeCell ref="E102:I102"/>
    <mergeCell ref="K102:AF102"/>
    <mergeCell ref="AG102:AM102"/>
    <mergeCell ref="AN102:AP102"/>
    <mergeCell ref="E103:I103"/>
    <mergeCell ref="K103:AF103"/>
    <mergeCell ref="AG103:AM103"/>
    <mergeCell ref="AN103:AP103"/>
    <mergeCell ref="AR2:BE2"/>
    <mergeCell ref="AG96:AM96"/>
    <mergeCell ref="AG99:AM99"/>
    <mergeCell ref="AG92:AM92"/>
    <mergeCell ref="AG95:AM95"/>
    <mergeCell ref="AM87:AN87"/>
    <mergeCell ref="AM89:AP89"/>
    <mergeCell ref="AM90:AP90"/>
    <mergeCell ref="AN95:AP95"/>
    <mergeCell ref="AN92:AP92"/>
    <mergeCell ref="AS89:AT91"/>
    <mergeCell ref="AN94:AP94"/>
    <mergeCell ref="AG98:AM98"/>
    <mergeCell ref="AG94:AM94"/>
    <mergeCell ref="K5:AO5"/>
    <mergeCell ref="K6:AO6"/>
    <mergeCell ref="E23:AN23"/>
    <mergeCell ref="AK26:AO26"/>
    <mergeCell ref="AK28:AO28"/>
    <mergeCell ref="L28:P28"/>
    <mergeCell ref="W28:AE28"/>
    <mergeCell ref="W29:AE29"/>
    <mergeCell ref="AK29:AO29"/>
    <mergeCell ref="L29:P29"/>
    <mergeCell ref="AK30:AO30"/>
    <mergeCell ref="W30:AE30"/>
    <mergeCell ref="L30:P30"/>
    <mergeCell ref="AK35:AO35"/>
    <mergeCell ref="X35:AB35"/>
    <mergeCell ref="L31:P31"/>
    <mergeCell ref="AK31:AO31"/>
    <mergeCell ref="W31:AE31"/>
    <mergeCell ref="L32:P32"/>
    <mergeCell ref="W32:AE32"/>
    <mergeCell ref="AK32:AO32"/>
    <mergeCell ref="AK33:AO33"/>
    <mergeCell ref="L33:P33"/>
    <mergeCell ref="W33:AE33"/>
    <mergeCell ref="D107:H107"/>
    <mergeCell ref="J107:AF107"/>
    <mergeCell ref="AG107:AM107"/>
    <mergeCell ref="AN107:AP107"/>
    <mergeCell ref="D105:H105"/>
    <mergeCell ref="J105:AF105"/>
    <mergeCell ref="AG106:AM106"/>
    <mergeCell ref="AN106:AP106"/>
    <mergeCell ref="AG105:AM105"/>
    <mergeCell ref="AN105:AP105"/>
    <mergeCell ref="D106:H106"/>
    <mergeCell ref="J106:AF106"/>
    <mergeCell ref="C92:G92"/>
    <mergeCell ref="D100:H100"/>
    <mergeCell ref="D95:H95"/>
    <mergeCell ref="E96:I96"/>
    <mergeCell ref="E97:I97"/>
    <mergeCell ref="E98:I98"/>
    <mergeCell ref="E99:I99"/>
    <mergeCell ref="K97:AF97"/>
    <mergeCell ref="L85:AO85"/>
    <mergeCell ref="I92:AF92"/>
    <mergeCell ref="J95:AF95"/>
    <mergeCell ref="J100:AF100"/>
    <mergeCell ref="K98:AF98"/>
    <mergeCell ref="K96:AF96"/>
    <mergeCell ref="K99:AF99"/>
    <mergeCell ref="AG100:AM100"/>
    <mergeCell ref="AG97:AM97"/>
    <mergeCell ref="AN100:AP100"/>
    <mergeCell ref="AN96:AP96"/>
    <mergeCell ref="AN99:AP99"/>
    <mergeCell ref="AN98:AP98"/>
    <mergeCell ref="AN97:AP97"/>
  </mergeCells>
  <hyperlinks>
    <hyperlink ref="A96" location="'01-01 - ELE'!C2" display="/"/>
    <hyperlink ref="A97" location="'01-02 - VZT'!C2" display="/"/>
    <hyperlink ref="A98" location="'01-03 - ZTI'!C2" display="/"/>
    <hyperlink ref="A99" location="'01-04 - ÚT'!C2" display="/"/>
    <hyperlink ref="A100" location="'03 - Vedlejší rozpočtové ...'!C2" display="/"/>
    <hyperlink ref="A104" location="'01-03 - ZTI'!C2" display="/"/>
    <hyperlink ref="A103" location="'01-03 - ZTI'!C2" display="/"/>
    <hyperlink ref="A102" location="'01-03 - ZTI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 scale="74" r:id="rId2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2:BM136"/>
  <sheetViews>
    <sheetView showGridLines="0" workbookViewId="0" topLeftCell="A110">
      <pane ySplit="10" topLeftCell="A120" activePane="bottomLeft" state="frozen"/>
      <selection pane="topLeft" activeCell="A110" sqref="A110"/>
      <selection pane="bottomLeft" activeCell="J122" sqref="J122"/>
    </sheetView>
  </sheetViews>
  <sheetFormatPr defaultColWidth="9.140625" defaultRowHeight="12"/>
  <cols>
    <col min="1" max="1" width="8.28125" style="78" customWidth="1"/>
    <col min="2" max="2" width="1.1484375" style="78" customWidth="1"/>
    <col min="3" max="3" width="4.140625" style="78" customWidth="1"/>
    <col min="4" max="4" width="4.28125" style="78" customWidth="1"/>
    <col min="5" max="5" width="17.140625" style="78" customWidth="1"/>
    <col min="6" max="6" width="50.8515625" style="78" customWidth="1"/>
    <col min="7" max="7" width="7.421875" style="78" customWidth="1"/>
    <col min="8" max="8" width="14.00390625" style="78" customWidth="1"/>
    <col min="9" max="9" width="15.8515625" style="78" customWidth="1"/>
    <col min="10" max="10" width="22.28125" style="78" customWidth="1"/>
    <col min="11" max="11" width="22.28125" style="78" hidden="1" customWidth="1"/>
    <col min="12" max="12" width="9.28125" style="78" customWidth="1"/>
    <col min="13" max="13" width="10.8515625" style="78" hidden="1" customWidth="1"/>
    <col min="14" max="14" width="9.28125" style="78" hidden="1" customWidth="1"/>
    <col min="15" max="20" width="14.140625" style="78" hidden="1" customWidth="1"/>
    <col min="21" max="21" width="16.28125" style="78" hidden="1" customWidth="1"/>
    <col min="22" max="22" width="12.28125" style="78" customWidth="1"/>
    <col min="23" max="23" width="16.28125" style="78" customWidth="1"/>
    <col min="24" max="24" width="12.28125" style="78" customWidth="1"/>
    <col min="25" max="25" width="15.00390625" style="78" customWidth="1"/>
    <col min="26" max="26" width="11.00390625" style="78" customWidth="1"/>
    <col min="27" max="27" width="15.00390625" style="78" customWidth="1"/>
    <col min="28" max="28" width="16.28125" style="78" customWidth="1"/>
    <col min="29" max="29" width="11.00390625" style="78" customWidth="1"/>
    <col min="30" max="30" width="15.00390625" style="78" customWidth="1"/>
    <col min="31" max="31" width="16.28125" style="78" customWidth="1"/>
    <col min="32" max="43" width="9.28125" style="78" customWidth="1"/>
    <col min="44" max="65" width="9.28125" style="78" hidden="1" customWidth="1"/>
    <col min="66" max="16384" width="9.28125" style="78" customWidth="1"/>
  </cols>
  <sheetData>
    <row r="1" ht="12"/>
    <row r="2" spans="12:46" ht="36.95" customHeight="1">
      <c r="L2" s="834" t="s">
        <v>5</v>
      </c>
      <c r="M2" s="835"/>
      <c r="N2" s="835"/>
      <c r="O2" s="835"/>
      <c r="P2" s="835"/>
      <c r="Q2" s="835"/>
      <c r="R2" s="835"/>
      <c r="S2" s="835"/>
      <c r="T2" s="835"/>
      <c r="U2" s="835"/>
      <c r="V2" s="835"/>
      <c r="AT2" s="214" t="s">
        <v>93</v>
      </c>
    </row>
    <row r="3" spans="2:46" ht="6.95" customHeight="1">
      <c r="B3" s="215"/>
      <c r="C3" s="216"/>
      <c r="D3" s="216"/>
      <c r="E3" s="216"/>
      <c r="F3" s="216"/>
      <c r="G3" s="216"/>
      <c r="H3" s="216"/>
      <c r="I3" s="216"/>
      <c r="J3" s="216"/>
      <c r="K3" s="216"/>
      <c r="L3" s="218"/>
      <c r="AT3" s="214" t="s">
        <v>83</v>
      </c>
    </row>
    <row r="4" spans="2:46" ht="24.95" customHeight="1">
      <c r="B4" s="218"/>
      <c r="D4" s="219" t="s">
        <v>94</v>
      </c>
      <c r="L4" s="218"/>
      <c r="M4" s="220" t="s">
        <v>10</v>
      </c>
      <c r="AT4" s="214" t="s">
        <v>3</v>
      </c>
    </row>
    <row r="5" spans="2:12" ht="6.95" customHeight="1">
      <c r="B5" s="218"/>
      <c r="L5" s="218"/>
    </row>
    <row r="6" spans="2:12" ht="12" customHeight="1">
      <c r="B6" s="218"/>
      <c r="D6" s="221" t="s">
        <v>14</v>
      </c>
      <c r="L6" s="218"/>
    </row>
    <row r="7" spans="2:12" ht="16.5" customHeight="1">
      <c r="B7" s="218"/>
      <c r="E7" s="832" t="str">
        <f>'Rekapitulace stavby'!K6</f>
        <v>Středisko Okrouhlík - nástavba a stavební úpravy</v>
      </c>
      <c r="F7" s="833"/>
      <c r="G7" s="833"/>
      <c r="H7" s="833"/>
      <c r="L7" s="218"/>
    </row>
    <row r="8" spans="1:31" s="225" customFormat="1" ht="12" customHeight="1">
      <c r="A8" s="222"/>
      <c r="B8" s="223"/>
      <c r="C8" s="222"/>
      <c r="D8" s="221" t="s">
        <v>95</v>
      </c>
      <c r="E8" s="222"/>
      <c r="F8" s="222"/>
      <c r="G8" s="222"/>
      <c r="H8" s="222"/>
      <c r="I8" s="222"/>
      <c r="J8" s="222"/>
      <c r="K8" s="222"/>
      <c r="L8" s="245"/>
      <c r="S8" s="222"/>
      <c r="T8" s="222"/>
      <c r="U8" s="222"/>
      <c r="V8" s="222"/>
      <c r="W8" s="222"/>
      <c r="X8" s="222"/>
      <c r="Y8" s="222"/>
      <c r="Z8" s="222"/>
      <c r="AA8" s="222"/>
      <c r="AB8" s="222"/>
      <c r="AC8" s="222"/>
      <c r="AD8" s="222"/>
      <c r="AE8" s="222"/>
    </row>
    <row r="9" spans="1:31" s="225" customFormat="1" ht="16.5" customHeight="1">
      <c r="A9" s="222"/>
      <c r="B9" s="223"/>
      <c r="C9" s="222"/>
      <c r="D9" s="222"/>
      <c r="E9" s="830" t="s">
        <v>2603</v>
      </c>
      <c r="F9" s="831"/>
      <c r="G9" s="831"/>
      <c r="H9" s="831"/>
      <c r="I9" s="222"/>
      <c r="J9" s="222"/>
      <c r="K9" s="222"/>
      <c r="L9" s="245"/>
      <c r="S9" s="222"/>
      <c r="T9" s="222"/>
      <c r="U9" s="222"/>
      <c r="V9" s="222"/>
      <c r="W9" s="222"/>
      <c r="X9" s="222"/>
      <c r="Y9" s="222"/>
      <c r="Z9" s="222"/>
      <c r="AA9" s="222"/>
      <c r="AB9" s="222"/>
      <c r="AC9" s="222"/>
      <c r="AD9" s="222"/>
      <c r="AE9" s="222"/>
    </row>
    <row r="10" spans="1:31" s="225" customFormat="1" ht="12">
      <c r="A10" s="222"/>
      <c r="B10" s="223"/>
      <c r="C10" s="222"/>
      <c r="D10" s="222"/>
      <c r="E10" s="222"/>
      <c r="F10" s="222"/>
      <c r="G10" s="222"/>
      <c r="H10" s="222"/>
      <c r="I10" s="222"/>
      <c r="J10" s="222"/>
      <c r="K10" s="222"/>
      <c r="L10" s="245"/>
      <c r="S10" s="222"/>
      <c r="T10" s="222"/>
      <c r="U10" s="222"/>
      <c r="V10" s="222"/>
      <c r="W10" s="222"/>
      <c r="X10" s="222"/>
      <c r="Y10" s="222"/>
      <c r="Z10" s="222"/>
      <c r="AA10" s="222"/>
      <c r="AB10" s="222"/>
      <c r="AC10" s="222"/>
      <c r="AD10" s="222"/>
      <c r="AE10" s="222"/>
    </row>
    <row r="11" spans="1:31" s="225" customFormat="1" ht="12" customHeight="1">
      <c r="A11" s="222"/>
      <c r="B11" s="223"/>
      <c r="C11" s="222"/>
      <c r="D11" s="221" t="s">
        <v>16</v>
      </c>
      <c r="E11" s="222"/>
      <c r="F11" s="226" t="s">
        <v>1</v>
      </c>
      <c r="G11" s="222"/>
      <c r="H11" s="222"/>
      <c r="I11" s="221" t="s">
        <v>17</v>
      </c>
      <c r="J11" s="226" t="s">
        <v>1</v>
      </c>
      <c r="K11" s="222"/>
      <c r="L11" s="245"/>
      <c r="S11" s="222"/>
      <c r="T11" s="222"/>
      <c r="U11" s="222"/>
      <c r="V11" s="222"/>
      <c r="W11" s="222"/>
      <c r="X11" s="222"/>
      <c r="Y11" s="222"/>
      <c r="Z11" s="222"/>
      <c r="AA11" s="222"/>
      <c r="AB11" s="222"/>
      <c r="AC11" s="222"/>
      <c r="AD11" s="222"/>
      <c r="AE11" s="222"/>
    </row>
    <row r="12" spans="1:31" s="225" customFormat="1" ht="12" customHeight="1">
      <c r="A12" s="222"/>
      <c r="B12" s="223"/>
      <c r="C12" s="222"/>
      <c r="D12" s="221" t="s">
        <v>18</v>
      </c>
      <c r="E12" s="222"/>
      <c r="F12" s="226" t="s">
        <v>19</v>
      </c>
      <c r="G12" s="222"/>
      <c r="H12" s="222"/>
      <c r="I12" s="221" t="s">
        <v>20</v>
      </c>
      <c r="J12" s="227" t="str">
        <f>'Rekapitulace stavby'!AN8</f>
        <v>8. 10. 2021</v>
      </c>
      <c r="K12" s="222"/>
      <c r="L12" s="245"/>
      <c r="S12" s="222"/>
      <c r="T12" s="222"/>
      <c r="U12" s="222"/>
      <c r="V12" s="222"/>
      <c r="W12" s="222"/>
      <c r="X12" s="222"/>
      <c r="Y12" s="222"/>
      <c r="Z12" s="222"/>
      <c r="AA12" s="222"/>
      <c r="AB12" s="222"/>
      <c r="AC12" s="222"/>
      <c r="AD12" s="222"/>
      <c r="AE12" s="222"/>
    </row>
    <row r="13" spans="1:31" s="225" customFormat="1" ht="10.9" customHeight="1">
      <c r="A13" s="222"/>
      <c r="B13" s="223"/>
      <c r="C13" s="222"/>
      <c r="D13" s="222"/>
      <c r="E13" s="222"/>
      <c r="F13" s="222"/>
      <c r="G13" s="222"/>
      <c r="H13" s="222"/>
      <c r="I13" s="222"/>
      <c r="J13" s="222"/>
      <c r="K13" s="222"/>
      <c r="L13" s="245"/>
      <c r="S13" s="222"/>
      <c r="T13" s="222"/>
      <c r="U13" s="222"/>
      <c r="V13" s="222"/>
      <c r="W13" s="222"/>
      <c r="X13" s="222"/>
      <c r="Y13" s="222"/>
      <c r="Z13" s="222"/>
      <c r="AA13" s="222"/>
      <c r="AB13" s="222"/>
      <c r="AC13" s="222"/>
      <c r="AD13" s="222"/>
      <c r="AE13" s="222"/>
    </row>
    <row r="14" spans="1:31" s="225" customFormat="1" ht="12" customHeight="1">
      <c r="A14" s="222"/>
      <c r="B14" s="223"/>
      <c r="C14" s="222"/>
      <c r="D14" s="221" t="s">
        <v>22</v>
      </c>
      <c r="E14" s="222"/>
      <c r="F14" s="222"/>
      <c r="G14" s="222"/>
      <c r="H14" s="222"/>
      <c r="I14" s="221" t="s">
        <v>23</v>
      </c>
      <c r="J14" s="226" t="s">
        <v>24</v>
      </c>
      <c r="K14" s="222"/>
      <c r="L14" s="245"/>
      <c r="S14" s="222"/>
      <c r="T14" s="222"/>
      <c r="U14" s="222"/>
      <c r="V14" s="222"/>
      <c r="W14" s="222"/>
      <c r="X14" s="222"/>
      <c r="Y14" s="222"/>
      <c r="Z14" s="222"/>
      <c r="AA14" s="222"/>
      <c r="AB14" s="222"/>
      <c r="AC14" s="222"/>
      <c r="AD14" s="222"/>
      <c r="AE14" s="222"/>
    </row>
    <row r="15" spans="1:31" s="225" customFormat="1" ht="18" customHeight="1">
      <c r="A15" s="222"/>
      <c r="B15" s="223"/>
      <c r="C15" s="222"/>
      <c r="D15" s="222"/>
      <c r="E15" s="226" t="s">
        <v>25</v>
      </c>
      <c r="F15" s="222"/>
      <c r="G15" s="222"/>
      <c r="H15" s="222"/>
      <c r="I15" s="221" t="s">
        <v>26</v>
      </c>
      <c r="J15" s="226" t="s">
        <v>27</v>
      </c>
      <c r="K15" s="222"/>
      <c r="L15" s="245"/>
      <c r="S15" s="222"/>
      <c r="T15" s="222"/>
      <c r="U15" s="222"/>
      <c r="V15" s="222"/>
      <c r="W15" s="222"/>
      <c r="X15" s="222"/>
      <c r="Y15" s="222"/>
      <c r="Z15" s="222"/>
      <c r="AA15" s="222"/>
      <c r="AB15" s="222"/>
      <c r="AC15" s="222"/>
      <c r="AD15" s="222"/>
      <c r="AE15" s="222"/>
    </row>
    <row r="16" spans="1:31" s="225" customFormat="1" ht="6.95" customHeight="1">
      <c r="A16" s="222"/>
      <c r="B16" s="223"/>
      <c r="C16" s="222"/>
      <c r="D16" s="222"/>
      <c r="E16" s="222"/>
      <c r="F16" s="222"/>
      <c r="G16" s="222"/>
      <c r="H16" s="222"/>
      <c r="I16" s="222"/>
      <c r="J16" s="222"/>
      <c r="K16" s="222"/>
      <c r="L16" s="245"/>
      <c r="S16" s="222"/>
      <c r="T16" s="222"/>
      <c r="U16" s="222"/>
      <c r="V16" s="222"/>
      <c r="W16" s="222"/>
      <c r="X16" s="222"/>
      <c r="Y16" s="222"/>
      <c r="Z16" s="222"/>
      <c r="AA16" s="222"/>
      <c r="AB16" s="222"/>
      <c r="AC16" s="222"/>
      <c r="AD16" s="222"/>
      <c r="AE16" s="222"/>
    </row>
    <row r="17" spans="1:31" s="225" customFormat="1" ht="12" customHeight="1">
      <c r="A17" s="222"/>
      <c r="B17" s="223"/>
      <c r="C17" s="222"/>
      <c r="D17" s="221" t="s">
        <v>28</v>
      </c>
      <c r="E17" s="222"/>
      <c r="F17" s="222"/>
      <c r="G17" s="222"/>
      <c r="H17" s="222"/>
      <c r="I17" s="221" t="s">
        <v>23</v>
      </c>
      <c r="J17" s="226" t="str">
        <f>'Rekapitulace stavby'!AN13</f>
        <v/>
      </c>
      <c r="K17" s="222"/>
      <c r="L17" s="245"/>
      <c r="S17" s="222"/>
      <c r="T17" s="222"/>
      <c r="U17" s="222"/>
      <c r="V17" s="222"/>
      <c r="W17" s="222"/>
      <c r="X17" s="222"/>
      <c r="Y17" s="222"/>
      <c r="Z17" s="222"/>
      <c r="AA17" s="222"/>
      <c r="AB17" s="222"/>
      <c r="AC17" s="222"/>
      <c r="AD17" s="222"/>
      <c r="AE17" s="222"/>
    </row>
    <row r="18" spans="1:31" s="225" customFormat="1" ht="18" customHeight="1">
      <c r="A18" s="222"/>
      <c r="B18" s="223"/>
      <c r="C18" s="222"/>
      <c r="D18" s="222"/>
      <c r="E18" s="836" t="str">
        <f>'Rekapitulace stavby'!E14</f>
        <v xml:space="preserve"> </v>
      </c>
      <c r="F18" s="836"/>
      <c r="G18" s="836"/>
      <c r="H18" s="836"/>
      <c r="I18" s="221" t="s">
        <v>26</v>
      </c>
      <c r="J18" s="226" t="str">
        <f>'Rekapitulace stavby'!AN14</f>
        <v/>
      </c>
      <c r="K18" s="222"/>
      <c r="L18" s="245"/>
      <c r="S18" s="222"/>
      <c r="T18" s="222"/>
      <c r="U18" s="222"/>
      <c r="V18" s="222"/>
      <c r="W18" s="222"/>
      <c r="X18" s="222"/>
      <c r="Y18" s="222"/>
      <c r="Z18" s="222"/>
      <c r="AA18" s="222"/>
      <c r="AB18" s="222"/>
      <c r="AC18" s="222"/>
      <c r="AD18" s="222"/>
      <c r="AE18" s="222"/>
    </row>
    <row r="19" spans="1:31" s="225" customFormat="1" ht="6.95" customHeight="1">
      <c r="A19" s="222"/>
      <c r="B19" s="223"/>
      <c r="C19" s="222"/>
      <c r="D19" s="222"/>
      <c r="E19" s="222"/>
      <c r="F19" s="222"/>
      <c r="G19" s="222"/>
      <c r="H19" s="222"/>
      <c r="I19" s="222"/>
      <c r="J19" s="222"/>
      <c r="K19" s="222"/>
      <c r="L19" s="245"/>
      <c r="S19" s="222"/>
      <c r="T19" s="222"/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  <c r="AE19" s="222"/>
    </row>
    <row r="20" spans="1:31" s="225" customFormat="1" ht="12" customHeight="1">
      <c r="A20" s="222"/>
      <c r="B20" s="223"/>
      <c r="C20" s="222"/>
      <c r="D20" s="221" t="s">
        <v>30</v>
      </c>
      <c r="E20" s="222"/>
      <c r="F20" s="222"/>
      <c r="G20" s="222"/>
      <c r="H20" s="222"/>
      <c r="I20" s="221" t="s">
        <v>23</v>
      </c>
      <c r="J20" s="226" t="s">
        <v>31</v>
      </c>
      <c r="K20" s="222"/>
      <c r="L20" s="245"/>
      <c r="S20" s="222"/>
      <c r="T20" s="222"/>
      <c r="U20" s="222"/>
      <c r="V20" s="222"/>
      <c r="W20" s="222"/>
      <c r="X20" s="222"/>
      <c r="Y20" s="222"/>
      <c r="Z20" s="222"/>
      <c r="AA20" s="222"/>
      <c r="AB20" s="222"/>
      <c r="AC20" s="222"/>
      <c r="AD20" s="222"/>
      <c r="AE20" s="222"/>
    </row>
    <row r="21" spans="1:31" s="225" customFormat="1" ht="18" customHeight="1">
      <c r="A21" s="222"/>
      <c r="B21" s="223"/>
      <c r="C21" s="222"/>
      <c r="D21" s="222"/>
      <c r="E21" s="226" t="s">
        <v>32</v>
      </c>
      <c r="F21" s="222"/>
      <c r="G21" s="222"/>
      <c r="H21" s="222"/>
      <c r="I21" s="221" t="s">
        <v>26</v>
      </c>
      <c r="J21" s="226" t="s">
        <v>33</v>
      </c>
      <c r="K21" s="222"/>
      <c r="L21" s="245"/>
      <c r="S21" s="222"/>
      <c r="T21" s="222"/>
      <c r="U21" s="222"/>
      <c r="V21" s="222"/>
      <c r="W21" s="222"/>
      <c r="X21" s="222"/>
      <c r="Y21" s="222"/>
      <c r="Z21" s="222"/>
      <c r="AA21" s="222"/>
      <c r="AB21" s="222"/>
      <c r="AC21" s="222"/>
      <c r="AD21" s="222"/>
      <c r="AE21" s="222"/>
    </row>
    <row r="22" spans="1:31" s="225" customFormat="1" ht="6.95" customHeight="1">
      <c r="A22" s="222"/>
      <c r="B22" s="223"/>
      <c r="C22" s="222"/>
      <c r="D22" s="222"/>
      <c r="E22" s="222"/>
      <c r="F22" s="222"/>
      <c r="G22" s="222"/>
      <c r="H22" s="222"/>
      <c r="I22" s="222"/>
      <c r="J22" s="222"/>
      <c r="K22" s="222"/>
      <c r="L22" s="245"/>
      <c r="S22" s="222"/>
      <c r="T22" s="222"/>
      <c r="U22" s="222"/>
      <c r="V22" s="222"/>
      <c r="W22" s="222"/>
      <c r="X22" s="222"/>
      <c r="Y22" s="222"/>
      <c r="Z22" s="222"/>
      <c r="AA22" s="222"/>
      <c r="AB22" s="222"/>
      <c r="AC22" s="222"/>
      <c r="AD22" s="222"/>
      <c r="AE22" s="222"/>
    </row>
    <row r="23" spans="1:31" s="225" customFormat="1" ht="12" customHeight="1">
      <c r="A23" s="222"/>
      <c r="B23" s="223"/>
      <c r="C23" s="222"/>
      <c r="D23" s="221" t="s">
        <v>35</v>
      </c>
      <c r="E23" s="222"/>
      <c r="F23" s="222"/>
      <c r="G23" s="222"/>
      <c r="H23" s="222"/>
      <c r="I23" s="221" t="s">
        <v>23</v>
      </c>
      <c r="J23" s="226" t="str">
        <f>IF('Rekapitulace stavby'!AN19="","",'Rekapitulace stavby'!AN19)</f>
        <v/>
      </c>
      <c r="K23" s="222"/>
      <c r="L23" s="245"/>
      <c r="S23" s="222"/>
      <c r="T23" s="222"/>
      <c r="U23" s="222"/>
      <c r="V23" s="222"/>
      <c r="W23" s="222"/>
      <c r="X23" s="222"/>
      <c r="Y23" s="222"/>
      <c r="Z23" s="222"/>
      <c r="AA23" s="222"/>
      <c r="AB23" s="222"/>
      <c r="AC23" s="222"/>
      <c r="AD23" s="222"/>
      <c r="AE23" s="222"/>
    </row>
    <row r="24" spans="1:31" s="225" customFormat="1" ht="18" customHeight="1">
      <c r="A24" s="222"/>
      <c r="B24" s="223"/>
      <c r="C24" s="222"/>
      <c r="D24" s="222"/>
      <c r="E24" s="226" t="str">
        <f>IF('Rekapitulace stavby'!E20="","",'Rekapitulace stavby'!E20)</f>
        <v xml:space="preserve"> </v>
      </c>
      <c r="F24" s="222"/>
      <c r="G24" s="222"/>
      <c r="H24" s="222"/>
      <c r="I24" s="221" t="s">
        <v>26</v>
      </c>
      <c r="J24" s="226" t="str">
        <f>IF('Rekapitulace stavby'!AN20="","",'Rekapitulace stavby'!AN20)</f>
        <v/>
      </c>
      <c r="K24" s="222"/>
      <c r="L24" s="245"/>
      <c r="S24" s="222"/>
      <c r="T24" s="222"/>
      <c r="U24" s="222"/>
      <c r="V24" s="222"/>
      <c r="W24" s="222"/>
      <c r="X24" s="222"/>
      <c r="Y24" s="222"/>
      <c r="Z24" s="222"/>
      <c r="AA24" s="222"/>
      <c r="AB24" s="222"/>
      <c r="AC24" s="222"/>
      <c r="AD24" s="222"/>
      <c r="AE24" s="222"/>
    </row>
    <row r="25" spans="1:31" s="225" customFormat="1" ht="6.95" customHeight="1">
      <c r="A25" s="222"/>
      <c r="B25" s="223"/>
      <c r="C25" s="222"/>
      <c r="D25" s="222"/>
      <c r="E25" s="222"/>
      <c r="F25" s="222"/>
      <c r="G25" s="222"/>
      <c r="H25" s="222"/>
      <c r="I25" s="222"/>
      <c r="J25" s="222"/>
      <c r="K25" s="222"/>
      <c r="L25" s="245"/>
      <c r="S25" s="222"/>
      <c r="T25" s="222"/>
      <c r="U25" s="222"/>
      <c r="V25" s="222"/>
      <c r="W25" s="222"/>
      <c r="X25" s="222"/>
      <c r="Y25" s="222"/>
      <c r="Z25" s="222"/>
      <c r="AA25" s="222"/>
      <c r="AB25" s="222"/>
      <c r="AC25" s="222"/>
      <c r="AD25" s="222"/>
      <c r="AE25" s="222"/>
    </row>
    <row r="26" spans="1:31" s="225" customFormat="1" ht="12" customHeight="1">
      <c r="A26" s="222"/>
      <c r="B26" s="223"/>
      <c r="C26" s="222"/>
      <c r="D26" s="221" t="s">
        <v>36</v>
      </c>
      <c r="E26" s="222"/>
      <c r="F26" s="222"/>
      <c r="G26" s="222"/>
      <c r="H26" s="222"/>
      <c r="I26" s="222"/>
      <c r="J26" s="222"/>
      <c r="K26" s="222"/>
      <c r="L26" s="245"/>
      <c r="S26" s="222"/>
      <c r="T26" s="222"/>
      <c r="U26" s="222"/>
      <c r="V26" s="222"/>
      <c r="W26" s="222"/>
      <c r="X26" s="222"/>
      <c r="Y26" s="222"/>
      <c r="Z26" s="222"/>
      <c r="AA26" s="222"/>
      <c r="AB26" s="222"/>
      <c r="AC26" s="222"/>
      <c r="AD26" s="222"/>
      <c r="AE26" s="222"/>
    </row>
    <row r="27" spans="1:31" s="230" customFormat="1" ht="16.5" customHeight="1">
      <c r="A27" s="228"/>
      <c r="B27" s="229"/>
      <c r="C27" s="228"/>
      <c r="D27" s="228"/>
      <c r="E27" s="837" t="s">
        <v>1</v>
      </c>
      <c r="F27" s="837"/>
      <c r="G27" s="837"/>
      <c r="H27" s="837"/>
      <c r="I27" s="228"/>
      <c r="J27" s="228"/>
      <c r="K27" s="228"/>
      <c r="L27" s="224"/>
      <c r="S27" s="228"/>
      <c r="T27" s="228"/>
      <c r="U27" s="228"/>
      <c r="V27" s="228"/>
      <c r="W27" s="228"/>
      <c r="X27" s="228"/>
      <c r="Y27" s="228"/>
      <c r="Z27" s="228"/>
      <c r="AA27" s="228"/>
      <c r="AB27" s="228"/>
      <c r="AC27" s="228"/>
      <c r="AD27" s="228"/>
      <c r="AE27" s="228"/>
    </row>
    <row r="28" spans="1:31" s="225" customFormat="1" ht="6.95" customHeight="1">
      <c r="A28" s="222"/>
      <c r="B28" s="223"/>
      <c r="C28" s="222"/>
      <c r="D28" s="222"/>
      <c r="E28" s="222"/>
      <c r="F28" s="222"/>
      <c r="G28" s="222"/>
      <c r="H28" s="222"/>
      <c r="I28" s="222"/>
      <c r="J28" s="222"/>
      <c r="K28" s="222"/>
      <c r="L28" s="245"/>
      <c r="S28" s="222"/>
      <c r="T28" s="222"/>
      <c r="U28" s="222"/>
      <c r="V28" s="222"/>
      <c r="W28" s="222"/>
      <c r="X28" s="222"/>
      <c r="Y28" s="222"/>
      <c r="Z28" s="222"/>
      <c r="AA28" s="222"/>
      <c r="AB28" s="222"/>
      <c r="AC28" s="222"/>
      <c r="AD28" s="222"/>
      <c r="AE28" s="222"/>
    </row>
    <row r="29" spans="1:31" s="225" customFormat="1" ht="6.95" customHeight="1">
      <c r="A29" s="222"/>
      <c r="B29" s="223"/>
      <c r="C29" s="222"/>
      <c r="D29" s="231"/>
      <c r="E29" s="231"/>
      <c r="F29" s="231"/>
      <c r="G29" s="231"/>
      <c r="H29" s="231"/>
      <c r="I29" s="231"/>
      <c r="J29" s="231"/>
      <c r="K29" s="231"/>
      <c r="L29" s="245"/>
      <c r="S29" s="222"/>
      <c r="T29" s="222"/>
      <c r="U29" s="222"/>
      <c r="V29" s="222"/>
      <c r="W29" s="222"/>
      <c r="X29" s="222"/>
      <c r="Y29" s="222"/>
      <c r="Z29" s="222"/>
      <c r="AA29" s="222"/>
      <c r="AB29" s="222"/>
      <c r="AC29" s="222"/>
      <c r="AD29" s="222"/>
      <c r="AE29" s="222"/>
    </row>
    <row r="30" spans="1:31" s="225" customFormat="1" ht="25.35" customHeight="1">
      <c r="A30" s="222"/>
      <c r="B30" s="223"/>
      <c r="C30" s="222"/>
      <c r="D30" s="232" t="s">
        <v>37</v>
      </c>
      <c r="E30" s="222"/>
      <c r="F30" s="222"/>
      <c r="G30" s="222"/>
      <c r="H30" s="222"/>
      <c r="I30" s="222"/>
      <c r="J30" s="233">
        <f>ROUND(J120,2)</f>
        <v>0</v>
      </c>
      <c r="K30" s="222"/>
      <c r="L30" s="245"/>
      <c r="S30" s="222"/>
      <c r="T30" s="222"/>
      <c r="U30" s="222"/>
      <c r="V30" s="222"/>
      <c r="W30" s="222"/>
      <c r="X30" s="222"/>
      <c r="Y30" s="222"/>
      <c r="Z30" s="222"/>
      <c r="AA30" s="222"/>
      <c r="AB30" s="222"/>
      <c r="AC30" s="222"/>
      <c r="AD30" s="222"/>
      <c r="AE30" s="222"/>
    </row>
    <row r="31" spans="1:31" s="225" customFormat="1" ht="6.95" customHeight="1">
      <c r="A31" s="222"/>
      <c r="B31" s="223"/>
      <c r="C31" s="222"/>
      <c r="D31" s="231"/>
      <c r="E31" s="231"/>
      <c r="F31" s="231"/>
      <c r="G31" s="231"/>
      <c r="H31" s="231"/>
      <c r="I31" s="231"/>
      <c r="J31" s="231"/>
      <c r="K31" s="231"/>
      <c r="L31" s="245"/>
      <c r="S31" s="222"/>
      <c r="T31" s="222"/>
      <c r="U31" s="222"/>
      <c r="V31" s="222"/>
      <c r="W31" s="222"/>
      <c r="X31" s="222"/>
      <c r="Y31" s="222"/>
      <c r="Z31" s="222"/>
      <c r="AA31" s="222"/>
      <c r="AB31" s="222"/>
      <c r="AC31" s="222"/>
      <c r="AD31" s="222"/>
      <c r="AE31" s="222"/>
    </row>
    <row r="32" spans="1:31" s="225" customFormat="1" ht="14.45" customHeight="1">
      <c r="A32" s="222"/>
      <c r="B32" s="223"/>
      <c r="C32" s="222"/>
      <c r="D32" s="222"/>
      <c r="E32" s="222"/>
      <c r="F32" s="234" t="s">
        <v>39</v>
      </c>
      <c r="G32" s="222"/>
      <c r="H32" s="222"/>
      <c r="I32" s="234" t="s">
        <v>38</v>
      </c>
      <c r="J32" s="234" t="s">
        <v>40</v>
      </c>
      <c r="K32" s="222"/>
      <c r="L32" s="245"/>
      <c r="S32" s="222"/>
      <c r="T32" s="222"/>
      <c r="U32" s="222"/>
      <c r="V32" s="222"/>
      <c r="W32" s="222"/>
      <c r="X32" s="222"/>
      <c r="Y32" s="222"/>
      <c r="Z32" s="222"/>
      <c r="AA32" s="222"/>
      <c r="AB32" s="222"/>
      <c r="AC32" s="222"/>
      <c r="AD32" s="222"/>
      <c r="AE32" s="222"/>
    </row>
    <row r="33" spans="1:31" s="225" customFormat="1" ht="14.45" customHeight="1">
      <c r="A33" s="222"/>
      <c r="B33" s="223"/>
      <c r="C33" s="222"/>
      <c r="D33" s="235" t="s">
        <v>41</v>
      </c>
      <c r="E33" s="221" t="s">
        <v>42</v>
      </c>
      <c r="F33" s="236">
        <f>ROUND((SUM(BE120:BE134)),2)</f>
        <v>0</v>
      </c>
      <c r="G33" s="222"/>
      <c r="H33" s="222"/>
      <c r="I33" s="237">
        <v>0.21</v>
      </c>
      <c r="J33" s="236">
        <f>ROUND(((SUM(BE120:BE134))*I33),2)</f>
        <v>0</v>
      </c>
      <c r="K33" s="222"/>
      <c r="L33" s="245"/>
      <c r="S33" s="222"/>
      <c r="T33" s="222"/>
      <c r="U33" s="222"/>
      <c r="V33" s="222"/>
      <c r="W33" s="222"/>
      <c r="X33" s="222"/>
      <c r="Y33" s="222"/>
      <c r="Z33" s="222"/>
      <c r="AA33" s="222"/>
      <c r="AB33" s="222"/>
      <c r="AC33" s="222"/>
      <c r="AD33" s="222"/>
      <c r="AE33" s="222"/>
    </row>
    <row r="34" spans="1:31" s="225" customFormat="1" ht="14.45" customHeight="1">
      <c r="A34" s="222"/>
      <c r="B34" s="223"/>
      <c r="C34" s="222"/>
      <c r="D34" s="222"/>
      <c r="E34" s="221" t="s">
        <v>43</v>
      </c>
      <c r="F34" s="236">
        <f>ROUND((SUM(BF120:BF134)),2)</f>
        <v>0</v>
      </c>
      <c r="G34" s="222"/>
      <c r="H34" s="222"/>
      <c r="I34" s="237">
        <v>0.15</v>
      </c>
      <c r="J34" s="236">
        <f>ROUND(((SUM(BF120:BF134))*I34),2)</f>
        <v>0</v>
      </c>
      <c r="K34" s="222"/>
      <c r="L34" s="245"/>
      <c r="S34" s="222"/>
      <c r="T34" s="222"/>
      <c r="U34" s="222"/>
      <c r="V34" s="222"/>
      <c r="W34" s="222"/>
      <c r="X34" s="222"/>
      <c r="Y34" s="222"/>
      <c r="Z34" s="222"/>
      <c r="AA34" s="222"/>
      <c r="AB34" s="222"/>
      <c r="AC34" s="222"/>
      <c r="AD34" s="222"/>
      <c r="AE34" s="222"/>
    </row>
    <row r="35" spans="1:31" s="225" customFormat="1" ht="14.45" customHeight="1" hidden="1">
      <c r="A35" s="222"/>
      <c r="B35" s="223"/>
      <c r="C35" s="222"/>
      <c r="D35" s="222"/>
      <c r="E35" s="221" t="s">
        <v>44</v>
      </c>
      <c r="F35" s="236">
        <f>ROUND((SUM(BG120:BG134)),2)</f>
        <v>0</v>
      </c>
      <c r="G35" s="222"/>
      <c r="H35" s="222"/>
      <c r="I35" s="237">
        <v>0.21</v>
      </c>
      <c r="J35" s="236">
        <f>0</f>
        <v>0</v>
      </c>
      <c r="K35" s="222"/>
      <c r="L35" s="245"/>
      <c r="S35" s="222"/>
      <c r="T35" s="222"/>
      <c r="U35" s="222"/>
      <c r="V35" s="222"/>
      <c r="W35" s="222"/>
      <c r="X35" s="222"/>
      <c r="Y35" s="222"/>
      <c r="Z35" s="222"/>
      <c r="AA35" s="222"/>
      <c r="AB35" s="222"/>
      <c r="AC35" s="222"/>
      <c r="AD35" s="222"/>
      <c r="AE35" s="222"/>
    </row>
    <row r="36" spans="1:31" s="225" customFormat="1" ht="14.45" customHeight="1" hidden="1">
      <c r="A36" s="222"/>
      <c r="B36" s="223"/>
      <c r="C36" s="222"/>
      <c r="D36" s="222"/>
      <c r="E36" s="221" t="s">
        <v>45</v>
      </c>
      <c r="F36" s="236">
        <f>ROUND((SUM(BH120:BH134)),2)</f>
        <v>0</v>
      </c>
      <c r="G36" s="222"/>
      <c r="H36" s="222"/>
      <c r="I36" s="237">
        <v>0.15</v>
      </c>
      <c r="J36" s="236">
        <f>0</f>
        <v>0</v>
      </c>
      <c r="K36" s="222"/>
      <c r="L36" s="245"/>
      <c r="S36" s="222"/>
      <c r="T36" s="222"/>
      <c r="U36" s="222"/>
      <c r="V36" s="222"/>
      <c r="W36" s="222"/>
      <c r="X36" s="222"/>
      <c r="Y36" s="222"/>
      <c r="Z36" s="222"/>
      <c r="AA36" s="222"/>
      <c r="AB36" s="222"/>
      <c r="AC36" s="222"/>
      <c r="AD36" s="222"/>
      <c r="AE36" s="222"/>
    </row>
    <row r="37" spans="1:31" s="225" customFormat="1" ht="14.45" customHeight="1" hidden="1">
      <c r="A37" s="222"/>
      <c r="B37" s="223"/>
      <c r="C37" s="222"/>
      <c r="D37" s="222"/>
      <c r="E37" s="221" t="s">
        <v>46</v>
      </c>
      <c r="F37" s="236">
        <f>ROUND((SUM(BI120:BI134)),2)</f>
        <v>0</v>
      </c>
      <c r="G37" s="222"/>
      <c r="H37" s="222"/>
      <c r="I37" s="237">
        <v>0</v>
      </c>
      <c r="J37" s="236">
        <f>0</f>
        <v>0</v>
      </c>
      <c r="K37" s="222"/>
      <c r="L37" s="245"/>
      <c r="S37" s="222"/>
      <c r="T37" s="222"/>
      <c r="U37" s="222"/>
      <c r="V37" s="222"/>
      <c r="W37" s="222"/>
      <c r="X37" s="222"/>
      <c r="Y37" s="222"/>
      <c r="Z37" s="222"/>
      <c r="AA37" s="222"/>
      <c r="AB37" s="222"/>
      <c r="AC37" s="222"/>
      <c r="AD37" s="222"/>
      <c r="AE37" s="222"/>
    </row>
    <row r="38" spans="1:31" s="225" customFormat="1" ht="6.95" customHeight="1">
      <c r="A38" s="222"/>
      <c r="B38" s="223"/>
      <c r="C38" s="222"/>
      <c r="D38" s="222"/>
      <c r="E38" s="222"/>
      <c r="F38" s="222"/>
      <c r="G38" s="222"/>
      <c r="H38" s="222"/>
      <c r="I38" s="222"/>
      <c r="J38" s="222"/>
      <c r="K38" s="222"/>
      <c r="L38" s="245"/>
      <c r="S38" s="222"/>
      <c r="T38" s="222"/>
      <c r="U38" s="222"/>
      <c r="V38" s="222"/>
      <c r="W38" s="222"/>
      <c r="X38" s="222"/>
      <c r="Y38" s="222"/>
      <c r="Z38" s="222"/>
      <c r="AA38" s="222"/>
      <c r="AB38" s="222"/>
      <c r="AC38" s="222"/>
      <c r="AD38" s="222"/>
      <c r="AE38" s="222"/>
    </row>
    <row r="39" spans="1:31" s="225" customFormat="1" ht="25.35" customHeight="1">
      <c r="A39" s="222"/>
      <c r="B39" s="223"/>
      <c r="C39" s="238"/>
      <c r="D39" s="239" t="s">
        <v>47</v>
      </c>
      <c r="E39" s="240"/>
      <c r="F39" s="240"/>
      <c r="G39" s="241" t="s">
        <v>48</v>
      </c>
      <c r="H39" s="242" t="s">
        <v>49</v>
      </c>
      <c r="I39" s="240"/>
      <c r="J39" s="243">
        <f>SUM(J30:J37)</f>
        <v>0</v>
      </c>
      <c r="K39" s="244"/>
      <c r="L39" s="245"/>
      <c r="S39" s="222"/>
      <c r="T39" s="222"/>
      <c r="U39" s="222"/>
      <c r="V39" s="222"/>
      <c r="W39" s="222"/>
      <c r="X39" s="222"/>
      <c r="Y39" s="222"/>
      <c r="Z39" s="222"/>
      <c r="AA39" s="222"/>
      <c r="AB39" s="222"/>
      <c r="AC39" s="222"/>
      <c r="AD39" s="222"/>
      <c r="AE39" s="222"/>
    </row>
    <row r="40" spans="1:31" s="225" customFormat="1" ht="14.45" customHeight="1">
      <c r="A40" s="222"/>
      <c r="B40" s="223"/>
      <c r="C40" s="222"/>
      <c r="D40" s="222"/>
      <c r="E40" s="222"/>
      <c r="F40" s="222"/>
      <c r="G40" s="222"/>
      <c r="H40" s="222"/>
      <c r="I40" s="222"/>
      <c r="J40" s="222"/>
      <c r="K40" s="222"/>
      <c r="L40" s="245"/>
      <c r="S40" s="222"/>
      <c r="T40" s="222"/>
      <c r="U40" s="222"/>
      <c r="V40" s="222"/>
      <c r="W40" s="222"/>
      <c r="X40" s="222"/>
      <c r="Y40" s="222"/>
      <c r="Z40" s="222"/>
      <c r="AA40" s="222"/>
      <c r="AB40" s="222"/>
      <c r="AC40" s="222"/>
      <c r="AD40" s="222"/>
      <c r="AE40" s="222"/>
    </row>
    <row r="41" spans="2:12" ht="14.45" customHeight="1">
      <c r="B41" s="218"/>
      <c r="L41" s="218"/>
    </row>
    <row r="42" spans="2:12" ht="14.45" customHeight="1">
      <c r="B42" s="218"/>
      <c r="L42" s="218"/>
    </row>
    <row r="43" spans="2:12" ht="14.45" customHeight="1">
      <c r="B43" s="218"/>
      <c r="L43" s="218"/>
    </row>
    <row r="44" spans="2:12" ht="14.45" customHeight="1">
      <c r="B44" s="218"/>
      <c r="L44" s="218"/>
    </row>
    <row r="45" spans="2:12" ht="14.45" customHeight="1">
      <c r="B45" s="218"/>
      <c r="L45" s="218"/>
    </row>
    <row r="46" spans="2:12" ht="14.45" customHeight="1">
      <c r="B46" s="218"/>
      <c r="L46" s="218"/>
    </row>
    <row r="47" spans="2:12" ht="14.45" customHeight="1">
      <c r="B47" s="218"/>
      <c r="L47" s="218"/>
    </row>
    <row r="48" spans="2:12" ht="14.45" customHeight="1">
      <c r="B48" s="218"/>
      <c r="L48" s="218"/>
    </row>
    <row r="49" spans="2:12" ht="14.45" customHeight="1">
      <c r="B49" s="218"/>
      <c r="L49" s="218"/>
    </row>
    <row r="50" spans="2:12" s="225" customFormat="1" ht="14.45" customHeight="1">
      <c r="B50" s="245"/>
      <c r="D50" s="246" t="s">
        <v>50</v>
      </c>
      <c r="E50" s="247"/>
      <c r="F50" s="247"/>
      <c r="G50" s="246" t="s">
        <v>51</v>
      </c>
      <c r="H50" s="247"/>
      <c r="I50" s="247"/>
      <c r="J50" s="247"/>
      <c r="K50" s="247"/>
      <c r="L50" s="245"/>
    </row>
    <row r="51" spans="2:12" ht="12">
      <c r="B51" s="218"/>
      <c r="L51" s="218"/>
    </row>
    <row r="52" spans="2:12" ht="12">
      <c r="B52" s="218"/>
      <c r="L52" s="218"/>
    </row>
    <row r="53" spans="2:12" ht="12">
      <c r="B53" s="218"/>
      <c r="L53" s="218"/>
    </row>
    <row r="54" spans="2:12" ht="12">
      <c r="B54" s="218"/>
      <c r="L54" s="218"/>
    </row>
    <row r="55" spans="2:12" ht="12">
      <c r="B55" s="218"/>
      <c r="L55" s="218"/>
    </row>
    <row r="56" spans="2:12" ht="12">
      <c r="B56" s="218"/>
      <c r="L56" s="218"/>
    </row>
    <row r="57" spans="2:12" ht="12">
      <c r="B57" s="218"/>
      <c r="L57" s="218"/>
    </row>
    <row r="58" spans="2:12" ht="12">
      <c r="B58" s="218"/>
      <c r="L58" s="218"/>
    </row>
    <row r="59" spans="2:12" ht="12">
      <c r="B59" s="218"/>
      <c r="L59" s="218"/>
    </row>
    <row r="60" spans="2:12" ht="12">
      <c r="B60" s="218"/>
      <c r="L60" s="218"/>
    </row>
    <row r="61" spans="1:31" s="225" customFormat="1" ht="12.75">
      <c r="A61" s="222"/>
      <c r="B61" s="223"/>
      <c r="C61" s="222"/>
      <c r="D61" s="248" t="s">
        <v>52</v>
      </c>
      <c r="E61" s="249"/>
      <c r="F61" s="250" t="s">
        <v>53</v>
      </c>
      <c r="G61" s="248" t="s">
        <v>52</v>
      </c>
      <c r="H61" s="249"/>
      <c r="I61" s="249"/>
      <c r="J61" s="251" t="s">
        <v>53</v>
      </c>
      <c r="K61" s="249"/>
      <c r="L61" s="245"/>
      <c r="S61" s="222"/>
      <c r="T61" s="222"/>
      <c r="U61" s="222"/>
      <c r="V61" s="222"/>
      <c r="W61" s="222"/>
      <c r="X61" s="222"/>
      <c r="Y61" s="222"/>
      <c r="Z61" s="222"/>
      <c r="AA61" s="222"/>
      <c r="AB61" s="222"/>
      <c r="AC61" s="222"/>
      <c r="AD61" s="222"/>
      <c r="AE61" s="222"/>
    </row>
    <row r="62" spans="2:12" ht="12">
      <c r="B62" s="218"/>
      <c r="L62" s="218"/>
    </row>
    <row r="63" spans="2:12" ht="12">
      <c r="B63" s="218"/>
      <c r="L63" s="218"/>
    </row>
    <row r="64" spans="2:12" ht="12">
      <c r="B64" s="218"/>
      <c r="L64" s="218"/>
    </row>
    <row r="65" spans="1:31" s="225" customFormat="1" ht="12.75">
      <c r="A65" s="222"/>
      <c r="B65" s="223"/>
      <c r="C65" s="222"/>
      <c r="D65" s="246" t="s">
        <v>54</v>
      </c>
      <c r="E65" s="252"/>
      <c r="F65" s="252"/>
      <c r="G65" s="246" t="s">
        <v>55</v>
      </c>
      <c r="H65" s="252"/>
      <c r="I65" s="252"/>
      <c r="J65" s="252"/>
      <c r="K65" s="252"/>
      <c r="L65" s="245"/>
      <c r="S65" s="222"/>
      <c r="T65" s="222"/>
      <c r="U65" s="222"/>
      <c r="V65" s="222"/>
      <c r="W65" s="222"/>
      <c r="X65" s="222"/>
      <c r="Y65" s="222"/>
      <c r="Z65" s="222"/>
      <c r="AA65" s="222"/>
      <c r="AB65" s="222"/>
      <c r="AC65" s="222"/>
      <c r="AD65" s="222"/>
      <c r="AE65" s="222"/>
    </row>
    <row r="66" spans="2:12" ht="12">
      <c r="B66" s="218"/>
      <c r="L66" s="218"/>
    </row>
    <row r="67" spans="2:12" ht="12">
      <c r="B67" s="218"/>
      <c r="L67" s="218"/>
    </row>
    <row r="68" spans="2:12" ht="12">
      <c r="B68" s="218"/>
      <c r="L68" s="218"/>
    </row>
    <row r="69" spans="2:12" ht="12">
      <c r="B69" s="218"/>
      <c r="L69" s="218"/>
    </row>
    <row r="70" spans="2:12" ht="12">
      <c r="B70" s="218"/>
      <c r="L70" s="218"/>
    </row>
    <row r="71" spans="2:12" ht="12">
      <c r="B71" s="218"/>
      <c r="L71" s="218"/>
    </row>
    <row r="72" spans="2:12" ht="12">
      <c r="B72" s="218"/>
      <c r="L72" s="218"/>
    </row>
    <row r="73" spans="2:12" ht="12">
      <c r="B73" s="218"/>
      <c r="L73" s="218"/>
    </row>
    <row r="74" spans="2:12" ht="12">
      <c r="B74" s="218"/>
      <c r="L74" s="218"/>
    </row>
    <row r="75" spans="2:12" ht="12">
      <c r="B75" s="218"/>
      <c r="L75" s="218"/>
    </row>
    <row r="76" spans="1:31" s="225" customFormat="1" ht="12.75">
      <c r="A76" s="222"/>
      <c r="B76" s="223"/>
      <c r="C76" s="222"/>
      <c r="D76" s="248" t="s">
        <v>52</v>
      </c>
      <c r="E76" s="249"/>
      <c r="F76" s="250" t="s">
        <v>53</v>
      </c>
      <c r="G76" s="248" t="s">
        <v>52</v>
      </c>
      <c r="H76" s="249"/>
      <c r="I76" s="249"/>
      <c r="J76" s="251" t="s">
        <v>53</v>
      </c>
      <c r="K76" s="249"/>
      <c r="L76" s="245"/>
      <c r="S76" s="222"/>
      <c r="T76" s="222"/>
      <c r="U76" s="222"/>
      <c r="V76" s="222"/>
      <c r="W76" s="222"/>
      <c r="X76" s="222"/>
      <c r="Y76" s="222"/>
      <c r="Z76" s="222"/>
      <c r="AA76" s="222"/>
      <c r="AB76" s="222"/>
      <c r="AC76" s="222"/>
      <c r="AD76" s="222"/>
      <c r="AE76" s="222"/>
    </row>
    <row r="77" spans="1:31" s="225" customFormat="1" ht="14.45" customHeight="1">
      <c r="A77" s="222"/>
      <c r="B77" s="253"/>
      <c r="C77" s="254"/>
      <c r="D77" s="254"/>
      <c r="E77" s="254"/>
      <c r="F77" s="254"/>
      <c r="G77" s="254"/>
      <c r="H77" s="254"/>
      <c r="I77" s="254"/>
      <c r="J77" s="254"/>
      <c r="K77" s="254"/>
      <c r="L77" s="245"/>
      <c r="S77" s="222"/>
      <c r="T77" s="222"/>
      <c r="U77" s="222"/>
      <c r="V77" s="222"/>
      <c r="W77" s="222"/>
      <c r="X77" s="222"/>
      <c r="Y77" s="222"/>
      <c r="Z77" s="222"/>
      <c r="AA77" s="222"/>
      <c r="AB77" s="222"/>
      <c r="AC77" s="222"/>
      <c r="AD77" s="222"/>
      <c r="AE77" s="222"/>
    </row>
    <row r="81" spans="1:31" s="225" customFormat="1" ht="6.95" customHeight="1">
      <c r="A81" s="222"/>
      <c r="B81" s="255"/>
      <c r="C81" s="256"/>
      <c r="D81" s="256"/>
      <c r="E81" s="256"/>
      <c r="F81" s="256"/>
      <c r="G81" s="256"/>
      <c r="H81" s="256"/>
      <c r="I81" s="256"/>
      <c r="J81" s="256"/>
      <c r="K81" s="256"/>
      <c r="L81" s="245"/>
      <c r="S81" s="222"/>
      <c r="T81" s="222"/>
      <c r="U81" s="222"/>
      <c r="V81" s="222"/>
      <c r="W81" s="222"/>
      <c r="X81" s="222"/>
      <c r="Y81" s="222"/>
      <c r="Z81" s="222"/>
      <c r="AA81" s="222"/>
      <c r="AB81" s="222"/>
      <c r="AC81" s="222"/>
      <c r="AD81" s="222"/>
      <c r="AE81" s="222"/>
    </row>
    <row r="82" spans="1:31" s="225" customFormat="1" ht="24.95" customHeight="1">
      <c r="A82" s="222"/>
      <c r="B82" s="223"/>
      <c r="C82" s="219" t="s">
        <v>97</v>
      </c>
      <c r="D82" s="222"/>
      <c r="E82" s="222"/>
      <c r="F82" s="222"/>
      <c r="G82" s="222"/>
      <c r="H82" s="222"/>
      <c r="I82" s="222"/>
      <c r="J82" s="222"/>
      <c r="K82" s="222"/>
      <c r="L82" s="245"/>
      <c r="S82" s="222"/>
      <c r="T82" s="222"/>
      <c r="U82" s="222"/>
      <c r="V82" s="222"/>
      <c r="W82" s="222"/>
      <c r="X82" s="222"/>
      <c r="Y82" s="222"/>
      <c r="Z82" s="222"/>
      <c r="AA82" s="222"/>
      <c r="AB82" s="222"/>
      <c r="AC82" s="222"/>
      <c r="AD82" s="222"/>
      <c r="AE82" s="222"/>
    </row>
    <row r="83" spans="1:31" s="225" customFormat="1" ht="6.95" customHeight="1">
      <c r="A83" s="222"/>
      <c r="B83" s="223"/>
      <c r="C83" s="222"/>
      <c r="D83" s="222"/>
      <c r="E83" s="222"/>
      <c r="F83" s="222"/>
      <c r="G83" s="222"/>
      <c r="H83" s="222"/>
      <c r="I83" s="222"/>
      <c r="J83" s="222"/>
      <c r="K83" s="222"/>
      <c r="L83" s="245"/>
      <c r="S83" s="222"/>
      <c r="T83" s="222"/>
      <c r="U83" s="222"/>
      <c r="V83" s="222"/>
      <c r="W83" s="222"/>
      <c r="X83" s="222"/>
      <c r="Y83" s="222"/>
      <c r="Z83" s="222"/>
      <c r="AA83" s="222"/>
      <c r="AB83" s="222"/>
      <c r="AC83" s="222"/>
      <c r="AD83" s="222"/>
      <c r="AE83" s="222"/>
    </row>
    <row r="84" spans="1:31" s="225" customFormat="1" ht="12" customHeight="1">
      <c r="A84" s="222"/>
      <c r="B84" s="223"/>
      <c r="C84" s="221" t="s">
        <v>14</v>
      </c>
      <c r="D84" s="222"/>
      <c r="E84" s="222"/>
      <c r="F84" s="222"/>
      <c r="G84" s="222"/>
      <c r="H84" s="222"/>
      <c r="I84" s="222"/>
      <c r="J84" s="222"/>
      <c r="K84" s="222"/>
      <c r="L84" s="245"/>
      <c r="S84" s="222"/>
      <c r="T84" s="222"/>
      <c r="U84" s="222"/>
      <c r="V84" s="222"/>
      <c r="W84" s="222"/>
      <c r="X84" s="222"/>
      <c r="Y84" s="222"/>
      <c r="Z84" s="222"/>
      <c r="AA84" s="222"/>
      <c r="AB84" s="222"/>
      <c r="AC84" s="222"/>
      <c r="AD84" s="222"/>
      <c r="AE84" s="222"/>
    </row>
    <row r="85" spans="1:31" s="225" customFormat="1" ht="16.5" customHeight="1">
      <c r="A85" s="222"/>
      <c r="B85" s="223"/>
      <c r="C85" s="222"/>
      <c r="D85" s="222"/>
      <c r="E85" s="832" t="str">
        <f>E7</f>
        <v>Středisko Okrouhlík - nástavba a stavební úpravy</v>
      </c>
      <c r="F85" s="833"/>
      <c r="G85" s="833"/>
      <c r="H85" s="833"/>
      <c r="I85" s="222"/>
      <c r="J85" s="222"/>
      <c r="K85" s="222"/>
      <c r="L85" s="245"/>
      <c r="S85" s="222"/>
      <c r="T85" s="222"/>
      <c r="U85" s="222"/>
      <c r="V85" s="222"/>
      <c r="W85" s="222"/>
      <c r="X85" s="222"/>
      <c r="Y85" s="222"/>
      <c r="Z85" s="222"/>
      <c r="AA85" s="222"/>
      <c r="AB85" s="222"/>
      <c r="AC85" s="222"/>
      <c r="AD85" s="222"/>
      <c r="AE85" s="222"/>
    </row>
    <row r="86" spans="1:31" s="225" customFormat="1" ht="12" customHeight="1">
      <c r="A86" s="222"/>
      <c r="B86" s="223"/>
      <c r="C86" s="221" t="s">
        <v>95</v>
      </c>
      <c r="D86" s="222"/>
      <c r="E86" s="222"/>
      <c r="F86" s="222"/>
      <c r="G86" s="222"/>
      <c r="H86" s="222"/>
      <c r="I86" s="222"/>
      <c r="J86" s="222"/>
      <c r="K86" s="222"/>
      <c r="L86" s="245"/>
      <c r="S86" s="222"/>
      <c r="T86" s="222"/>
      <c r="U86" s="222"/>
      <c r="V86" s="222"/>
      <c r="W86" s="222"/>
      <c r="X86" s="222"/>
      <c r="Y86" s="222"/>
      <c r="Z86" s="222"/>
      <c r="AA86" s="222"/>
      <c r="AB86" s="222"/>
      <c r="AC86" s="222"/>
      <c r="AD86" s="222"/>
      <c r="AE86" s="222"/>
    </row>
    <row r="87" spans="1:31" s="225" customFormat="1" ht="16.5" customHeight="1">
      <c r="A87" s="222"/>
      <c r="B87" s="223"/>
      <c r="C87" s="222"/>
      <c r="D87" s="222"/>
      <c r="E87" s="830" t="str">
        <f>E9</f>
        <v>03 - Vedlejší rozpočtové náklady</v>
      </c>
      <c r="F87" s="831"/>
      <c r="G87" s="831"/>
      <c r="H87" s="831"/>
      <c r="I87" s="222"/>
      <c r="J87" s="222"/>
      <c r="K87" s="222"/>
      <c r="L87" s="245"/>
      <c r="S87" s="222"/>
      <c r="T87" s="222"/>
      <c r="U87" s="222"/>
      <c r="V87" s="222"/>
      <c r="W87" s="222"/>
      <c r="X87" s="222"/>
      <c r="Y87" s="222"/>
      <c r="Z87" s="222"/>
      <c r="AA87" s="222"/>
      <c r="AB87" s="222"/>
      <c r="AC87" s="222"/>
      <c r="AD87" s="222"/>
      <c r="AE87" s="222"/>
    </row>
    <row r="88" spans="1:31" s="225" customFormat="1" ht="6.95" customHeight="1">
      <c r="A88" s="222"/>
      <c r="B88" s="223"/>
      <c r="C88" s="222"/>
      <c r="D88" s="222"/>
      <c r="E88" s="222"/>
      <c r="F88" s="222"/>
      <c r="G88" s="222"/>
      <c r="H88" s="222"/>
      <c r="I88" s="222"/>
      <c r="J88" s="222"/>
      <c r="K88" s="222"/>
      <c r="L88" s="245"/>
      <c r="S88" s="222"/>
      <c r="T88" s="222"/>
      <c r="U88" s="222"/>
      <c r="V88" s="222"/>
      <c r="W88" s="222"/>
      <c r="X88" s="222"/>
      <c r="Y88" s="222"/>
      <c r="Z88" s="222"/>
      <c r="AA88" s="222"/>
      <c r="AB88" s="222"/>
      <c r="AC88" s="222"/>
      <c r="AD88" s="222"/>
      <c r="AE88" s="222"/>
    </row>
    <row r="89" spans="1:31" s="225" customFormat="1" ht="12" customHeight="1">
      <c r="A89" s="222"/>
      <c r="B89" s="223"/>
      <c r="C89" s="221" t="s">
        <v>18</v>
      </c>
      <c r="D89" s="222"/>
      <c r="E89" s="222"/>
      <c r="F89" s="226" t="str">
        <f>F12</f>
        <v>st.p. 1443, k.ú. Staré Benátky</v>
      </c>
      <c r="G89" s="222"/>
      <c r="H89" s="222"/>
      <c r="I89" s="221" t="s">
        <v>20</v>
      </c>
      <c r="J89" s="227" t="str">
        <f>IF(J12="","",J12)</f>
        <v>8. 10. 2021</v>
      </c>
      <c r="K89" s="222"/>
      <c r="L89" s="245"/>
      <c r="S89" s="222"/>
      <c r="T89" s="222"/>
      <c r="U89" s="222"/>
      <c r="V89" s="222"/>
      <c r="W89" s="222"/>
      <c r="X89" s="222"/>
      <c r="Y89" s="222"/>
      <c r="Z89" s="222"/>
      <c r="AA89" s="222"/>
      <c r="AB89" s="222"/>
      <c r="AC89" s="222"/>
      <c r="AD89" s="222"/>
      <c r="AE89" s="222"/>
    </row>
    <row r="90" spans="1:31" s="225" customFormat="1" ht="6.95" customHeight="1">
      <c r="A90" s="222"/>
      <c r="B90" s="223"/>
      <c r="C90" s="222"/>
      <c r="D90" s="222"/>
      <c r="E90" s="222"/>
      <c r="F90" s="222"/>
      <c r="G90" s="222"/>
      <c r="H90" s="222"/>
      <c r="I90" s="222"/>
      <c r="J90" s="222"/>
      <c r="K90" s="222"/>
      <c r="L90" s="245"/>
      <c r="S90" s="222"/>
      <c r="T90" s="222"/>
      <c r="U90" s="222"/>
      <c r="V90" s="222"/>
      <c r="W90" s="222"/>
      <c r="X90" s="222"/>
      <c r="Y90" s="222"/>
      <c r="Z90" s="222"/>
      <c r="AA90" s="222"/>
      <c r="AB90" s="222"/>
      <c r="AC90" s="222"/>
      <c r="AD90" s="222"/>
      <c r="AE90" s="222"/>
    </row>
    <row r="91" spans="1:31" s="225" customFormat="1" ht="54.4" customHeight="1">
      <c r="A91" s="222"/>
      <c r="B91" s="223"/>
      <c r="C91" s="221" t="s">
        <v>22</v>
      </c>
      <c r="D91" s="222"/>
      <c r="E91" s="222"/>
      <c r="F91" s="226" t="str">
        <f>E15</f>
        <v>VaK Mladá Boleslav, Čechova 1151, Mladá Boleslav</v>
      </c>
      <c r="G91" s="222"/>
      <c r="H91" s="222"/>
      <c r="I91" s="221" t="s">
        <v>30</v>
      </c>
      <c r="J91" s="257" t="str">
        <f>E21</f>
        <v>ŽÁROVKA PROJEKTANTI,Křižíkova 788/2,Hradec Králové</v>
      </c>
      <c r="K91" s="222"/>
      <c r="L91" s="245"/>
      <c r="S91" s="222"/>
      <c r="T91" s="222"/>
      <c r="U91" s="222"/>
      <c r="V91" s="222"/>
      <c r="W91" s="222"/>
      <c r="X91" s="222"/>
      <c r="Y91" s="222"/>
      <c r="Z91" s="222"/>
      <c r="AA91" s="222"/>
      <c r="AB91" s="222"/>
      <c r="AC91" s="222"/>
      <c r="AD91" s="222"/>
      <c r="AE91" s="222"/>
    </row>
    <row r="92" spans="1:31" s="225" customFormat="1" ht="15.2" customHeight="1">
      <c r="A92" s="222"/>
      <c r="B92" s="223"/>
      <c r="C92" s="221" t="s">
        <v>28</v>
      </c>
      <c r="D92" s="222"/>
      <c r="E92" s="222"/>
      <c r="F92" s="226" t="str">
        <f>IF(E18="","",E18)</f>
        <v xml:space="preserve"> </v>
      </c>
      <c r="G92" s="222"/>
      <c r="H92" s="222"/>
      <c r="I92" s="221" t="s">
        <v>35</v>
      </c>
      <c r="J92" s="257" t="str">
        <f>E24</f>
        <v xml:space="preserve"> </v>
      </c>
      <c r="K92" s="222"/>
      <c r="L92" s="245"/>
      <c r="S92" s="222"/>
      <c r="T92" s="222"/>
      <c r="U92" s="222"/>
      <c r="V92" s="222"/>
      <c r="W92" s="222"/>
      <c r="X92" s="222"/>
      <c r="Y92" s="222"/>
      <c r="Z92" s="222"/>
      <c r="AA92" s="222"/>
      <c r="AB92" s="222"/>
      <c r="AC92" s="222"/>
      <c r="AD92" s="222"/>
      <c r="AE92" s="222"/>
    </row>
    <row r="93" spans="1:31" s="225" customFormat="1" ht="10.35" customHeight="1">
      <c r="A93" s="222"/>
      <c r="B93" s="223"/>
      <c r="C93" s="222"/>
      <c r="D93" s="222"/>
      <c r="E93" s="222"/>
      <c r="F93" s="222"/>
      <c r="G93" s="222"/>
      <c r="H93" s="222"/>
      <c r="I93" s="222"/>
      <c r="J93" s="222"/>
      <c r="K93" s="222"/>
      <c r="L93" s="245"/>
      <c r="S93" s="222"/>
      <c r="T93" s="222"/>
      <c r="U93" s="222"/>
      <c r="V93" s="222"/>
      <c r="W93" s="222"/>
      <c r="X93" s="222"/>
      <c r="Y93" s="222"/>
      <c r="Z93" s="222"/>
      <c r="AA93" s="222"/>
      <c r="AB93" s="222"/>
      <c r="AC93" s="222"/>
      <c r="AD93" s="222"/>
      <c r="AE93" s="222"/>
    </row>
    <row r="94" spans="1:31" s="225" customFormat="1" ht="29.25" customHeight="1">
      <c r="A94" s="222"/>
      <c r="B94" s="223"/>
      <c r="C94" s="676" t="s">
        <v>98</v>
      </c>
      <c r="D94" s="238"/>
      <c r="E94" s="238"/>
      <c r="F94" s="238"/>
      <c r="G94" s="238"/>
      <c r="H94" s="238"/>
      <c r="I94" s="238"/>
      <c r="J94" s="677" t="s">
        <v>99</v>
      </c>
      <c r="K94" s="238"/>
      <c r="L94" s="245"/>
      <c r="S94" s="222"/>
      <c r="T94" s="222"/>
      <c r="U94" s="222"/>
      <c r="V94" s="222"/>
      <c r="W94" s="222"/>
      <c r="X94" s="222"/>
      <c r="Y94" s="222"/>
      <c r="Z94" s="222"/>
      <c r="AA94" s="222"/>
      <c r="AB94" s="222"/>
      <c r="AC94" s="222"/>
      <c r="AD94" s="222"/>
      <c r="AE94" s="222"/>
    </row>
    <row r="95" spans="1:31" s="225" customFormat="1" ht="10.35" customHeight="1">
      <c r="A95" s="222"/>
      <c r="B95" s="223"/>
      <c r="C95" s="222"/>
      <c r="D95" s="222"/>
      <c r="E95" s="222"/>
      <c r="F95" s="222"/>
      <c r="G95" s="222"/>
      <c r="H95" s="222"/>
      <c r="I95" s="222"/>
      <c r="J95" s="222"/>
      <c r="K95" s="222"/>
      <c r="L95" s="245"/>
      <c r="S95" s="222"/>
      <c r="T95" s="222"/>
      <c r="U95" s="222"/>
      <c r="V95" s="222"/>
      <c r="W95" s="222"/>
      <c r="X95" s="222"/>
      <c r="Y95" s="222"/>
      <c r="Z95" s="222"/>
      <c r="AA95" s="222"/>
      <c r="AB95" s="222"/>
      <c r="AC95" s="222"/>
      <c r="AD95" s="222"/>
      <c r="AE95" s="222"/>
    </row>
    <row r="96" spans="1:47" s="225" customFormat="1" ht="22.9" customHeight="1">
      <c r="A96" s="222"/>
      <c r="B96" s="223"/>
      <c r="C96" s="264" t="s">
        <v>100</v>
      </c>
      <c r="D96" s="222"/>
      <c r="E96" s="222"/>
      <c r="F96" s="222"/>
      <c r="G96" s="222"/>
      <c r="H96" s="222"/>
      <c r="I96" s="222"/>
      <c r="J96" s="233">
        <f>J120</f>
        <v>0</v>
      </c>
      <c r="K96" s="222"/>
      <c r="L96" s="245"/>
      <c r="S96" s="222"/>
      <c r="T96" s="222"/>
      <c r="U96" s="222"/>
      <c r="V96" s="222"/>
      <c r="W96" s="222"/>
      <c r="X96" s="222"/>
      <c r="Y96" s="222"/>
      <c r="Z96" s="222"/>
      <c r="AA96" s="222"/>
      <c r="AB96" s="222"/>
      <c r="AC96" s="222"/>
      <c r="AD96" s="222"/>
      <c r="AE96" s="222"/>
      <c r="AU96" s="214" t="s">
        <v>101</v>
      </c>
    </row>
    <row r="97" spans="2:12" s="266" customFormat="1" ht="24.95" customHeight="1">
      <c r="B97" s="265"/>
      <c r="D97" s="267" t="s">
        <v>2604</v>
      </c>
      <c r="E97" s="268"/>
      <c r="F97" s="268"/>
      <c r="G97" s="268"/>
      <c r="H97" s="268"/>
      <c r="I97" s="268"/>
      <c r="J97" s="269">
        <f>J121</f>
        <v>0</v>
      </c>
      <c r="L97" s="265"/>
    </row>
    <row r="98" spans="2:12" s="272" customFormat="1" ht="19.9" customHeight="1">
      <c r="B98" s="271"/>
      <c r="D98" s="273" t="s">
        <v>2605</v>
      </c>
      <c r="E98" s="274"/>
      <c r="F98" s="274"/>
      <c r="G98" s="274"/>
      <c r="H98" s="274"/>
      <c r="I98" s="274"/>
      <c r="J98" s="275">
        <f>J122</f>
        <v>0</v>
      </c>
      <c r="L98" s="271"/>
    </row>
    <row r="99" spans="2:12" s="272" customFormat="1" ht="19.9" customHeight="1">
      <c r="B99" s="271"/>
      <c r="D99" s="273" t="s">
        <v>2606</v>
      </c>
      <c r="E99" s="274"/>
      <c r="F99" s="274"/>
      <c r="G99" s="274"/>
      <c r="H99" s="274"/>
      <c r="I99" s="274"/>
      <c r="J99" s="275">
        <f>J129</f>
        <v>0</v>
      </c>
      <c r="L99" s="271"/>
    </row>
    <row r="100" spans="2:12" s="272" customFormat="1" ht="19.9" customHeight="1">
      <c r="B100" s="271"/>
      <c r="D100" s="273" t="s">
        <v>2607</v>
      </c>
      <c r="E100" s="274"/>
      <c r="F100" s="274"/>
      <c r="G100" s="274"/>
      <c r="H100" s="274"/>
      <c r="I100" s="274"/>
      <c r="J100" s="275">
        <f>J133</f>
        <v>0</v>
      </c>
      <c r="L100" s="271"/>
    </row>
    <row r="101" spans="1:31" s="225" customFormat="1" ht="21.75" customHeight="1">
      <c r="A101" s="222"/>
      <c r="B101" s="223"/>
      <c r="C101" s="222"/>
      <c r="D101" s="222"/>
      <c r="E101" s="222"/>
      <c r="F101" s="222"/>
      <c r="G101" s="222"/>
      <c r="H101" s="222"/>
      <c r="I101" s="222"/>
      <c r="J101" s="222"/>
      <c r="K101" s="222"/>
      <c r="L101" s="245"/>
      <c r="S101" s="222"/>
      <c r="T101" s="222"/>
      <c r="U101" s="222"/>
      <c r="V101" s="222"/>
      <c r="W101" s="222"/>
      <c r="X101" s="222"/>
      <c r="Y101" s="222"/>
      <c r="Z101" s="222"/>
      <c r="AA101" s="222"/>
      <c r="AB101" s="222"/>
      <c r="AC101" s="222"/>
      <c r="AD101" s="222"/>
      <c r="AE101" s="222"/>
    </row>
    <row r="102" spans="1:31" s="225" customFormat="1" ht="6.95" customHeight="1">
      <c r="A102" s="222"/>
      <c r="B102" s="253"/>
      <c r="C102" s="254"/>
      <c r="D102" s="254"/>
      <c r="E102" s="254"/>
      <c r="F102" s="254"/>
      <c r="G102" s="254"/>
      <c r="H102" s="254"/>
      <c r="I102" s="254"/>
      <c r="J102" s="254"/>
      <c r="K102" s="254"/>
      <c r="L102" s="245"/>
      <c r="S102" s="222"/>
      <c r="T102" s="222"/>
      <c r="U102" s="222"/>
      <c r="V102" s="222"/>
      <c r="W102" s="222"/>
      <c r="X102" s="222"/>
      <c r="Y102" s="222"/>
      <c r="Z102" s="222"/>
      <c r="AA102" s="222"/>
      <c r="AB102" s="222"/>
      <c r="AC102" s="222"/>
      <c r="AD102" s="222"/>
      <c r="AE102" s="222"/>
    </row>
    <row r="106" spans="1:31" s="225" customFormat="1" ht="6.95" customHeight="1">
      <c r="A106" s="222"/>
      <c r="B106" s="255"/>
      <c r="C106" s="256"/>
      <c r="D106" s="256"/>
      <c r="E106" s="256"/>
      <c r="F106" s="256"/>
      <c r="G106" s="256"/>
      <c r="H106" s="256"/>
      <c r="I106" s="256"/>
      <c r="J106" s="256"/>
      <c r="K106" s="256"/>
      <c r="L106" s="245"/>
      <c r="S106" s="222"/>
      <c r="T106" s="222"/>
      <c r="U106" s="222"/>
      <c r="V106" s="222"/>
      <c r="W106" s="222"/>
      <c r="X106" s="222"/>
      <c r="Y106" s="222"/>
      <c r="Z106" s="222"/>
      <c r="AA106" s="222"/>
      <c r="AB106" s="222"/>
      <c r="AC106" s="222"/>
      <c r="AD106" s="222"/>
      <c r="AE106" s="222"/>
    </row>
    <row r="107" spans="1:31" s="225" customFormat="1" ht="24.95" customHeight="1">
      <c r="A107" s="222"/>
      <c r="B107" s="223"/>
      <c r="C107" s="219" t="s">
        <v>131</v>
      </c>
      <c r="D107" s="222"/>
      <c r="E107" s="222"/>
      <c r="F107" s="222"/>
      <c r="G107" s="222"/>
      <c r="H107" s="222"/>
      <c r="I107" s="222"/>
      <c r="J107" s="222"/>
      <c r="K107" s="222"/>
      <c r="L107" s="245"/>
      <c r="S107" s="222"/>
      <c r="T107" s="222"/>
      <c r="U107" s="222"/>
      <c r="V107" s="222"/>
      <c r="W107" s="222"/>
      <c r="X107" s="222"/>
      <c r="Y107" s="222"/>
      <c r="Z107" s="222"/>
      <c r="AA107" s="222"/>
      <c r="AB107" s="222"/>
      <c r="AC107" s="222"/>
      <c r="AD107" s="222"/>
      <c r="AE107" s="222"/>
    </row>
    <row r="108" spans="1:31" s="225" customFormat="1" ht="6.95" customHeight="1">
      <c r="A108" s="222"/>
      <c r="B108" s="223"/>
      <c r="C108" s="222"/>
      <c r="D108" s="222"/>
      <c r="E108" s="222"/>
      <c r="F108" s="222"/>
      <c r="G108" s="222"/>
      <c r="H108" s="222"/>
      <c r="I108" s="222"/>
      <c r="J108" s="222"/>
      <c r="K108" s="222"/>
      <c r="L108" s="245"/>
      <c r="S108" s="222"/>
      <c r="T108" s="222"/>
      <c r="U108" s="222"/>
      <c r="V108" s="222"/>
      <c r="W108" s="222"/>
      <c r="X108" s="222"/>
      <c r="Y108" s="222"/>
      <c r="Z108" s="222"/>
      <c r="AA108" s="222"/>
      <c r="AB108" s="222"/>
      <c r="AC108" s="222"/>
      <c r="AD108" s="222"/>
      <c r="AE108" s="222"/>
    </row>
    <row r="109" spans="1:31" s="225" customFormat="1" ht="12" customHeight="1">
      <c r="A109" s="222"/>
      <c r="B109" s="223"/>
      <c r="C109" s="221" t="s">
        <v>14</v>
      </c>
      <c r="D109" s="222"/>
      <c r="E109" s="222"/>
      <c r="F109" s="222"/>
      <c r="G109" s="222"/>
      <c r="H109" s="222"/>
      <c r="I109" s="222"/>
      <c r="J109" s="222"/>
      <c r="K109" s="222"/>
      <c r="L109" s="245"/>
      <c r="S109" s="222"/>
      <c r="T109" s="222"/>
      <c r="U109" s="222"/>
      <c r="V109" s="222"/>
      <c r="W109" s="222"/>
      <c r="X109" s="222"/>
      <c r="Y109" s="222"/>
      <c r="Z109" s="222"/>
      <c r="AA109" s="222"/>
      <c r="AB109" s="222"/>
      <c r="AC109" s="222"/>
      <c r="AD109" s="222"/>
      <c r="AE109" s="222"/>
    </row>
    <row r="110" spans="1:31" s="225" customFormat="1" ht="16.5" customHeight="1">
      <c r="A110" s="222"/>
      <c r="B110" s="223"/>
      <c r="C110" s="222"/>
      <c r="D110" s="222"/>
      <c r="E110" s="832" t="str">
        <f>E7</f>
        <v>Středisko Okrouhlík - nástavba a stavební úpravy</v>
      </c>
      <c r="F110" s="833"/>
      <c r="G110" s="833"/>
      <c r="H110" s="833"/>
      <c r="I110" s="222"/>
      <c r="J110" s="222"/>
      <c r="K110" s="222"/>
      <c r="L110" s="245"/>
      <c r="S110" s="222"/>
      <c r="T110" s="222"/>
      <c r="U110" s="222"/>
      <c r="V110" s="222"/>
      <c r="W110" s="222"/>
      <c r="X110" s="222"/>
      <c r="Y110" s="222"/>
      <c r="Z110" s="222"/>
      <c r="AA110" s="222"/>
      <c r="AB110" s="222"/>
      <c r="AC110" s="222"/>
      <c r="AD110" s="222"/>
      <c r="AE110" s="222"/>
    </row>
    <row r="111" spans="1:31" s="225" customFormat="1" ht="12" customHeight="1">
      <c r="A111" s="222"/>
      <c r="B111" s="223"/>
      <c r="C111" s="221" t="s">
        <v>95</v>
      </c>
      <c r="D111" s="222"/>
      <c r="E111" s="222"/>
      <c r="F111" s="222"/>
      <c r="G111" s="222"/>
      <c r="H111" s="222"/>
      <c r="I111" s="222"/>
      <c r="J111" s="222"/>
      <c r="K111" s="222"/>
      <c r="L111" s="245"/>
      <c r="S111" s="222"/>
      <c r="T111" s="222"/>
      <c r="U111" s="222"/>
      <c r="V111" s="222"/>
      <c r="W111" s="222"/>
      <c r="X111" s="222"/>
      <c r="Y111" s="222"/>
      <c r="Z111" s="222"/>
      <c r="AA111" s="222"/>
      <c r="AB111" s="222"/>
      <c r="AC111" s="222"/>
      <c r="AD111" s="222"/>
      <c r="AE111" s="222"/>
    </row>
    <row r="112" spans="1:31" s="225" customFormat="1" ht="16.5" customHeight="1">
      <c r="A112" s="222"/>
      <c r="B112" s="223"/>
      <c r="C112" s="222"/>
      <c r="D112" s="222"/>
      <c r="E112" s="830" t="str">
        <f>E9</f>
        <v>03 - Vedlejší rozpočtové náklady</v>
      </c>
      <c r="F112" s="831"/>
      <c r="G112" s="831"/>
      <c r="H112" s="831"/>
      <c r="I112" s="222"/>
      <c r="J112" s="222"/>
      <c r="K112" s="222"/>
      <c r="L112" s="245"/>
      <c r="S112" s="222"/>
      <c r="T112" s="222"/>
      <c r="U112" s="222"/>
      <c r="V112" s="222"/>
      <c r="W112" s="222"/>
      <c r="X112" s="222"/>
      <c r="Y112" s="222"/>
      <c r="Z112" s="222"/>
      <c r="AA112" s="222"/>
      <c r="AB112" s="222"/>
      <c r="AC112" s="222"/>
      <c r="AD112" s="222"/>
      <c r="AE112" s="222"/>
    </row>
    <row r="113" spans="1:31" s="225" customFormat="1" ht="6.95" customHeight="1">
      <c r="A113" s="222"/>
      <c r="B113" s="223"/>
      <c r="C113" s="222"/>
      <c r="D113" s="222"/>
      <c r="E113" s="222"/>
      <c r="F113" s="222"/>
      <c r="G113" s="222"/>
      <c r="H113" s="222"/>
      <c r="I113" s="222"/>
      <c r="J113" s="222"/>
      <c r="K113" s="222"/>
      <c r="L113" s="245"/>
      <c r="S113" s="222"/>
      <c r="T113" s="222"/>
      <c r="U113" s="222"/>
      <c r="V113" s="222"/>
      <c r="W113" s="222"/>
      <c r="X113" s="222"/>
      <c r="Y113" s="222"/>
      <c r="Z113" s="222"/>
      <c r="AA113" s="222"/>
      <c r="AB113" s="222"/>
      <c r="AC113" s="222"/>
      <c r="AD113" s="222"/>
      <c r="AE113" s="222"/>
    </row>
    <row r="114" spans="1:31" s="225" customFormat="1" ht="12" customHeight="1">
      <c r="A114" s="222"/>
      <c r="B114" s="223"/>
      <c r="C114" s="221" t="s">
        <v>18</v>
      </c>
      <c r="D114" s="222"/>
      <c r="E114" s="222"/>
      <c r="F114" s="226" t="str">
        <f>F12</f>
        <v>st.p. 1443, k.ú. Staré Benátky</v>
      </c>
      <c r="G114" s="222"/>
      <c r="H114" s="222"/>
      <c r="I114" s="221" t="s">
        <v>20</v>
      </c>
      <c r="J114" s="227" t="str">
        <f>IF(J12="","",J12)</f>
        <v>8. 10. 2021</v>
      </c>
      <c r="K114" s="222"/>
      <c r="L114" s="245"/>
      <c r="S114" s="222"/>
      <c r="T114" s="222"/>
      <c r="U114" s="222"/>
      <c r="V114" s="222"/>
      <c r="W114" s="222"/>
      <c r="X114" s="222"/>
      <c r="Y114" s="222"/>
      <c r="Z114" s="222"/>
      <c r="AA114" s="222"/>
      <c r="AB114" s="222"/>
      <c r="AC114" s="222"/>
      <c r="AD114" s="222"/>
      <c r="AE114" s="222"/>
    </row>
    <row r="115" spans="1:31" s="225" customFormat="1" ht="6.95" customHeight="1">
      <c r="A115" s="222"/>
      <c r="B115" s="223"/>
      <c r="C115" s="222"/>
      <c r="D115" s="222"/>
      <c r="E115" s="222"/>
      <c r="F115" s="222"/>
      <c r="G115" s="222"/>
      <c r="H115" s="222"/>
      <c r="I115" s="222"/>
      <c r="J115" s="222"/>
      <c r="K115" s="222"/>
      <c r="L115" s="245"/>
      <c r="S115" s="222"/>
      <c r="T115" s="222"/>
      <c r="U115" s="222"/>
      <c r="V115" s="222"/>
      <c r="W115" s="222"/>
      <c r="X115" s="222"/>
      <c r="Y115" s="222"/>
      <c r="Z115" s="222"/>
      <c r="AA115" s="222"/>
      <c r="AB115" s="222"/>
      <c r="AC115" s="222"/>
      <c r="AD115" s="222"/>
      <c r="AE115" s="222"/>
    </row>
    <row r="116" spans="1:31" s="225" customFormat="1" ht="54" customHeight="1">
      <c r="A116" s="222"/>
      <c r="B116" s="223"/>
      <c r="C116" s="221" t="s">
        <v>22</v>
      </c>
      <c r="D116" s="222"/>
      <c r="E116" s="222"/>
      <c r="F116" s="226" t="str">
        <f>E15</f>
        <v>VaK Mladá Boleslav, Čechova 1151, Mladá Boleslav</v>
      </c>
      <c r="G116" s="222"/>
      <c r="H116" s="222"/>
      <c r="I116" s="221" t="s">
        <v>30</v>
      </c>
      <c r="J116" s="257" t="str">
        <f>E21</f>
        <v>ŽÁROVKA PROJEKTANTI,Křižíkova 788/2,Hradec Králové</v>
      </c>
      <c r="K116" s="222"/>
      <c r="L116" s="245"/>
      <c r="S116" s="222"/>
      <c r="T116" s="222"/>
      <c r="U116" s="222"/>
      <c r="V116" s="222"/>
      <c r="W116" s="222"/>
      <c r="X116" s="222"/>
      <c r="Y116" s="222"/>
      <c r="Z116" s="222"/>
      <c r="AA116" s="222"/>
      <c r="AB116" s="222"/>
      <c r="AC116" s="222"/>
      <c r="AD116" s="222"/>
      <c r="AE116" s="222"/>
    </row>
    <row r="117" spans="1:31" s="225" customFormat="1" ht="15.2" customHeight="1">
      <c r="A117" s="222"/>
      <c r="B117" s="223"/>
      <c r="C117" s="221" t="s">
        <v>28</v>
      </c>
      <c r="D117" s="222"/>
      <c r="E117" s="222"/>
      <c r="F117" s="226" t="str">
        <f>IF(E18="","",E18)</f>
        <v xml:space="preserve"> </v>
      </c>
      <c r="G117" s="222"/>
      <c r="H117" s="222"/>
      <c r="I117" s="221" t="s">
        <v>35</v>
      </c>
      <c r="J117" s="257" t="str">
        <f>E24</f>
        <v xml:space="preserve"> </v>
      </c>
      <c r="K117" s="222"/>
      <c r="L117" s="245"/>
      <c r="S117" s="222"/>
      <c r="T117" s="222"/>
      <c r="U117" s="222"/>
      <c r="V117" s="222"/>
      <c r="W117" s="222"/>
      <c r="X117" s="222"/>
      <c r="Y117" s="222"/>
      <c r="Z117" s="222"/>
      <c r="AA117" s="222"/>
      <c r="AB117" s="222"/>
      <c r="AC117" s="222"/>
      <c r="AD117" s="222"/>
      <c r="AE117" s="222"/>
    </row>
    <row r="118" spans="1:31" s="225" customFormat="1" ht="10.35" customHeight="1">
      <c r="A118" s="222"/>
      <c r="B118" s="223"/>
      <c r="C118" s="222"/>
      <c r="D118" s="222"/>
      <c r="E118" s="222"/>
      <c r="F118" s="222"/>
      <c r="G118" s="222"/>
      <c r="H118" s="222"/>
      <c r="I118" s="222"/>
      <c r="J118" s="222"/>
      <c r="K118" s="222"/>
      <c r="L118" s="245"/>
      <c r="S118" s="222"/>
      <c r="T118" s="222"/>
      <c r="U118" s="222"/>
      <c r="V118" s="222"/>
      <c r="W118" s="222"/>
      <c r="X118" s="222"/>
      <c r="Y118" s="222"/>
      <c r="Z118" s="222"/>
      <c r="AA118" s="222"/>
      <c r="AB118" s="222"/>
      <c r="AC118" s="222"/>
      <c r="AD118" s="222"/>
      <c r="AE118" s="222"/>
    </row>
    <row r="119" spans="1:31" s="286" customFormat="1" ht="29.25" customHeight="1">
      <c r="A119" s="277"/>
      <c r="B119" s="278"/>
      <c r="C119" s="279" t="s">
        <v>132</v>
      </c>
      <c r="D119" s="280" t="s">
        <v>61</v>
      </c>
      <c r="E119" s="280" t="s">
        <v>58</v>
      </c>
      <c r="F119" s="280" t="s">
        <v>59</v>
      </c>
      <c r="G119" s="280" t="s">
        <v>133</v>
      </c>
      <c r="H119" s="280" t="s">
        <v>134</v>
      </c>
      <c r="I119" s="280" t="s">
        <v>135</v>
      </c>
      <c r="J119" s="280" t="s">
        <v>99</v>
      </c>
      <c r="K119" s="281" t="s">
        <v>136</v>
      </c>
      <c r="L119" s="282"/>
      <c r="M119" s="283" t="s">
        <v>1</v>
      </c>
      <c r="N119" s="284" t="s">
        <v>41</v>
      </c>
      <c r="O119" s="284" t="s">
        <v>137</v>
      </c>
      <c r="P119" s="284" t="s">
        <v>138</v>
      </c>
      <c r="Q119" s="284" t="s">
        <v>139</v>
      </c>
      <c r="R119" s="284" t="s">
        <v>140</v>
      </c>
      <c r="S119" s="284" t="s">
        <v>141</v>
      </c>
      <c r="T119" s="285" t="s">
        <v>142</v>
      </c>
      <c r="U119" s="277"/>
      <c r="V119" s="277"/>
      <c r="W119" s="277"/>
      <c r="X119" s="277"/>
      <c r="Y119" s="277"/>
      <c r="Z119" s="277"/>
      <c r="AA119" s="277"/>
      <c r="AB119" s="277"/>
      <c r="AC119" s="277"/>
      <c r="AD119" s="277"/>
      <c r="AE119" s="277"/>
    </row>
    <row r="120" spans="1:63" s="225" customFormat="1" ht="22.9" customHeight="1">
      <c r="A120" s="222"/>
      <c r="B120" s="223"/>
      <c r="C120" s="287" t="s">
        <v>143</v>
      </c>
      <c r="D120" s="222"/>
      <c r="E120" s="222"/>
      <c r="F120" s="222"/>
      <c r="G120" s="222"/>
      <c r="H120" s="222"/>
      <c r="I120" s="222"/>
      <c r="J120" s="288">
        <f>J121</f>
        <v>0</v>
      </c>
      <c r="K120" s="222"/>
      <c r="L120" s="223"/>
      <c r="M120" s="289"/>
      <c r="N120" s="290"/>
      <c r="O120" s="231"/>
      <c r="P120" s="291">
        <f>P121</f>
        <v>0</v>
      </c>
      <c r="Q120" s="231"/>
      <c r="R120" s="291">
        <f>R121</f>
        <v>0</v>
      </c>
      <c r="S120" s="231"/>
      <c r="T120" s="659">
        <f>T121</f>
        <v>0</v>
      </c>
      <c r="U120" s="222"/>
      <c r="V120" s="222"/>
      <c r="W120" s="222"/>
      <c r="X120" s="222"/>
      <c r="Y120" s="222"/>
      <c r="Z120" s="222"/>
      <c r="AA120" s="222"/>
      <c r="AB120" s="222"/>
      <c r="AC120" s="222"/>
      <c r="AD120" s="222"/>
      <c r="AE120" s="222"/>
      <c r="AT120" s="214" t="s">
        <v>75</v>
      </c>
      <c r="AU120" s="214" t="s">
        <v>101</v>
      </c>
      <c r="BK120" s="296">
        <f>BK121</f>
        <v>0</v>
      </c>
    </row>
    <row r="121" spans="2:63" s="297" customFormat="1" ht="25.9" customHeight="1">
      <c r="B121" s="298"/>
      <c r="D121" s="299" t="s">
        <v>75</v>
      </c>
      <c r="E121" s="300" t="s">
        <v>2608</v>
      </c>
      <c r="F121" s="300" t="s">
        <v>2609</v>
      </c>
      <c r="J121" s="301">
        <f>SUM(J122,J129,J133)</f>
        <v>0</v>
      </c>
      <c r="L121" s="298"/>
      <c r="M121" s="303"/>
      <c r="N121" s="304"/>
      <c r="O121" s="304"/>
      <c r="P121" s="305">
        <f>P122+P129+P133</f>
        <v>0</v>
      </c>
      <c r="Q121" s="304"/>
      <c r="R121" s="305">
        <f>R122+R129+R133</f>
        <v>0</v>
      </c>
      <c r="S121" s="304"/>
      <c r="T121" s="313">
        <f>T122+T129+T133</f>
        <v>0</v>
      </c>
      <c r="AR121" s="299" t="s">
        <v>177</v>
      </c>
      <c r="AT121" s="308" t="s">
        <v>75</v>
      </c>
      <c r="AU121" s="308" t="s">
        <v>76</v>
      </c>
      <c r="AY121" s="299" t="s">
        <v>146</v>
      </c>
      <c r="BK121" s="309">
        <f>BK122+BK129+BK133</f>
        <v>0</v>
      </c>
    </row>
    <row r="122" spans="2:63" s="297" customFormat="1" ht="22.9" customHeight="1">
      <c r="B122" s="298"/>
      <c r="D122" s="299" t="s">
        <v>75</v>
      </c>
      <c r="E122" s="660" t="s">
        <v>2610</v>
      </c>
      <c r="F122" s="660" t="s">
        <v>2611</v>
      </c>
      <c r="J122" s="311">
        <f>SUM(J123:J128)</f>
        <v>0</v>
      </c>
      <c r="L122" s="298"/>
      <c r="M122" s="303"/>
      <c r="N122" s="304"/>
      <c r="O122" s="304"/>
      <c r="P122" s="305">
        <f>SUM(P123:P125)</f>
        <v>0</v>
      </c>
      <c r="Q122" s="304"/>
      <c r="R122" s="305">
        <f>SUM(R123:R125)</f>
        <v>0</v>
      </c>
      <c r="S122" s="304"/>
      <c r="T122" s="313">
        <f>SUM(T123:T125)</f>
        <v>0</v>
      </c>
      <c r="AR122" s="299" t="s">
        <v>153</v>
      </c>
      <c r="AT122" s="308" t="s">
        <v>75</v>
      </c>
      <c r="AU122" s="308" t="s">
        <v>81</v>
      </c>
      <c r="AY122" s="299" t="s">
        <v>146</v>
      </c>
      <c r="BK122" s="309">
        <f>SUM(BK123:BK125)</f>
        <v>0</v>
      </c>
    </row>
    <row r="123" spans="1:65" s="225" customFormat="1" ht="42" customHeight="1">
      <c r="A123" s="222"/>
      <c r="B123" s="223"/>
      <c r="C123" s="314">
        <v>1</v>
      </c>
      <c r="D123" s="314" t="s">
        <v>148</v>
      </c>
      <c r="E123" s="315"/>
      <c r="F123" s="316" t="s">
        <v>3915</v>
      </c>
      <c r="G123" s="317" t="s">
        <v>864</v>
      </c>
      <c r="H123" s="318">
        <v>1</v>
      </c>
      <c r="I123" s="79"/>
      <c r="J123" s="319">
        <f aca="true" t="shared" si="0" ref="J123:J128">ROUND(I123*H123,2)</f>
        <v>0</v>
      </c>
      <c r="K123" s="316" t="s">
        <v>1</v>
      </c>
      <c r="L123" s="223"/>
      <c r="M123" s="320" t="s">
        <v>1</v>
      </c>
      <c r="N123" s="321" t="s">
        <v>42</v>
      </c>
      <c r="O123" s="322">
        <v>0</v>
      </c>
      <c r="P123" s="322">
        <f aca="true" t="shared" si="1" ref="P123:P128">O123*H123</f>
        <v>0</v>
      </c>
      <c r="Q123" s="322">
        <v>0</v>
      </c>
      <c r="R123" s="322">
        <f aca="true" t="shared" si="2" ref="R123:R128">Q123*H123</f>
        <v>0</v>
      </c>
      <c r="S123" s="322">
        <v>0</v>
      </c>
      <c r="T123" s="323">
        <f aca="true" t="shared" si="3" ref="T123:T128">S123*H123</f>
        <v>0</v>
      </c>
      <c r="U123" s="222"/>
      <c r="V123" s="222"/>
      <c r="W123" s="222"/>
      <c r="X123" s="222"/>
      <c r="Y123" s="222"/>
      <c r="Z123" s="222"/>
      <c r="AA123" s="222"/>
      <c r="AB123" s="222"/>
      <c r="AC123" s="222"/>
      <c r="AD123" s="222"/>
      <c r="AE123" s="222"/>
      <c r="AR123" s="324" t="s">
        <v>153</v>
      </c>
      <c r="AT123" s="324" t="s">
        <v>148</v>
      </c>
      <c r="AU123" s="324" t="s">
        <v>83</v>
      </c>
      <c r="AY123" s="214" t="s">
        <v>146</v>
      </c>
      <c r="BE123" s="325">
        <f aca="true" t="shared" si="4" ref="BE123:BE128">IF(N123="základní",J123,0)</f>
        <v>0</v>
      </c>
      <c r="BF123" s="325">
        <f aca="true" t="shared" si="5" ref="BF123:BF128">IF(N123="snížená",J123,0)</f>
        <v>0</v>
      </c>
      <c r="BG123" s="325">
        <f aca="true" t="shared" si="6" ref="BG123:BG128">IF(N123="zákl. přenesená",J123,0)</f>
        <v>0</v>
      </c>
      <c r="BH123" s="325">
        <f aca="true" t="shared" si="7" ref="BH123:BH128">IF(N123="sníž. přenesená",J123,0)</f>
        <v>0</v>
      </c>
      <c r="BI123" s="325">
        <f aca="true" t="shared" si="8" ref="BI123:BI128">IF(N123="nulová",J123,0)</f>
        <v>0</v>
      </c>
      <c r="BJ123" s="214" t="s">
        <v>81</v>
      </c>
      <c r="BK123" s="325">
        <f aca="true" t="shared" si="9" ref="BK123:BK128">ROUND(I123*H123,2)</f>
        <v>0</v>
      </c>
      <c r="BL123" s="214" t="s">
        <v>153</v>
      </c>
      <c r="BM123" s="324" t="s">
        <v>2613</v>
      </c>
    </row>
    <row r="124" spans="1:65" s="225" customFormat="1" ht="37.9" customHeight="1">
      <c r="A124" s="222"/>
      <c r="B124" s="223"/>
      <c r="C124" s="314">
        <f>C123+1</f>
        <v>2</v>
      </c>
      <c r="D124" s="314" t="s">
        <v>148</v>
      </c>
      <c r="E124" s="315"/>
      <c r="F124" s="316" t="s">
        <v>2614</v>
      </c>
      <c r="G124" s="317" t="s">
        <v>864</v>
      </c>
      <c r="H124" s="318">
        <v>1</v>
      </c>
      <c r="I124" s="79"/>
      <c r="J124" s="319">
        <f t="shared" si="0"/>
        <v>0</v>
      </c>
      <c r="K124" s="316" t="s">
        <v>152</v>
      </c>
      <c r="L124" s="223"/>
      <c r="M124" s="320" t="s">
        <v>1</v>
      </c>
      <c r="N124" s="321" t="s">
        <v>42</v>
      </c>
      <c r="O124" s="322">
        <v>0</v>
      </c>
      <c r="P124" s="322">
        <f t="shared" si="1"/>
        <v>0</v>
      </c>
      <c r="Q124" s="322">
        <v>0</v>
      </c>
      <c r="R124" s="322">
        <f t="shared" si="2"/>
        <v>0</v>
      </c>
      <c r="S124" s="322">
        <v>0</v>
      </c>
      <c r="T124" s="323">
        <f t="shared" si="3"/>
        <v>0</v>
      </c>
      <c r="U124" s="222"/>
      <c r="V124" s="222"/>
      <c r="W124" s="222"/>
      <c r="X124" s="222"/>
      <c r="Y124" s="222"/>
      <c r="Z124" s="222"/>
      <c r="AA124" s="222"/>
      <c r="AB124" s="222"/>
      <c r="AC124" s="222"/>
      <c r="AD124" s="222"/>
      <c r="AE124" s="222"/>
      <c r="AR124" s="324" t="s">
        <v>2612</v>
      </c>
      <c r="AT124" s="324" t="s">
        <v>148</v>
      </c>
      <c r="AU124" s="324" t="s">
        <v>83</v>
      </c>
      <c r="AY124" s="214" t="s">
        <v>146</v>
      </c>
      <c r="BE124" s="325">
        <f t="shared" si="4"/>
        <v>0</v>
      </c>
      <c r="BF124" s="325">
        <f t="shared" si="5"/>
        <v>0</v>
      </c>
      <c r="BG124" s="325">
        <f t="shared" si="6"/>
        <v>0</v>
      </c>
      <c r="BH124" s="325">
        <f t="shared" si="7"/>
        <v>0</v>
      </c>
      <c r="BI124" s="325">
        <f t="shared" si="8"/>
        <v>0</v>
      </c>
      <c r="BJ124" s="214" t="s">
        <v>81</v>
      </c>
      <c r="BK124" s="325">
        <f t="shared" si="9"/>
        <v>0</v>
      </c>
      <c r="BL124" s="214" t="s">
        <v>2612</v>
      </c>
      <c r="BM124" s="324" t="s">
        <v>2615</v>
      </c>
    </row>
    <row r="125" spans="1:65" s="225" customFormat="1" ht="37.9" customHeight="1">
      <c r="A125" s="222"/>
      <c r="B125" s="223"/>
      <c r="C125" s="314">
        <f>C124+1</f>
        <v>3</v>
      </c>
      <c r="D125" s="314" t="s">
        <v>148</v>
      </c>
      <c r="E125" s="315"/>
      <c r="F125" s="316" t="s">
        <v>2616</v>
      </c>
      <c r="G125" s="317" t="s">
        <v>864</v>
      </c>
      <c r="H125" s="318">
        <v>1</v>
      </c>
      <c r="I125" s="79"/>
      <c r="J125" s="319">
        <f t="shared" si="0"/>
        <v>0</v>
      </c>
      <c r="K125" s="316" t="s">
        <v>152</v>
      </c>
      <c r="L125" s="223"/>
      <c r="M125" s="320" t="s">
        <v>1</v>
      </c>
      <c r="N125" s="321" t="s">
        <v>42</v>
      </c>
      <c r="O125" s="322">
        <v>0</v>
      </c>
      <c r="P125" s="322">
        <f t="shared" si="1"/>
        <v>0</v>
      </c>
      <c r="Q125" s="322">
        <v>0</v>
      </c>
      <c r="R125" s="322">
        <f t="shared" si="2"/>
        <v>0</v>
      </c>
      <c r="S125" s="322">
        <v>0</v>
      </c>
      <c r="T125" s="323">
        <f t="shared" si="3"/>
        <v>0</v>
      </c>
      <c r="U125" s="222"/>
      <c r="V125" s="222"/>
      <c r="W125" s="222"/>
      <c r="X125" s="222"/>
      <c r="Y125" s="222"/>
      <c r="Z125" s="222"/>
      <c r="AA125" s="222"/>
      <c r="AB125" s="222"/>
      <c r="AC125" s="222"/>
      <c r="AD125" s="222"/>
      <c r="AE125" s="222"/>
      <c r="AR125" s="324" t="s">
        <v>2612</v>
      </c>
      <c r="AT125" s="324" t="s">
        <v>148</v>
      </c>
      <c r="AU125" s="324" t="s">
        <v>83</v>
      </c>
      <c r="AY125" s="214" t="s">
        <v>146</v>
      </c>
      <c r="BE125" s="325">
        <f t="shared" si="4"/>
        <v>0</v>
      </c>
      <c r="BF125" s="325">
        <f t="shared" si="5"/>
        <v>0</v>
      </c>
      <c r="BG125" s="325">
        <f t="shared" si="6"/>
        <v>0</v>
      </c>
      <c r="BH125" s="325">
        <f t="shared" si="7"/>
        <v>0</v>
      </c>
      <c r="BI125" s="325">
        <f t="shared" si="8"/>
        <v>0</v>
      </c>
      <c r="BJ125" s="214" t="s">
        <v>81</v>
      </c>
      <c r="BK125" s="325">
        <f t="shared" si="9"/>
        <v>0</v>
      </c>
      <c r="BL125" s="214" t="s">
        <v>2612</v>
      </c>
      <c r="BM125" s="324" t="s">
        <v>2617</v>
      </c>
    </row>
    <row r="126" spans="1:65" s="225" customFormat="1" ht="54" customHeight="1">
      <c r="A126" s="768"/>
      <c r="B126" s="223"/>
      <c r="C126" s="314">
        <f>C125+1</f>
        <v>4</v>
      </c>
      <c r="D126" s="314" t="s">
        <v>148</v>
      </c>
      <c r="E126" s="315"/>
      <c r="F126" s="316" t="s">
        <v>3919</v>
      </c>
      <c r="G126" s="317" t="s">
        <v>864</v>
      </c>
      <c r="H126" s="318">
        <v>1</v>
      </c>
      <c r="I126" s="79"/>
      <c r="J126" s="319">
        <f t="shared" si="0"/>
        <v>0</v>
      </c>
      <c r="K126" s="316" t="s">
        <v>152</v>
      </c>
      <c r="L126" s="223"/>
      <c r="M126" s="320" t="s">
        <v>1</v>
      </c>
      <c r="N126" s="321" t="s">
        <v>42</v>
      </c>
      <c r="O126" s="322">
        <v>0</v>
      </c>
      <c r="P126" s="322">
        <f t="shared" si="1"/>
        <v>0</v>
      </c>
      <c r="Q126" s="322">
        <v>0</v>
      </c>
      <c r="R126" s="322">
        <f t="shared" si="2"/>
        <v>0</v>
      </c>
      <c r="S126" s="322">
        <v>0</v>
      </c>
      <c r="T126" s="323">
        <f t="shared" si="3"/>
        <v>0</v>
      </c>
      <c r="U126" s="768"/>
      <c r="V126" s="768"/>
      <c r="W126" s="768"/>
      <c r="X126" s="768"/>
      <c r="Y126" s="768"/>
      <c r="Z126" s="768"/>
      <c r="AA126" s="768"/>
      <c r="AB126" s="768"/>
      <c r="AC126" s="768"/>
      <c r="AD126" s="768"/>
      <c r="AE126" s="768"/>
      <c r="AR126" s="324" t="s">
        <v>2612</v>
      </c>
      <c r="AT126" s="324" t="s">
        <v>148</v>
      </c>
      <c r="AU126" s="324" t="s">
        <v>83</v>
      </c>
      <c r="AY126" s="214" t="s">
        <v>146</v>
      </c>
      <c r="BE126" s="325">
        <f t="shared" si="4"/>
        <v>0</v>
      </c>
      <c r="BF126" s="325">
        <f t="shared" si="5"/>
        <v>0</v>
      </c>
      <c r="BG126" s="325">
        <f t="shared" si="6"/>
        <v>0</v>
      </c>
      <c r="BH126" s="325">
        <f t="shared" si="7"/>
        <v>0</v>
      </c>
      <c r="BI126" s="325">
        <f t="shared" si="8"/>
        <v>0</v>
      </c>
      <c r="BJ126" s="214" t="s">
        <v>81</v>
      </c>
      <c r="BK126" s="325">
        <f t="shared" si="9"/>
        <v>0</v>
      </c>
      <c r="BL126" s="214" t="s">
        <v>2612</v>
      </c>
      <c r="BM126" s="324" t="s">
        <v>2617</v>
      </c>
    </row>
    <row r="127" spans="1:65" s="225" customFormat="1" ht="102" customHeight="1">
      <c r="A127" s="768"/>
      <c r="B127" s="223"/>
      <c r="C127" s="314">
        <f>C126+1</f>
        <v>5</v>
      </c>
      <c r="D127" s="314" t="s">
        <v>148</v>
      </c>
      <c r="E127" s="315"/>
      <c r="F127" s="316" t="s">
        <v>3917</v>
      </c>
      <c r="G127" s="317" t="s">
        <v>864</v>
      </c>
      <c r="H127" s="318">
        <v>1</v>
      </c>
      <c r="I127" s="79"/>
      <c r="J127" s="319">
        <f t="shared" si="0"/>
        <v>0</v>
      </c>
      <c r="K127" s="316" t="s">
        <v>152</v>
      </c>
      <c r="L127" s="223"/>
      <c r="M127" s="320" t="s">
        <v>1</v>
      </c>
      <c r="N127" s="321" t="s">
        <v>42</v>
      </c>
      <c r="O127" s="322">
        <v>0</v>
      </c>
      <c r="P127" s="322">
        <f t="shared" si="1"/>
        <v>0</v>
      </c>
      <c r="Q127" s="322">
        <v>0</v>
      </c>
      <c r="R127" s="322">
        <f t="shared" si="2"/>
        <v>0</v>
      </c>
      <c r="S127" s="322">
        <v>0</v>
      </c>
      <c r="T127" s="323">
        <f t="shared" si="3"/>
        <v>0</v>
      </c>
      <c r="U127" s="768"/>
      <c r="V127" s="768"/>
      <c r="W127" s="768"/>
      <c r="X127" s="768"/>
      <c r="Y127" s="768"/>
      <c r="Z127" s="768"/>
      <c r="AA127" s="768"/>
      <c r="AB127" s="768"/>
      <c r="AC127" s="768"/>
      <c r="AD127" s="768"/>
      <c r="AE127" s="768"/>
      <c r="AR127" s="324" t="s">
        <v>2612</v>
      </c>
      <c r="AT127" s="324" t="s">
        <v>148</v>
      </c>
      <c r="AU127" s="324" t="s">
        <v>83</v>
      </c>
      <c r="AY127" s="214" t="s">
        <v>146</v>
      </c>
      <c r="BE127" s="325">
        <f t="shared" si="4"/>
        <v>0</v>
      </c>
      <c r="BF127" s="325">
        <f t="shared" si="5"/>
        <v>0</v>
      </c>
      <c r="BG127" s="325">
        <f t="shared" si="6"/>
        <v>0</v>
      </c>
      <c r="BH127" s="325">
        <f t="shared" si="7"/>
        <v>0</v>
      </c>
      <c r="BI127" s="325">
        <f t="shared" si="8"/>
        <v>0</v>
      </c>
      <c r="BJ127" s="214" t="s">
        <v>81</v>
      </c>
      <c r="BK127" s="325">
        <f t="shared" si="9"/>
        <v>0</v>
      </c>
      <c r="BL127" s="214" t="s">
        <v>2612</v>
      </c>
      <c r="BM127" s="324" t="s">
        <v>2617</v>
      </c>
    </row>
    <row r="128" spans="1:65" s="225" customFormat="1" ht="65.25" customHeight="1">
      <c r="A128" s="768"/>
      <c r="B128" s="223"/>
      <c r="C128" s="314">
        <f>C127+1</f>
        <v>6</v>
      </c>
      <c r="D128" s="314" t="s">
        <v>148</v>
      </c>
      <c r="E128" s="315"/>
      <c r="F128" s="316" t="s">
        <v>3918</v>
      </c>
      <c r="G128" s="317" t="s">
        <v>864</v>
      </c>
      <c r="H128" s="318">
        <v>1</v>
      </c>
      <c r="I128" s="79"/>
      <c r="J128" s="319">
        <f t="shared" si="0"/>
        <v>0</v>
      </c>
      <c r="K128" s="316" t="s">
        <v>152</v>
      </c>
      <c r="L128" s="223"/>
      <c r="M128" s="320" t="s">
        <v>1</v>
      </c>
      <c r="N128" s="321" t="s">
        <v>42</v>
      </c>
      <c r="O128" s="322">
        <v>0</v>
      </c>
      <c r="P128" s="322">
        <f t="shared" si="1"/>
        <v>0</v>
      </c>
      <c r="Q128" s="322">
        <v>0</v>
      </c>
      <c r="R128" s="322">
        <f t="shared" si="2"/>
        <v>0</v>
      </c>
      <c r="S128" s="322">
        <v>0</v>
      </c>
      <c r="T128" s="323">
        <f t="shared" si="3"/>
        <v>0</v>
      </c>
      <c r="U128" s="768"/>
      <c r="V128" s="768"/>
      <c r="W128" s="768"/>
      <c r="X128" s="768"/>
      <c r="Y128" s="768"/>
      <c r="Z128" s="768"/>
      <c r="AA128" s="768"/>
      <c r="AB128" s="768"/>
      <c r="AC128" s="768"/>
      <c r="AD128" s="768"/>
      <c r="AE128" s="768"/>
      <c r="AR128" s="324" t="s">
        <v>2612</v>
      </c>
      <c r="AT128" s="324" t="s">
        <v>148</v>
      </c>
      <c r="AU128" s="324" t="s">
        <v>83</v>
      </c>
      <c r="AY128" s="214" t="s">
        <v>146</v>
      </c>
      <c r="BE128" s="325">
        <f t="shared" si="4"/>
        <v>0</v>
      </c>
      <c r="BF128" s="325">
        <f t="shared" si="5"/>
        <v>0</v>
      </c>
      <c r="BG128" s="325">
        <f t="shared" si="6"/>
        <v>0</v>
      </c>
      <c r="BH128" s="325">
        <f t="shared" si="7"/>
        <v>0</v>
      </c>
      <c r="BI128" s="325">
        <f t="shared" si="8"/>
        <v>0</v>
      </c>
      <c r="BJ128" s="214" t="s">
        <v>81</v>
      </c>
      <c r="BK128" s="325">
        <f t="shared" si="9"/>
        <v>0</v>
      </c>
      <c r="BL128" s="214" t="s">
        <v>2612</v>
      </c>
      <c r="BM128" s="324" t="s">
        <v>2617</v>
      </c>
    </row>
    <row r="129" spans="2:63" s="297" customFormat="1" ht="22.9" customHeight="1">
      <c r="B129" s="298"/>
      <c r="D129" s="299" t="s">
        <v>75</v>
      </c>
      <c r="E129" s="660" t="s">
        <v>2618</v>
      </c>
      <c r="F129" s="660" t="s">
        <v>2619</v>
      </c>
      <c r="I129" s="501"/>
      <c r="J129" s="311">
        <f>SUM(J130:J132)</f>
        <v>0</v>
      </c>
      <c r="L129" s="298"/>
      <c r="M129" s="303"/>
      <c r="N129" s="304"/>
      <c r="O129" s="304"/>
      <c r="P129" s="305">
        <f>SUM(P130:P131)</f>
        <v>0</v>
      </c>
      <c r="Q129" s="304"/>
      <c r="R129" s="305">
        <f>SUM(R130:R131)</f>
        <v>0</v>
      </c>
      <c r="S129" s="304"/>
      <c r="T129" s="313">
        <f>SUM(T130:T131)</f>
        <v>0</v>
      </c>
      <c r="AR129" s="299" t="s">
        <v>177</v>
      </c>
      <c r="AT129" s="308" t="s">
        <v>75</v>
      </c>
      <c r="AU129" s="308" t="s">
        <v>81</v>
      </c>
      <c r="AY129" s="299" t="s">
        <v>146</v>
      </c>
      <c r="BK129" s="309">
        <f>SUM(BK130:BK131)</f>
        <v>0</v>
      </c>
    </row>
    <row r="130" spans="1:65" s="225" customFormat="1" ht="44.25" customHeight="1">
      <c r="A130" s="222"/>
      <c r="B130" s="223"/>
      <c r="C130" s="314">
        <f>C125+1</f>
        <v>4</v>
      </c>
      <c r="D130" s="314" t="s">
        <v>148</v>
      </c>
      <c r="E130" s="315"/>
      <c r="F130" s="316" t="s">
        <v>3911</v>
      </c>
      <c r="G130" s="317" t="s">
        <v>864</v>
      </c>
      <c r="H130" s="318">
        <v>1</v>
      </c>
      <c r="I130" s="79"/>
      <c r="J130" s="319">
        <f>ROUND(I130*H130,2)</f>
        <v>0</v>
      </c>
      <c r="K130" s="316" t="s">
        <v>1</v>
      </c>
      <c r="L130" s="223"/>
      <c r="M130" s="320" t="s">
        <v>1</v>
      </c>
      <c r="N130" s="321" t="s">
        <v>42</v>
      </c>
      <c r="O130" s="322">
        <v>0</v>
      </c>
      <c r="P130" s="322">
        <f>O130*H130</f>
        <v>0</v>
      </c>
      <c r="Q130" s="322">
        <v>0</v>
      </c>
      <c r="R130" s="322">
        <f>Q130*H130</f>
        <v>0</v>
      </c>
      <c r="S130" s="322">
        <v>0</v>
      </c>
      <c r="T130" s="323">
        <f>S130*H130</f>
        <v>0</v>
      </c>
      <c r="U130" s="222"/>
      <c r="V130" s="222"/>
      <c r="W130" s="222"/>
      <c r="X130" s="222"/>
      <c r="Y130" s="222"/>
      <c r="Z130" s="222"/>
      <c r="AA130" s="222"/>
      <c r="AB130" s="222"/>
      <c r="AC130" s="222"/>
      <c r="AD130" s="222"/>
      <c r="AE130" s="222"/>
      <c r="AR130" s="324" t="s">
        <v>153</v>
      </c>
      <c r="AT130" s="324" t="s">
        <v>148</v>
      </c>
      <c r="AU130" s="324" t="s">
        <v>83</v>
      </c>
      <c r="AY130" s="214" t="s">
        <v>146</v>
      </c>
      <c r="BE130" s="325">
        <f>IF(N130="základní",J130,0)</f>
        <v>0</v>
      </c>
      <c r="BF130" s="325">
        <f>IF(N130="snížená",J130,0)</f>
        <v>0</v>
      </c>
      <c r="BG130" s="325">
        <f>IF(N130="zákl. přenesená",J130,0)</f>
        <v>0</v>
      </c>
      <c r="BH130" s="325">
        <f>IF(N130="sníž. přenesená",J130,0)</f>
        <v>0</v>
      </c>
      <c r="BI130" s="325">
        <f>IF(N130="nulová",J130,0)</f>
        <v>0</v>
      </c>
      <c r="BJ130" s="214" t="s">
        <v>81</v>
      </c>
      <c r="BK130" s="325">
        <f>ROUND(I130*H130,2)</f>
        <v>0</v>
      </c>
      <c r="BL130" s="214" t="s">
        <v>153</v>
      </c>
      <c r="BM130" s="324" t="s">
        <v>2620</v>
      </c>
    </row>
    <row r="131" spans="1:65" s="225" customFormat="1" ht="24.2" customHeight="1">
      <c r="A131" s="222"/>
      <c r="B131" s="223"/>
      <c r="C131" s="314">
        <f>C130+1</f>
        <v>5</v>
      </c>
      <c r="D131" s="314" t="s">
        <v>148</v>
      </c>
      <c r="E131" s="315"/>
      <c r="F131" s="316" t="s">
        <v>2621</v>
      </c>
      <c r="G131" s="317" t="s">
        <v>864</v>
      </c>
      <c r="H131" s="318">
        <v>1</v>
      </c>
      <c r="I131" s="79"/>
      <c r="J131" s="319">
        <f>ROUND(I131*H131,2)</f>
        <v>0</v>
      </c>
      <c r="K131" s="316" t="s">
        <v>1</v>
      </c>
      <c r="L131" s="223"/>
      <c r="M131" s="320" t="s">
        <v>1</v>
      </c>
      <c r="N131" s="321" t="s">
        <v>42</v>
      </c>
      <c r="O131" s="322">
        <v>0</v>
      </c>
      <c r="P131" s="322">
        <f>O131*H131</f>
        <v>0</v>
      </c>
      <c r="Q131" s="322">
        <v>0</v>
      </c>
      <c r="R131" s="322">
        <f>Q131*H131</f>
        <v>0</v>
      </c>
      <c r="S131" s="322">
        <v>0</v>
      </c>
      <c r="T131" s="323">
        <f>S131*H131</f>
        <v>0</v>
      </c>
      <c r="U131" s="222"/>
      <c r="V131" s="222"/>
      <c r="W131" s="222"/>
      <c r="X131" s="222"/>
      <c r="Y131" s="222"/>
      <c r="Z131" s="222"/>
      <c r="AA131" s="222"/>
      <c r="AB131" s="222"/>
      <c r="AC131" s="222"/>
      <c r="AD131" s="222"/>
      <c r="AE131" s="222"/>
      <c r="AR131" s="324" t="s">
        <v>2612</v>
      </c>
      <c r="AT131" s="324" t="s">
        <v>148</v>
      </c>
      <c r="AU131" s="324" t="s">
        <v>83</v>
      </c>
      <c r="AY131" s="214" t="s">
        <v>146</v>
      </c>
      <c r="BE131" s="325">
        <f>IF(N131="základní",J131,0)</f>
        <v>0</v>
      </c>
      <c r="BF131" s="325">
        <f>IF(N131="snížená",J131,0)</f>
        <v>0</v>
      </c>
      <c r="BG131" s="325">
        <f>IF(N131="zákl. přenesená",J131,0)</f>
        <v>0</v>
      </c>
      <c r="BH131" s="325">
        <f>IF(N131="sníž. přenesená",J131,0)</f>
        <v>0</v>
      </c>
      <c r="BI131" s="325">
        <f>IF(N131="nulová",J131,0)</f>
        <v>0</v>
      </c>
      <c r="BJ131" s="214" t="s">
        <v>81</v>
      </c>
      <c r="BK131" s="325">
        <f>ROUND(I131*H131,2)</f>
        <v>0</v>
      </c>
      <c r="BL131" s="214" t="s">
        <v>2612</v>
      </c>
      <c r="BM131" s="324" t="s">
        <v>2622</v>
      </c>
    </row>
    <row r="132" spans="1:65" s="225" customFormat="1" ht="24.2" customHeight="1">
      <c r="A132" s="768"/>
      <c r="B132" s="223"/>
      <c r="C132" s="314">
        <f>C131+1</f>
        <v>6</v>
      </c>
      <c r="D132" s="314" t="s">
        <v>148</v>
      </c>
      <c r="E132" s="315"/>
      <c r="F132" s="316" t="s">
        <v>3914</v>
      </c>
      <c r="G132" s="317" t="s">
        <v>864</v>
      </c>
      <c r="H132" s="318">
        <v>1</v>
      </c>
      <c r="I132" s="79"/>
      <c r="J132" s="319">
        <f>ROUND(I132*H132,2)</f>
        <v>0</v>
      </c>
      <c r="K132" s="316" t="s">
        <v>1</v>
      </c>
      <c r="L132" s="223"/>
      <c r="M132" s="320" t="s">
        <v>1</v>
      </c>
      <c r="N132" s="321" t="s">
        <v>42</v>
      </c>
      <c r="O132" s="322">
        <v>0</v>
      </c>
      <c r="P132" s="322">
        <f>O132*H132</f>
        <v>0</v>
      </c>
      <c r="Q132" s="322">
        <v>0</v>
      </c>
      <c r="R132" s="322">
        <f>Q132*H132</f>
        <v>0</v>
      </c>
      <c r="S132" s="322">
        <v>0</v>
      </c>
      <c r="T132" s="323">
        <f>S132*H132</f>
        <v>0</v>
      </c>
      <c r="U132" s="768"/>
      <c r="V132" s="768"/>
      <c r="W132" s="768"/>
      <c r="X132" s="768"/>
      <c r="Y132" s="768"/>
      <c r="Z132" s="768"/>
      <c r="AA132" s="768"/>
      <c r="AB132" s="768"/>
      <c r="AC132" s="768"/>
      <c r="AD132" s="768"/>
      <c r="AE132" s="768"/>
      <c r="AR132" s="324" t="s">
        <v>2612</v>
      </c>
      <c r="AT132" s="324" t="s">
        <v>148</v>
      </c>
      <c r="AU132" s="324" t="s">
        <v>83</v>
      </c>
      <c r="AY132" s="214" t="s">
        <v>146</v>
      </c>
      <c r="BE132" s="325">
        <f>IF(N132="základní",J132,0)</f>
        <v>0</v>
      </c>
      <c r="BF132" s="325">
        <f>IF(N132="snížená",J132,0)</f>
        <v>0</v>
      </c>
      <c r="BG132" s="325">
        <f>IF(N132="zákl. přenesená",J132,0)</f>
        <v>0</v>
      </c>
      <c r="BH132" s="325">
        <f>IF(N132="sníž. přenesená",J132,0)</f>
        <v>0</v>
      </c>
      <c r="BI132" s="325">
        <f>IF(N132="nulová",J132,0)</f>
        <v>0</v>
      </c>
      <c r="BJ132" s="214" t="s">
        <v>81</v>
      </c>
      <c r="BK132" s="325">
        <f>ROUND(I132*H132,2)</f>
        <v>0</v>
      </c>
      <c r="BL132" s="214" t="s">
        <v>2612</v>
      </c>
      <c r="BM132" s="324" t="s">
        <v>2622</v>
      </c>
    </row>
    <row r="133" spans="2:63" s="297" customFormat="1" ht="22.9" customHeight="1">
      <c r="B133" s="298"/>
      <c r="D133" s="299" t="s">
        <v>75</v>
      </c>
      <c r="E133" s="660" t="s">
        <v>2623</v>
      </c>
      <c r="F133" s="660" t="s">
        <v>2624</v>
      </c>
      <c r="I133" s="501"/>
      <c r="J133" s="311">
        <f>SUM(J134:J135)</f>
        <v>0</v>
      </c>
      <c r="L133" s="298"/>
      <c r="M133" s="303"/>
      <c r="N133" s="304"/>
      <c r="O133" s="304"/>
      <c r="P133" s="305">
        <f>P134</f>
        <v>0</v>
      </c>
      <c r="Q133" s="304"/>
      <c r="R133" s="305">
        <f>R134</f>
        <v>0</v>
      </c>
      <c r="S133" s="304"/>
      <c r="T133" s="313">
        <f>T134</f>
        <v>0</v>
      </c>
      <c r="AR133" s="299" t="s">
        <v>177</v>
      </c>
      <c r="AT133" s="308" t="s">
        <v>75</v>
      </c>
      <c r="AU133" s="308" t="s">
        <v>81</v>
      </c>
      <c r="AY133" s="299" t="s">
        <v>146</v>
      </c>
      <c r="BK133" s="309">
        <f>BK134</f>
        <v>0</v>
      </c>
    </row>
    <row r="134" spans="1:65" s="225" customFormat="1" ht="50.25" customHeight="1">
      <c r="A134" s="222"/>
      <c r="B134" s="223"/>
      <c r="C134" s="314">
        <f>C131+1</f>
        <v>6</v>
      </c>
      <c r="D134" s="314" t="s">
        <v>148</v>
      </c>
      <c r="E134" s="315"/>
      <c r="F134" s="316" t="s">
        <v>3912</v>
      </c>
      <c r="G134" s="317" t="s">
        <v>864</v>
      </c>
      <c r="H134" s="318">
        <v>1</v>
      </c>
      <c r="I134" s="79"/>
      <c r="J134" s="319">
        <f>ROUND(I134*H134,2)</f>
        <v>0</v>
      </c>
      <c r="K134" s="316" t="s">
        <v>1</v>
      </c>
      <c r="L134" s="223"/>
      <c r="M134" s="661" t="s">
        <v>1</v>
      </c>
      <c r="N134" s="662" t="s">
        <v>42</v>
      </c>
      <c r="O134" s="663">
        <v>0</v>
      </c>
      <c r="P134" s="663">
        <f>O134*H134</f>
        <v>0</v>
      </c>
      <c r="Q134" s="663">
        <v>0</v>
      </c>
      <c r="R134" s="663">
        <f>Q134*H134</f>
        <v>0</v>
      </c>
      <c r="S134" s="663">
        <v>0</v>
      </c>
      <c r="T134" s="664">
        <f>S134*H134</f>
        <v>0</v>
      </c>
      <c r="U134" s="222"/>
      <c r="V134" s="222"/>
      <c r="W134" s="222"/>
      <c r="X134" s="222"/>
      <c r="Y134" s="222"/>
      <c r="Z134" s="222"/>
      <c r="AA134" s="222"/>
      <c r="AB134" s="222"/>
      <c r="AC134" s="222"/>
      <c r="AD134" s="222"/>
      <c r="AE134" s="222"/>
      <c r="AR134" s="324" t="s">
        <v>153</v>
      </c>
      <c r="AT134" s="324" t="s">
        <v>148</v>
      </c>
      <c r="AU134" s="324" t="s">
        <v>83</v>
      </c>
      <c r="AY134" s="214" t="s">
        <v>146</v>
      </c>
      <c r="BE134" s="325">
        <f>IF(N134="základní",J134,0)</f>
        <v>0</v>
      </c>
      <c r="BF134" s="325">
        <f>IF(N134="snížená",J134,0)</f>
        <v>0</v>
      </c>
      <c r="BG134" s="325">
        <f>IF(N134="zákl. přenesená",J134,0)</f>
        <v>0</v>
      </c>
      <c r="BH134" s="325">
        <f>IF(N134="sníž. přenesená",J134,0)</f>
        <v>0</v>
      </c>
      <c r="BI134" s="325">
        <f>IF(N134="nulová",J134,0)</f>
        <v>0</v>
      </c>
      <c r="BJ134" s="214" t="s">
        <v>81</v>
      </c>
      <c r="BK134" s="325">
        <f>ROUND(I134*H134,2)</f>
        <v>0</v>
      </c>
      <c r="BL134" s="214" t="s">
        <v>153</v>
      </c>
      <c r="BM134" s="324" t="s">
        <v>2625</v>
      </c>
    </row>
    <row r="135" spans="1:65" s="225" customFormat="1" ht="50.25" customHeight="1">
      <c r="A135" s="768"/>
      <c r="B135" s="223"/>
      <c r="C135" s="314">
        <f>C134+1</f>
        <v>7</v>
      </c>
      <c r="D135" s="314" t="s">
        <v>148</v>
      </c>
      <c r="E135" s="315"/>
      <c r="F135" s="316" t="s">
        <v>3913</v>
      </c>
      <c r="G135" s="317" t="s">
        <v>864</v>
      </c>
      <c r="H135" s="318">
        <v>1</v>
      </c>
      <c r="I135" s="79"/>
      <c r="J135" s="319">
        <f>ROUND(I135*H135,2)</f>
        <v>0</v>
      </c>
      <c r="K135" s="316" t="s">
        <v>1</v>
      </c>
      <c r="L135" s="223"/>
      <c r="M135" s="661" t="s">
        <v>1</v>
      </c>
      <c r="N135" s="662" t="s">
        <v>42</v>
      </c>
      <c r="O135" s="663">
        <v>0</v>
      </c>
      <c r="P135" s="663">
        <f>O135*H135</f>
        <v>0</v>
      </c>
      <c r="Q135" s="663">
        <v>0</v>
      </c>
      <c r="R135" s="663">
        <f>Q135*H135</f>
        <v>0</v>
      </c>
      <c r="S135" s="663">
        <v>0</v>
      </c>
      <c r="T135" s="664">
        <f>S135*H135</f>
        <v>0</v>
      </c>
      <c r="U135" s="768"/>
      <c r="V135" s="768"/>
      <c r="W135" s="768"/>
      <c r="X135" s="768"/>
      <c r="Y135" s="768"/>
      <c r="Z135" s="768"/>
      <c r="AA135" s="768"/>
      <c r="AB135" s="768"/>
      <c r="AC135" s="768"/>
      <c r="AD135" s="768"/>
      <c r="AE135" s="768"/>
      <c r="AR135" s="324" t="s">
        <v>153</v>
      </c>
      <c r="AT135" s="324" t="s">
        <v>148</v>
      </c>
      <c r="AU135" s="324" t="s">
        <v>83</v>
      </c>
      <c r="AY135" s="214" t="s">
        <v>146</v>
      </c>
      <c r="BE135" s="325">
        <f>IF(N135="základní",J135,0)</f>
        <v>0</v>
      </c>
      <c r="BF135" s="325">
        <f>IF(N135="snížená",J135,0)</f>
        <v>0</v>
      </c>
      <c r="BG135" s="325">
        <f>IF(N135="zákl. přenesená",J135,0)</f>
        <v>0</v>
      </c>
      <c r="BH135" s="325">
        <f>IF(N135="sníž. přenesená",J135,0)</f>
        <v>0</v>
      </c>
      <c r="BI135" s="325">
        <f>IF(N135="nulová",J135,0)</f>
        <v>0</v>
      </c>
      <c r="BJ135" s="214" t="s">
        <v>81</v>
      </c>
      <c r="BK135" s="325">
        <f>ROUND(I135*H135,2)</f>
        <v>0</v>
      </c>
      <c r="BL135" s="214" t="s">
        <v>153</v>
      </c>
      <c r="BM135" s="324" t="s">
        <v>2625</v>
      </c>
    </row>
    <row r="136" spans="1:31" s="225" customFormat="1" ht="12" customHeight="1">
      <c r="A136" s="222"/>
      <c r="B136" s="253"/>
      <c r="C136" s="254"/>
      <c r="D136" s="254"/>
      <c r="E136" s="254"/>
      <c r="F136" s="254"/>
      <c r="G136" s="254"/>
      <c r="H136" s="254"/>
      <c r="I136" s="254"/>
      <c r="J136" s="254"/>
      <c r="K136" s="254"/>
      <c r="L136" s="223"/>
      <c r="M136" s="222"/>
      <c r="O136" s="222"/>
      <c r="P136" s="222"/>
      <c r="Q136" s="222"/>
      <c r="R136" s="222"/>
      <c r="S136" s="222"/>
      <c r="T136" s="222"/>
      <c r="U136" s="222"/>
      <c r="V136" s="222"/>
      <c r="W136" s="222"/>
      <c r="X136" s="222"/>
      <c r="Y136" s="222"/>
      <c r="Z136" s="222"/>
      <c r="AA136" s="222"/>
      <c r="AB136" s="222"/>
      <c r="AC136" s="222"/>
      <c r="AD136" s="222"/>
      <c r="AE136" s="222"/>
    </row>
  </sheetData>
  <sheetProtection password="CABD" sheet="1" objects="1" scenarios="1"/>
  <autoFilter ref="C119:K134"/>
  <mergeCells count="9">
    <mergeCell ref="E87:H87"/>
    <mergeCell ref="E110:H110"/>
    <mergeCell ref="E112:H112"/>
    <mergeCell ref="L2:V2"/>
    <mergeCell ref="E7:H7"/>
    <mergeCell ref="E9:H9"/>
    <mergeCell ref="E18:H18"/>
    <mergeCell ref="E27:H27"/>
    <mergeCell ref="E85:H85"/>
  </mergeCells>
  <printOptions/>
  <pageMargins left="0.5905511811023623" right="0.3937007874015748" top="0.3937007874015748" bottom="0.3937007874015748" header="0" footer="0"/>
  <pageSetup blackAndWhite="1" fitToHeight="100" fitToWidth="1" horizontalDpi="600" verticalDpi="600" orientation="portrait" paperSize="9" scale="85" r:id="rId2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76"/>
  <sheetViews>
    <sheetView zoomScale="75" zoomScaleNormal="75" workbookViewId="0" topLeftCell="A1">
      <selection activeCell="D16" sqref="D16"/>
    </sheetView>
  </sheetViews>
  <sheetFormatPr defaultColWidth="9.140625" defaultRowHeight="12"/>
  <cols>
    <col min="1" max="1" width="18.28125" style="99" customWidth="1"/>
    <col min="2" max="2" width="100.00390625" style="179" customWidth="1"/>
    <col min="3" max="3" width="14.8515625" style="99" customWidth="1"/>
    <col min="4" max="4" width="20.7109375" style="99" customWidth="1"/>
    <col min="5" max="5" width="18.28125" style="99" customWidth="1"/>
    <col min="6" max="6" width="30.00390625" style="99" customWidth="1"/>
    <col min="7" max="7" width="29.28125" style="780" customWidth="1"/>
    <col min="8" max="17" width="9.28125" style="114" customWidth="1"/>
    <col min="18" max="18" width="12.28125" style="114" bestFit="1" customWidth="1"/>
    <col min="19" max="256" width="9.28125" style="114" customWidth="1"/>
    <col min="257" max="257" width="18.28125" style="114" customWidth="1"/>
    <col min="258" max="258" width="100.00390625" style="114" customWidth="1"/>
    <col min="259" max="259" width="14.8515625" style="114" customWidth="1"/>
    <col min="260" max="260" width="20.7109375" style="114" customWidth="1"/>
    <col min="261" max="261" width="18.28125" style="114" customWidth="1"/>
    <col min="262" max="262" width="30.00390625" style="114" customWidth="1"/>
    <col min="263" max="273" width="9.28125" style="114" customWidth="1"/>
    <col min="274" max="274" width="12.28125" style="114" bestFit="1" customWidth="1"/>
    <col min="275" max="512" width="9.28125" style="114" customWidth="1"/>
    <col min="513" max="513" width="18.28125" style="114" customWidth="1"/>
    <col min="514" max="514" width="100.00390625" style="114" customWidth="1"/>
    <col min="515" max="515" width="14.8515625" style="114" customWidth="1"/>
    <col min="516" max="516" width="20.7109375" style="114" customWidth="1"/>
    <col min="517" max="517" width="18.28125" style="114" customWidth="1"/>
    <col min="518" max="518" width="30.00390625" style="114" customWidth="1"/>
    <col min="519" max="529" width="9.28125" style="114" customWidth="1"/>
    <col min="530" max="530" width="12.28125" style="114" bestFit="1" customWidth="1"/>
    <col min="531" max="768" width="9.28125" style="114" customWidth="1"/>
    <col min="769" max="769" width="18.28125" style="114" customWidth="1"/>
    <col min="770" max="770" width="100.00390625" style="114" customWidth="1"/>
    <col min="771" max="771" width="14.8515625" style="114" customWidth="1"/>
    <col min="772" max="772" width="20.7109375" style="114" customWidth="1"/>
    <col min="773" max="773" width="18.28125" style="114" customWidth="1"/>
    <col min="774" max="774" width="30.00390625" style="114" customWidth="1"/>
    <col min="775" max="785" width="9.28125" style="114" customWidth="1"/>
    <col min="786" max="786" width="12.28125" style="114" bestFit="1" customWidth="1"/>
    <col min="787" max="1024" width="9.28125" style="114" customWidth="1"/>
    <col min="1025" max="1025" width="18.28125" style="114" customWidth="1"/>
    <col min="1026" max="1026" width="100.00390625" style="114" customWidth="1"/>
    <col min="1027" max="1027" width="14.8515625" style="114" customWidth="1"/>
    <col min="1028" max="1028" width="20.7109375" style="114" customWidth="1"/>
    <col min="1029" max="1029" width="18.28125" style="114" customWidth="1"/>
    <col min="1030" max="1030" width="30.00390625" style="114" customWidth="1"/>
    <col min="1031" max="1041" width="9.28125" style="114" customWidth="1"/>
    <col min="1042" max="1042" width="12.28125" style="114" bestFit="1" customWidth="1"/>
    <col min="1043" max="1280" width="9.28125" style="114" customWidth="1"/>
    <col min="1281" max="1281" width="18.28125" style="114" customWidth="1"/>
    <col min="1282" max="1282" width="100.00390625" style="114" customWidth="1"/>
    <col min="1283" max="1283" width="14.8515625" style="114" customWidth="1"/>
    <col min="1284" max="1284" width="20.7109375" style="114" customWidth="1"/>
    <col min="1285" max="1285" width="18.28125" style="114" customWidth="1"/>
    <col min="1286" max="1286" width="30.00390625" style="114" customWidth="1"/>
    <col min="1287" max="1297" width="9.28125" style="114" customWidth="1"/>
    <col min="1298" max="1298" width="12.28125" style="114" bestFit="1" customWidth="1"/>
    <col min="1299" max="1536" width="9.28125" style="114" customWidth="1"/>
    <col min="1537" max="1537" width="18.28125" style="114" customWidth="1"/>
    <col min="1538" max="1538" width="100.00390625" style="114" customWidth="1"/>
    <col min="1539" max="1539" width="14.8515625" style="114" customWidth="1"/>
    <col min="1540" max="1540" width="20.7109375" style="114" customWidth="1"/>
    <col min="1541" max="1541" width="18.28125" style="114" customWidth="1"/>
    <col min="1542" max="1542" width="30.00390625" style="114" customWidth="1"/>
    <col min="1543" max="1553" width="9.28125" style="114" customWidth="1"/>
    <col min="1554" max="1554" width="12.28125" style="114" bestFit="1" customWidth="1"/>
    <col min="1555" max="1792" width="9.28125" style="114" customWidth="1"/>
    <col min="1793" max="1793" width="18.28125" style="114" customWidth="1"/>
    <col min="1794" max="1794" width="100.00390625" style="114" customWidth="1"/>
    <col min="1795" max="1795" width="14.8515625" style="114" customWidth="1"/>
    <col min="1796" max="1796" width="20.7109375" style="114" customWidth="1"/>
    <col min="1797" max="1797" width="18.28125" style="114" customWidth="1"/>
    <col min="1798" max="1798" width="30.00390625" style="114" customWidth="1"/>
    <col min="1799" max="1809" width="9.28125" style="114" customWidth="1"/>
    <col min="1810" max="1810" width="12.28125" style="114" bestFit="1" customWidth="1"/>
    <col min="1811" max="2048" width="9.28125" style="114" customWidth="1"/>
    <col min="2049" max="2049" width="18.28125" style="114" customWidth="1"/>
    <col min="2050" max="2050" width="100.00390625" style="114" customWidth="1"/>
    <col min="2051" max="2051" width="14.8515625" style="114" customWidth="1"/>
    <col min="2052" max="2052" width="20.7109375" style="114" customWidth="1"/>
    <col min="2053" max="2053" width="18.28125" style="114" customWidth="1"/>
    <col min="2054" max="2054" width="30.00390625" style="114" customWidth="1"/>
    <col min="2055" max="2065" width="9.28125" style="114" customWidth="1"/>
    <col min="2066" max="2066" width="12.28125" style="114" bestFit="1" customWidth="1"/>
    <col min="2067" max="2304" width="9.28125" style="114" customWidth="1"/>
    <col min="2305" max="2305" width="18.28125" style="114" customWidth="1"/>
    <col min="2306" max="2306" width="100.00390625" style="114" customWidth="1"/>
    <col min="2307" max="2307" width="14.8515625" style="114" customWidth="1"/>
    <col min="2308" max="2308" width="20.7109375" style="114" customWidth="1"/>
    <col min="2309" max="2309" width="18.28125" style="114" customWidth="1"/>
    <col min="2310" max="2310" width="30.00390625" style="114" customWidth="1"/>
    <col min="2311" max="2321" width="9.28125" style="114" customWidth="1"/>
    <col min="2322" max="2322" width="12.28125" style="114" bestFit="1" customWidth="1"/>
    <col min="2323" max="2560" width="9.28125" style="114" customWidth="1"/>
    <col min="2561" max="2561" width="18.28125" style="114" customWidth="1"/>
    <col min="2562" max="2562" width="100.00390625" style="114" customWidth="1"/>
    <col min="2563" max="2563" width="14.8515625" style="114" customWidth="1"/>
    <col min="2564" max="2564" width="20.7109375" style="114" customWidth="1"/>
    <col min="2565" max="2565" width="18.28125" style="114" customWidth="1"/>
    <col min="2566" max="2566" width="30.00390625" style="114" customWidth="1"/>
    <col min="2567" max="2577" width="9.28125" style="114" customWidth="1"/>
    <col min="2578" max="2578" width="12.28125" style="114" bestFit="1" customWidth="1"/>
    <col min="2579" max="2816" width="9.28125" style="114" customWidth="1"/>
    <col min="2817" max="2817" width="18.28125" style="114" customWidth="1"/>
    <col min="2818" max="2818" width="100.00390625" style="114" customWidth="1"/>
    <col min="2819" max="2819" width="14.8515625" style="114" customWidth="1"/>
    <col min="2820" max="2820" width="20.7109375" style="114" customWidth="1"/>
    <col min="2821" max="2821" width="18.28125" style="114" customWidth="1"/>
    <col min="2822" max="2822" width="30.00390625" style="114" customWidth="1"/>
    <col min="2823" max="2833" width="9.28125" style="114" customWidth="1"/>
    <col min="2834" max="2834" width="12.28125" style="114" bestFit="1" customWidth="1"/>
    <col min="2835" max="3072" width="9.28125" style="114" customWidth="1"/>
    <col min="3073" max="3073" width="18.28125" style="114" customWidth="1"/>
    <col min="3074" max="3074" width="100.00390625" style="114" customWidth="1"/>
    <col min="3075" max="3075" width="14.8515625" style="114" customWidth="1"/>
    <col min="3076" max="3076" width="20.7109375" style="114" customWidth="1"/>
    <col min="3077" max="3077" width="18.28125" style="114" customWidth="1"/>
    <col min="3078" max="3078" width="30.00390625" style="114" customWidth="1"/>
    <col min="3079" max="3089" width="9.28125" style="114" customWidth="1"/>
    <col min="3090" max="3090" width="12.28125" style="114" bestFit="1" customWidth="1"/>
    <col min="3091" max="3328" width="9.28125" style="114" customWidth="1"/>
    <col min="3329" max="3329" width="18.28125" style="114" customWidth="1"/>
    <col min="3330" max="3330" width="100.00390625" style="114" customWidth="1"/>
    <col min="3331" max="3331" width="14.8515625" style="114" customWidth="1"/>
    <col min="3332" max="3332" width="20.7109375" style="114" customWidth="1"/>
    <col min="3333" max="3333" width="18.28125" style="114" customWidth="1"/>
    <col min="3334" max="3334" width="30.00390625" style="114" customWidth="1"/>
    <col min="3335" max="3345" width="9.28125" style="114" customWidth="1"/>
    <col min="3346" max="3346" width="12.28125" style="114" bestFit="1" customWidth="1"/>
    <col min="3347" max="3584" width="9.28125" style="114" customWidth="1"/>
    <col min="3585" max="3585" width="18.28125" style="114" customWidth="1"/>
    <col min="3586" max="3586" width="100.00390625" style="114" customWidth="1"/>
    <col min="3587" max="3587" width="14.8515625" style="114" customWidth="1"/>
    <col min="3588" max="3588" width="20.7109375" style="114" customWidth="1"/>
    <col min="3589" max="3589" width="18.28125" style="114" customWidth="1"/>
    <col min="3590" max="3590" width="30.00390625" style="114" customWidth="1"/>
    <col min="3591" max="3601" width="9.28125" style="114" customWidth="1"/>
    <col min="3602" max="3602" width="12.28125" style="114" bestFit="1" customWidth="1"/>
    <col min="3603" max="3840" width="9.28125" style="114" customWidth="1"/>
    <col min="3841" max="3841" width="18.28125" style="114" customWidth="1"/>
    <col min="3842" max="3842" width="100.00390625" style="114" customWidth="1"/>
    <col min="3843" max="3843" width="14.8515625" style="114" customWidth="1"/>
    <col min="3844" max="3844" width="20.7109375" style="114" customWidth="1"/>
    <col min="3845" max="3845" width="18.28125" style="114" customWidth="1"/>
    <col min="3846" max="3846" width="30.00390625" style="114" customWidth="1"/>
    <col min="3847" max="3857" width="9.28125" style="114" customWidth="1"/>
    <col min="3858" max="3858" width="12.28125" style="114" bestFit="1" customWidth="1"/>
    <col min="3859" max="4096" width="9.28125" style="114" customWidth="1"/>
    <col min="4097" max="4097" width="18.28125" style="114" customWidth="1"/>
    <col min="4098" max="4098" width="100.00390625" style="114" customWidth="1"/>
    <col min="4099" max="4099" width="14.8515625" style="114" customWidth="1"/>
    <col min="4100" max="4100" width="20.7109375" style="114" customWidth="1"/>
    <col min="4101" max="4101" width="18.28125" style="114" customWidth="1"/>
    <col min="4102" max="4102" width="30.00390625" style="114" customWidth="1"/>
    <col min="4103" max="4113" width="9.28125" style="114" customWidth="1"/>
    <col min="4114" max="4114" width="12.28125" style="114" bestFit="1" customWidth="1"/>
    <col min="4115" max="4352" width="9.28125" style="114" customWidth="1"/>
    <col min="4353" max="4353" width="18.28125" style="114" customWidth="1"/>
    <col min="4354" max="4354" width="100.00390625" style="114" customWidth="1"/>
    <col min="4355" max="4355" width="14.8515625" style="114" customWidth="1"/>
    <col min="4356" max="4356" width="20.7109375" style="114" customWidth="1"/>
    <col min="4357" max="4357" width="18.28125" style="114" customWidth="1"/>
    <col min="4358" max="4358" width="30.00390625" style="114" customWidth="1"/>
    <col min="4359" max="4369" width="9.28125" style="114" customWidth="1"/>
    <col min="4370" max="4370" width="12.28125" style="114" bestFit="1" customWidth="1"/>
    <col min="4371" max="4608" width="9.28125" style="114" customWidth="1"/>
    <col min="4609" max="4609" width="18.28125" style="114" customWidth="1"/>
    <col min="4610" max="4610" width="100.00390625" style="114" customWidth="1"/>
    <col min="4611" max="4611" width="14.8515625" style="114" customWidth="1"/>
    <col min="4612" max="4612" width="20.7109375" style="114" customWidth="1"/>
    <col min="4613" max="4613" width="18.28125" style="114" customWidth="1"/>
    <col min="4614" max="4614" width="30.00390625" style="114" customWidth="1"/>
    <col min="4615" max="4625" width="9.28125" style="114" customWidth="1"/>
    <col min="4626" max="4626" width="12.28125" style="114" bestFit="1" customWidth="1"/>
    <col min="4627" max="4864" width="9.28125" style="114" customWidth="1"/>
    <col min="4865" max="4865" width="18.28125" style="114" customWidth="1"/>
    <col min="4866" max="4866" width="100.00390625" style="114" customWidth="1"/>
    <col min="4867" max="4867" width="14.8515625" style="114" customWidth="1"/>
    <col min="4868" max="4868" width="20.7109375" style="114" customWidth="1"/>
    <col min="4869" max="4869" width="18.28125" style="114" customWidth="1"/>
    <col min="4870" max="4870" width="30.00390625" style="114" customWidth="1"/>
    <col min="4871" max="4881" width="9.28125" style="114" customWidth="1"/>
    <col min="4882" max="4882" width="12.28125" style="114" bestFit="1" customWidth="1"/>
    <col min="4883" max="5120" width="9.28125" style="114" customWidth="1"/>
    <col min="5121" max="5121" width="18.28125" style="114" customWidth="1"/>
    <col min="5122" max="5122" width="100.00390625" style="114" customWidth="1"/>
    <col min="5123" max="5123" width="14.8515625" style="114" customWidth="1"/>
    <col min="5124" max="5124" width="20.7109375" style="114" customWidth="1"/>
    <col min="5125" max="5125" width="18.28125" style="114" customWidth="1"/>
    <col min="5126" max="5126" width="30.00390625" style="114" customWidth="1"/>
    <col min="5127" max="5137" width="9.28125" style="114" customWidth="1"/>
    <col min="5138" max="5138" width="12.28125" style="114" bestFit="1" customWidth="1"/>
    <col min="5139" max="5376" width="9.28125" style="114" customWidth="1"/>
    <col min="5377" max="5377" width="18.28125" style="114" customWidth="1"/>
    <col min="5378" max="5378" width="100.00390625" style="114" customWidth="1"/>
    <col min="5379" max="5379" width="14.8515625" style="114" customWidth="1"/>
    <col min="5380" max="5380" width="20.7109375" style="114" customWidth="1"/>
    <col min="5381" max="5381" width="18.28125" style="114" customWidth="1"/>
    <col min="5382" max="5382" width="30.00390625" style="114" customWidth="1"/>
    <col min="5383" max="5393" width="9.28125" style="114" customWidth="1"/>
    <col min="5394" max="5394" width="12.28125" style="114" bestFit="1" customWidth="1"/>
    <col min="5395" max="5632" width="9.28125" style="114" customWidth="1"/>
    <col min="5633" max="5633" width="18.28125" style="114" customWidth="1"/>
    <col min="5634" max="5634" width="100.00390625" style="114" customWidth="1"/>
    <col min="5635" max="5635" width="14.8515625" style="114" customWidth="1"/>
    <col min="5636" max="5636" width="20.7109375" style="114" customWidth="1"/>
    <col min="5637" max="5637" width="18.28125" style="114" customWidth="1"/>
    <col min="5638" max="5638" width="30.00390625" style="114" customWidth="1"/>
    <col min="5639" max="5649" width="9.28125" style="114" customWidth="1"/>
    <col min="5650" max="5650" width="12.28125" style="114" bestFit="1" customWidth="1"/>
    <col min="5651" max="5888" width="9.28125" style="114" customWidth="1"/>
    <col min="5889" max="5889" width="18.28125" style="114" customWidth="1"/>
    <col min="5890" max="5890" width="100.00390625" style="114" customWidth="1"/>
    <col min="5891" max="5891" width="14.8515625" style="114" customWidth="1"/>
    <col min="5892" max="5892" width="20.7109375" style="114" customWidth="1"/>
    <col min="5893" max="5893" width="18.28125" style="114" customWidth="1"/>
    <col min="5894" max="5894" width="30.00390625" style="114" customWidth="1"/>
    <col min="5895" max="5905" width="9.28125" style="114" customWidth="1"/>
    <col min="5906" max="5906" width="12.28125" style="114" bestFit="1" customWidth="1"/>
    <col min="5907" max="6144" width="9.28125" style="114" customWidth="1"/>
    <col min="6145" max="6145" width="18.28125" style="114" customWidth="1"/>
    <col min="6146" max="6146" width="100.00390625" style="114" customWidth="1"/>
    <col min="6147" max="6147" width="14.8515625" style="114" customWidth="1"/>
    <col min="6148" max="6148" width="20.7109375" style="114" customWidth="1"/>
    <col min="6149" max="6149" width="18.28125" style="114" customWidth="1"/>
    <col min="6150" max="6150" width="30.00390625" style="114" customWidth="1"/>
    <col min="6151" max="6161" width="9.28125" style="114" customWidth="1"/>
    <col min="6162" max="6162" width="12.28125" style="114" bestFit="1" customWidth="1"/>
    <col min="6163" max="6400" width="9.28125" style="114" customWidth="1"/>
    <col min="6401" max="6401" width="18.28125" style="114" customWidth="1"/>
    <col min="6402" max="6402" width="100.00390625" style="114" customWidth="1"/>
    <col min="6403" max="6403" width="14.8515625" style="114" customWidth="1"/>
    <col min="6404" max="6404" width="20.7109375" style="114" customWidth="1"/>
    <col min="6405" max="6405" width="18.28125" style="114" customWidth="1"/>
    <col min="6406" max="6406" width="30.00390625" style="114" customWidth="1"/>
    <col min="6407" max="6417" width="9.28125" style="114" customWidth="1"/>
    <col min="6418" max="6418" width="12.28125" style="114" bestFit="1" customWidth="1"/>
    <col min="6419" max="6656" width="9.28125" style="114" customWidth="1"/>
    <col min="6657" max="6657" width="18.28125" style="114" customWidth="1"/>
    <col min="6658" max="6658" width="100.00390625" style="114" customWidth="1"/>
    <col min="6659" max="6659" width="14.8515625" style="114" customWidth="1"/>
    <col min="6660" max="6660" width="20.7109375" style="114" customWidth="1"/>
    <col min="6661" max="6661" width="18.28125" style="114" customWidth="1"/>
    <col min="6662" max="6662" width="30.00390625" style="114" customWidth="1"/>
    <col min="6663" max="6673" width="9.28125" style="114" customWidth="1"/>
    <col min="6674" max="6674" width="12.28125" style="114" bestFit="1" customWidth="1"/>
    <col min="6675" max="6912" width="9.28125" style="114" customWidth="1"/>
    <col min="6913" max="6913" width="18.28125" style="114" customWidth="1"/>
    <col min="6914" max="6914" width="100.00390625" style="114" customWidth="1"/>
    <col min="6915" max="6915" width="14.8515625" style="114" customWidth="1"/>
    <col min="6916" max="6916" width="20.7109375" style="114" customWidth="1"/>
    <col min="6917" max="6917" width="18.28125" style="114" customWidth="1"/>
    <col min="6918" max="6918" width="30.00390625" style="114" customWidth="1"/>
    <col min="6919" max="6929" width="9.28125" style="114" customWidth="1"/>
    <col min="6930" max="6930" width="12.28125" style="114" bestFit="1" customWidth="1"/>
    <col min="6931" max="7168" width="9.28125" style="114" customWidth="1"/>
    <col min="7169" max="7169" width="18.28125" style="114" customWidth="1"/>
    <col min="7170" max="7170" width="100.00390625" style="114" customWidth="1"/>
    <col min="7171" max="7171" width="14.8515625" style="114" customWidth="1"/>
    <col min="7172" max="7172" width="20.7109375" style="114" customWidth="1"/>
    <col min="7173" max="7173" width="18.28125" style="114" customWidth="1"/>
    <col min="7174" max="7174" width="30.00390625" style="114" customWidth="1"/>
    <col min="7175" max="7185" width="9.28125" style="114" customWidth="1"/>
    <col min="7186" max="7186" width="12.28125" style="114" bestFit="1" customWidth="1"/>
    <col min="7187" max="7424" width="9.28125" style="114" customWidth="1"/>
    <col min="7425" max="7425" width="18.28125" style="114" customWidth="1"/>
    <col min="7426" max="7426" width="100.00390625" style="114" customWidth="1"/>
    <col min="7427" max="7427" width="14.8515625" style="114" customWidth="1"/>
    <col min="7428" max="7428" width="20.7109375" style="114" customWidth="1"/>
    <col min="7429" max="7429" width="18.28125" style="114" customWidth="1"/>
    <col min="7430" max="7430" width="30.00390625" style="114" customWidth="1"/>
    <col min="7431" max="7441" width="9.28125" style="114" customWidth="1"/>
    <col min="7442" max="7442" width="12.28125" style="114" bestFit="1" customWidth="1"/>
    <col min="7443" max="7680" width="9.28125" style="114" customWidth="1"/>
    <col min="7681" max="7681" width="18.28125" style="114" customWidth="1"/>
    <col min="7682" max="7682" width="100.00390625" style="114" customWidth="1"/>
    <col min="7683" max="7683" width="14.8515625" style="114" customWidth="1"/>
    <col min="7684" max="7684" width="20.7109375" style="114" customWidth="1"/>
    <col min="7685" max="7685" width="18.28125" style="114" customWidth="1"/>
    <col min="7686" max="7686" width="30.00390625" style="114" customWidth="1"/>
    <col min="7687" max="7697" width="9.28125" style="114" customWidth="1"/>
    <col min="7698" max="7698" width="12.28125" style="114" bestFit="1" customWidth="1"/>
    <col min="7699" max="7936" width="9.28125" style="114" customWidth="1"/>
    <col min="7937" max="7937" width="18.28125" style="114" customWidth="1"/>
    <col min="7938" max="7938" width="100.00390625" style="114" customWidth="1"/>
    <col min="7939" max="7939" width="14.8515625" style="114" customWidth="1"/>
    <col min="7940" max="7940" width="20.7109375" style="114" customWidth="1"/>
    <col min="7941" max="7941" width="18.28125" style="114" customWidth="1"/>
    <col min="7942" max="7942" width="30.00390625" style="114" customWidth="1"/>
    <col min="7943" max="7953" width="9.28125" style="114" customWidth="1"/>
    <col min="7954" max="7954" width="12.28125" style="114" bestFit="1" customWidth="1"/>
    <col min="7955" max="8192" width="9.28125" style="114" customWidth="1"/>
    <col min="8193" max="8193" width="18.28125" style="114" customWidth="1"/>
    <col min="8194" max="8194" width="100.00390625" style="114" customWidth="1"/>
    <col min="8195" max="8195" width="14.8515625" style="114" customWidth="1"/>
    <col min="8196" max="8196" width="20.7109375" style="114" customWidth="1"/>
    <col min="8197" max="8197" width="18.28125" style="114" customWidth="1"/>
    <col min="8198" max="8198" width="30.00390625" style="114" customWidth="1"/>
    <col min="8199" max="8209" width="9.28125" style="114" customWidth="1"/>
    <col min="8210" max="8210" width="12.28125" style="114" bestFit="1" customWidth="1"/>
    <col min="8211" max="8448" width="9.28125" style="114" customWidth="1"/>
    <col min="8449" max="8449" width="18.28125" style="114" customWidth="1"/>
    <col min="8450" max="8450" width="100.00390625" style="114" customWidth="1"/>
    <col min="8451" max="8451" width="14.8515625" style="114" customWidth="1"/>
    <col min="8452" max="8452" width="20.7109375" style="114" customWidth="1"/>
    <col min="8453" max="8453" width="18.28125" style="114" customWidth="1"/>
    <col min="8454" max="8454" width="30.00390625" style="114" customWidth="1"/>
    <col min="8455" max="8465" width="9.28125" style="114" customWidth="1"/>
    <col min="8466" max="8466" width="12.28125" style="114" bestFit="1" customWidth="1"/>
    <col min="8467" max="8704" width="9.28125" style="114" customWidth="1"/>
    <col min="8705" max="8705" width="18.28125" style="114" customWidth="1"/>
    <col min="8706" max="8706" width="100.00390625" style="114" customWidth="1"/>
    <col min="8707" max="8707" width="14.8515625" style="114" customWidth="1"/>
    <col min="8708" max="8708" width="20.7109375" style="114" customWidth="1"/>
    <col min="8709" max="8709" width="18.28125" style="114" customWidth="1"/>
    <col min="8710" max="8710" width="30.00390625" style="114" customWidth="1"/>
    <col min="8711" max="8721" width="9.28125" style="114" customWidth="1"/>
    <col min="8722" max="8722" width="12.28125" style="114" bestFit="1" customWidth="1"/>
    <col min="8723" max="8960" width="9.28125" style="114" customWidth="1"/>
    <col min="8961" max="8961" width="18.28125" style="114" customWidth="1"/>
    <col min="8962" max="8962" width="100.00390625" style="114" customWidth="1"/>
    <col min="8963" max="8963" width="14.8515625" style="114" customWidth="1"/>
    <col min="8964" max="8964" width="20.7109375" style="114" customWidth="1"/>
    <col min="8965" max="8965" width="18.28125" style="114" customWidth="1"/>
    <col min="8966" max="8966" width="30.00390625" style="114" customWidth="1"/>
    <col min="8967" max="8977" width="9.28125" style="114" customWidth="1"/>
    <col min="8978" max="8978" width="12.28125" style="114" bestFit="1" customWidth="1"/>
    <col min="8979" max="9216" width="9.28125" style="114" customWidth="1"/>
    <col min="9217" max="9217" width="18.28125" style="114" customWidth="1"/>
    <col min="9218" max="9218" width="100.00390625" style="114" customWidth="1"/>
    <col min="9219" max="9219" width="14.8515625" style="114" customWidth="1"/>
    <col min="9220" max="9220" width="20.7109375" style="114" customWidth="1"/>
    <col min="9221" max="9221" width="18.28125" style="114" customWidth="1"/>
    <col min="9222" max="9222" width="30.00390625" style="114" customWidth="1"/>
    <col min="9223" max="9233" width="9.28125" style="114" customWidth="1"/>
    <col min="9234" max="9234" width="12.28125" style="114" bestFit="1" customWidth="1"/>
    <col min="9235" max="9472" width="9.28125" style="114" customWidth="1"/>
    <col min="9473" max="9473" width="18.28125" style="114" customWidth="1"/>
    <col min="9474" max="9474" width="100.00390625" style="114" customWidth="1"/>
    <col min="9475" max="9475" width="14.8515625" style="114" customWidth="1"/>
    <col min="9476" max="9476" width="20.7109375" style="114" customWidth="1"/>
    <col min="9477" max="9477" width="18.28125" style="114" customWidth="1"/>
    <col min="9478" max="9478" width="30.00390625" style="114" customWidth="1"/>
    <col min="9479" max="9489" width="9.28125" style="114" customWidth="1"/>
    <col min="9490" max="9490" width="12.28125" style="114" bestFit="1" customWidth="1"/>
    <col min="9491" max="9728" width="9.28125" style="114" customWidth="1"/>
    <col min="9729" max="9729" width="18.28125" style="114" customWidth="1"/>
    <col min="9730" max="9730" width="100.00390625" style="114" customWidth="1"/>
    <col min="9731" max="9731" width="14.8515625" style="114" customWidth="1"/>
    <col min="9732" max="9732" width="20.7109375" style="114" customWidth="1"/>
    <col min="9733" max="9733" width="18.28125" style="114" customWidth="1"/>
    <col min="9734" max="9734" width="30.00390625" style="114" customWidth="1"/>
    <col min="9735" max="9745" width="9.28125" style="114" customWidth="1"/>
    <col min="9746" max="9746" width="12.28125" style="114" bestFit="1" customWidth="1"/>
    <col min="9747" max="9984" width="9.28125" style="114" customWidth="1"/>
    <col min="9985" max="9985" width="18.28125" style="114" customWidth="1"/>
    <col min="9986" max="9986" width="100.00390625" style="114" customWidth="1"/>
    <col min="9987" max="9987" width="14.8515625" style="114" customWidth="1"/>
    <col min="9988" max="9988" width="20.7109375" style="114" customWidth="1"/>
    <col min="9989" max="9989" width="18.28125" style="114" customWidth="1"/>
    <col min="9990" max="9990" width="30.00390625" style="114" customWidth="1"/>
    <col min="9991" max="10001" width="9.28125" style="114" customWidth="1"/>
    <col min="10002" max="10002" width="12.28125" style="114" bestFit="1" customWidth="1"/>
    <col min="10003" max="10240" width="9.28125" style="114" customWidth="1"/>
    <col min="10241" max="10241" width="18.28125" style="114" customWidth="1"/>
    <col min="10242" max="10242" width="100.00390625" style="114" customWidth="1"/>
    <col min="10243" max="10243" width="14.8515625" style="114" customWidth="1"/>
    <col min="10244" max="10244" width="20.7109375" style="114" customWidth="1"/>
    <col min="10245" max="10245" width="18.28125" style="114" customWidth="1"/>
    <col min="10246" max="10246" width="30.00390625" style="114" customWidth="1"/>
    <col min="10247" max="10257" width="9.28125" style="114" customWidth="1"/>
    <col min="10258" max="10258" width="12.28125" style="114" bestFit="1" customWidth="1"/>
    <col min="10259" max="10496" width="9.28125" style="114" customWidth="1"/>
    <col min="10497" max="10497" width="18.28125" style="114" customWidth="1"/>
    <col min="10498" max="10498" width="100.00390625" style="114" customWidth="1"/>
    <col min="10499" max="10499" width="14.8515625" style="114" customWidth="1"/>
    <col min="10500" max="10500" width="20.7109375" style="114" customWidth="1"/>
    <col min="10501" max="10501" width="18.28125" style="114" customWidth="1"/>
    <col min="10502" max="10502" width="30.00390625" style="114" customWidth="1"/>
    <col min="10503" max="10513" width="9.28125" style="114" customWidth="1"/>
    <col min="10514" max="10514" width="12.28125" style="114" bestFit="1" customWidth="1"/>
    <col min="10515" max="10752" width="9.28125" style="114" customWidth="1"/>
    <col min="10753" max="10753" width="18.28125" style="114" customWidth="1"/>
    <col min="10754" max="10754" width="100.00390625" style="114" customWidth="1"/>
    <col min="10755" max="10755" width="14.8515625" style="114" customWidth="1"/>
    <col min="10756" max="10756" width="20.7109375" style="114" customWidth="1"/>
    <col min="10757" max="10757" width="18.28125" style="114" customWidth="1"/>
    <col min="10758" max="10758" width="30.00390625" style="114" customWidth="1"/>
    <col min="10759" max="10769" width="9.28125" style="114" customWidth="1"/>
    <col min="10770" max="10770" width="12.28125" style="114" bestFit="1" customWidth="1"/>
    <col min="10771" max="11008" width="9.28125" style="114" customWidth="1"/>
    <col min="11009" max="11009" width="18.28125" style="114" customWidth="1"/>
    <col min="11010" max="11010" width="100.00390625" style="114" customWidth="1"/>
    <col min="11011" max="11011" width="14.8515625" style="114" customWidth="1"/>
    <col min="11012" max="11012" width="20.7109375" style="114" customWidth="1"/>
    <col min="11013" max="11013" width="18.28125" style="114" customWidth="1"/>
    <col min="11014" max="11014" width="30.00390625" style="114" customWidth="1"/>
    <col min="11015" max="11025" width="9.28125" style="114" customWidth="1"/>
    <col min="11026" max="11026" width="12.28125" style="114" bestFit="1" customWidth="1"/>
    <col min="11027" max="11264" width="9.28125" style="114" customWidth="1"/>
    <col min="11265" max="11265" width="18.28125" style="114" customWidth="1"/>
    <col min="11266" max="11266" width="100.00390625" style="114" customWidth="1"/>
    <col min="11267" max="11267" width="14.8515625" style="114" customWidth="1"/>
    <col min="11268" max="11268" width="20.7109375" style="114" customWidth="1"/>
    <col min="11269" max="11269" width="18.28125" style="114" customWidth="1"/>
    <col min="11270" max="11270" width="30.00390625" style="114" customWidth="1"/>
    <col min="11271" max="11281" width="9.28125" style="114" customWidth="1"/>
    <col min="11282" max="11282" width="12.28125" style="114" bestFit="1" customWidth="1"/>
    <col min="11283" max="11520" width="9.28125" style="114" customWidth="1"/>
    <col min="11521" max="11521" width="18.28125" style="114" customWidth="1"/>
    <col min="11522" max="11522" width="100.00390625" style="114" customWidth="1"/>
    <col min="11523" max="11523" width="14.8515625" style="114" customWidth="1"/>
    <col min="11524" max="11524" width="20.7109375" style="114" customWidth="1"/>
    <col min="11525" max="11525" width="18.28125" style="114" customWidth="1"/>
    <col min="11526" max="11526" width="30.00390625" style="114" customWidth="1"/>
    <col min="11527" max="11537" width="9.28125" style="114" customWidth="1"/>
    <col min="11538" max="11538" width="12.28125" style="114" bestFit="1" customWidth="1"/>
    <col min="11539" max="11776" width="9.28125" style="114" customWidth="1"/>
    <col min="11777" max="11777" width="18.28125" style="114" customWidth="1"/>
    <col min="11778" max="11778" width="100.00390625" style="114" customWidth="1"/>
    <col min="11779" max="11779" width="14.8515625" style="114" customWidth="1"/>
    <col min="11780" max="11780" width="20.7109375" style="114" customWidth="1"/>
    <col min="11781" max="11781" width="18.28125" style="114" customWidth="1"/>
    <col min="11782" max="11782" width="30.00390625" style="114" customWidth="1"/>
    <col min="11783" max="11793" width="9.28125" style="114" customWidth="1"/>
    <col min="11794" max="11794" width="12.28125" style="114" bestFit="1" customWidth="1"/>
    <col min="11795" max="12032" width="9.28125" style="114" customWidth="1"/>
    <col min="12033" max="12033" width="18.28125" style="114" customWidth="1"/>
    <col min="12034" max="12034" width="100.00390625" style="114" customWidth="1"/>
    <col min="12035" max="12035" width="14.8515625" style="114" customWidth="1"/>
    <col min="12036" max="12036" width="20.7109375" style="114" customWidth="1"/>
    <col min="12037" max="12037" width="18.28125" style="114" customWidth="1"/>
    <col min="12038" max="12038" width="30.00390625" style="114" customWidth="1"/>
    <col min="12039" max="12049" width="9.28125" style="114" customWidth="1"/>
    <col min="12050" max="12050" width="12.28125" style="114" bestFit="1" customWidth="1"/>
    <col min="12051" max="12288" width="9.28125" style="114" customWidth="1"/>
    <col min="12289" max="12289" width="18.28125" style="114" customWidth="1"/>
    <col min="12290" max="12290" width="100.00390625" style="114" customWidth="1"/>
    <col min="12291" max="12291" width="14.8515625" style="114" customWidth="1"/>
    <col min="12292" max="12292" width="20.7109375" style="114" customWidth="1"/>
    <col min="12293" max="12293" width="18.28125" style="114" customWidth="1"/>
    <col min="12294" max="12294" width="30.00390625" style="114" customWidth="1"/>
    <col min="12295" max="12305" width="9.28125" style="114" customWidth="1"/>
    <col min="12306" max="12306" width="12.28125" style="114" bestFit="1" customWidth="1"/>
    <col min="12307" max="12544" width="9.28125" style="114" customWidth="1"/>
    <col min="12545" max="12545" width="18.28125" style="114" customWidth="1"/>
    <col min="12546" max="12546" width="100.00390625" style="114" customWidth="1"/>
    <col min="12547" max="12547" width="14.8515625" style="114" customWidth="1"/>
    <col min="12548" max="12548" width="20.7109375" style="114" customWidth="1"/>
    <col min="12549" max="12549" width="18.28125" style="114" customWidth="1"/>
    <col min="12550" max="12550" width="30.00390625" style="114" customWidth="1"/>
    <col min="12551" max="12561" width="9.28125" style="114" customWidth="1"/>
    <col min="12562" max="12562" width="12.28125" style="114" bestFit="1" customWidth="1"/>
    <col min="12563" max="12800" width="9.28125" style="114" customWidth="1"/>
    <col min="12801" max="12801" width="18.28125" style="114" customWidth="1"/>
    <col min="12802" max="12802" width="100.00390625" style="114" customWidth="1"/>
    <col min="12803" max="12803" width="14.8515625" style="114" customWidth="1"/>
    <col min="12804" max="12804" width="20.7109375" style="114" customWidth="1"/>
    <col min="12805" max="12805" width="18.28125" style="114" customWidth="1"/>
    <col min="12806" max="12806" width="30.00390625" style="114" customWidth="1"/>
    <col min="12807" max="12817" width="9.28125" style="114" customWidth="1"/>
    <col min="12818" max="12818" width="12.28125" style="114" bestFit="1" customWidth="1"/>
    <col min="12819" max="13056" width="9.28125" style="114" customWidth="1"/>
    <col min="13057" max="13057" width="18.28125" style="114" customWidth="1"/>
    <col min="13058" max="13058" width="100.00390625" style="114" customWidth="1"/>
    <col min="13059" max="13059" width="14.8515625" style="114" customWidth="1"/>
    <col min="13060" max="13060" width="20.7109375" style="114" customWidth="1"/>
    <col min="13061" max="13061" width="18.28125" style="114" customWidth="1"/>
    <col min="13062" max="13062" width="30.00390625" style="114" customWidth="1"/>
    <col min="13063" max="13073" width="9.28125" style="114" customWidth="1"/>
    <col min="13074" max="13074" width="12.28125" style="114" bestFit="1" customWidth="1"/>
    <col min="13075" max="13312" width="9.28125" style="114" customWidth="1"/>
    <col min="13313" max="13313" width="18.28125" style="114" customWidth="1"/>
    <col min="13314" max="13314" width="100.00390625" style="114" customWidth="1"/>
    <col min="13315" max="13315" width="14.8515625" style="114" customWidth="1"/>
    <col min="13316" max="13316" width="20.7109375" style="114" customWidth="1"/>
    <col min="13317" max="13317" width="18.28125" style="114" customWidth="1"/>
    <col min="13318" max="13318" width="30.00390625" style="114" customWidth="1"/>
    <col min="13319" max="13329" width="9.28125" style="114" customWidth="1"/>
    <col min="13330" max="13330" width="12.28125" style="114" bestFit="1" customWidth="1"/>
    <col min="13331" max="13568" width="9.28125" style="114" customWidth="1"/>
    <col min="13569" max="13569" width="18.28125" style="114" customWidth="1"/>
    <col min="13570" max="13570" width="100.00390625" style="114" customWidth="1"/>
    <col min="13571" max="13571" width="14.8515625" style="114" customWidth="1"/>
    <col min="13572" max="13572" width="20.7109375" style="114" customWidth="1"/>
    <col min="13573" max="13573" width="18.28125" style="114" customWidth="1"/>
    <col min="13574" max="13574" width="30.00390625" style="114" customWidth="1"/>
    <col min="13575" max="13585" width="9.28125" style="114" customWidth="1"/>
    <col min="13586" max="13586" width="12.28125" style="114" bestFit="1" customWidth="1"/>
    <col min="13587" max="13824" width="9.28125" style="114" customWidth="1"/>
    <col min="13825" max="13825" width="18.28125" style="114" customWidth="1"/>
    <col min="13826" max="13826" width="100.00390625" style="114" customWidth="1"/>
    <col min="13827" max="13827" width="14.8515625" style="114" customWidth="1"/>
    <col min="13828" max="13828" width="20.7109375" style="114" customWidth="1"/>
    <col min="13829" max="13829" width="18.28125" style="114" customWidth="1"/>
    <col min="13830" max="13830" width="30.00390625" style="114" customWidth="1"/>
    <col min="13831" max="13841" width="9.28125" style="114" customWidth="1"/>
    <col min="13842" max="13842" width="12.28125" style="114" bestFit="1" customWidth="1"/>
    <col min="13843" max="14080" width="9.28125" style="114" customWidth="1"/>
    <col min="14081" max="14081" width="18.28125" style="114" customWidth="1"/>
    <col min="14082" max="14082" width="100.00390625" style="114" customWidth="1"/>
    <col min="14083" max="14083" width="14.8515625" style="114" customWidth="1"/>
    <col min="14084" max="14084" width="20.7109375" style="114" customWidth="1"/>
    <col min="14085" max="14085" width="18.28125" style="114" customWidth="1"/>
    <col min="14086" max="14086" width="30.00390625" style="114" customWidth="1"/>
    <col min="14087" max="14097" width="9.28125" style="114" customWidth="1"/>
    <col min="14098" max="14098" width="12.28125" style="114" bestFit="1" customWidth="1"/>
    <col min="14099" max="14336" width="9.28125" style="114" customWidth="1"/>
    <col min="14337" max="14337" width="18.28125" style="114" customWidth="1"/>
    <col min="14338" max="14338" width="100.00390625" style="114" customWidth="1"/>
    <col min="14339" max="14339" width="14.8515625" style="114" customWidth="1"/>
    <col min="14340" max="14340" width="20.7109375" style="114" customWidth="1"/>
    <col min="14341" max="14341" width="18.28125" style="114" customWidth="1"/>
    <col min="14342" max="14342" width="30.00390625" style="114" customWidth="1"/>
    <col min="14343" max="14353" width="9.28125" style="114" customWidth="1"/>
    <col min="14354" max="14354" width="12.28125" style="114" bestFit="1" customWidth="1"/>
    <col min="14355" max="14592" width="9.28125" style="114" customWidth="1"/>
    <col min="14593" max="14593" width="18.28125" style="114" customWidth="1"/>
    <col min="14594" max="14594" width="100.00390625" style="114" customWidth="1"/>
    <col min="14595" max="14595" width="14.8515625" style="114" customWidth="1"/>
    <col min="14596" max="14596" width="20.7109375" style="114" customWidth="1"/>
    <col min="14597" max="14597" width="18.28125" style="114" customWidth="1"/>
    <col min="14598" max="14598" width="30.00390625" style="114" customWidth="1"/>
    <col min="14599" max="14609" width="9.28125" style="114" customWidth="1"/>
    <col min="14610" max="14610" width="12.28125" style="114" bestFit="1" customWidth="1"/>
    <col min="14611" max="14848" width="9.28125" style="114" customWidth="1"/>
    <col min="14849" max="14849" width="18.28125" style="114" customWidth="1"/>
    <col min="14850" max="14850" width="100.00390625" style="114" customWidth="1"/>
    <col min="14851" max="14851" width="14.8515625" style="114" customWidth="1"/>
    <col min="14852" max="14852" width="20.7109375" style="114" customWidth="1"/>
    <col min="14853" max="14853" width="18.28125" style="114" customWidth="1"/>
    <col min="14854" max="14854" width="30.00390625" style="114" customWidth="1"/>
    <col min="14855" max="14865" width="9.28125" style="114" customWidth="1"/>
    <col min="14866" max="14866" width="12.28125" style="114" bestFit="1" customWidth="1"/>
    <col min="14867" max="15104" width="9.28125" style="114" customWidth="1"/>
    <col min="15105" max="15105" width="18.28125" style="114" customWidth="1"/>
    <col min="15106" max="15106" width="100.00390625" style="114" customWidth="1"/>
    <col min="15107" max="15107" width="14.8515625" style="114" customWidth="1"/>
    <col min="15108" max="15108" width="20.7109375" style="114" customWidth="1"/>
    <col min="15109" max="15109" width="18.28125" style="114" customWidth="1"/>
    <col min="15110" max="15110" width="30.00390625" style="114" customWidth="1"/>
    <col min="15111" max="15121" width="9.28125" style="114" customWidth="1"/>
    <col min="15122" max="15122" width="12.28125" style="114" bestFit="1" customWidth="1"/>
    <col min="15123" max="15360" width="9.28125" style="114" customWidth="1"/>
    <col min="15361" max="15361" width="18.28125" style="114" customWidth="1"/>
    <col min="15362" max="15362" width="100.00390625" style="114" customWidth="1"/>
    <col min="15363" max="15363" width="14.8515625" style="114" customWidth="1"/>
    <col min="15364" max="15364" width="20.7109375" style="114" customWidth="1"/>
    <col min="15365" max="15365" width="18.28125" style="114" customWidth="1"/>
    <col min="15366" max="15366" width="30.00390625" style="114" customWidth="1"/>
    <col min="15367" max="15377" width="9.28125" style="114" customWidth="1"/>
    <col min="15378" max="15378" width="12.28125" style="114" bestFit="1" customWidth="1"/>
    <col min="15379" max="15616" width="9.28125" style="114" customWidth="1"/>
    <col min="15617" max="15617" width="18.28125" style="114" customWidth="1"/>
    <col min="15618" max="15618" width="100.00390625" style="114" customWidth="1"/>
    <col min="15619" max="15619" width="14.8515625" style="114" customWidth="1"/>
    <col min="15620" max="15620" width="20.7109375" style="114" customWidth="1"/>
    <col min="15621" max="15621" width="18.28125" style="114" customWidth="1"/>
    <col min="15622" max="15622" width="30.00390625" style="114" customWidth="1"/>
    <col min="15623" max="15633" width="9.28125" style="114" customWidth="1"/>
    <col min="15634" max="15634" width="12.28125" style="114" bestFit="1" customWidth="1"/>
    <col min="15635" max="15872" width="9.28125" style="114" customWidth="1"/>
    <col min="15873" max="15873" width="18.28125" style="114" customWidth="1"/>
    <col min="15874" max="15874" width="100.00390625" style="114" customWidth="1"/>
    <col min="15875" max="15875" width="14.8515625" style="114" customWidth="1"/>
    <col min="15876" max="15876" width="20.7109375" style="114" customWidth="1"/>
    <col min="15877" max="15877" width="18.28125" style="114" customWidth="1"/>
    <col min="15878" max="15878" width="30.00390625" style="114" customWidth="1"/>
    <col min="15879" max="15889" width="9.28125" style="114" customWidth="1"/>
    <col min="15890" max="15890" width="12.28125" style="114" bestFit="1" customWidth="1"/>
    <col min="15891" max="16128" width="9.28125" style="114" customWidth="1"/>
    <col min="16129" max="16129" width="18.28125" style="114" customWidth="1"/>
    <col min="16130" max="16130" width="100.00390625" style="114" customWidth="1"/>
    <col min="16131" max="16131" width="14.8515625" style="114" customWidth="1"/>
    <col min="16132" max="16132" width="20.7109375" style="114" customWidth="1"/>
    <col min="16133" max="16133" width="18.28125" style="114" customWidth="1"/>
    <col min="16134" max="16134" width="30.00390625" style="114" customWidth="1"/>
    <col min="16135" max="16145" width="9.28125" style="114" customWidth="1"/>
    <col min="16146" max="16146" width="12.28125" style="114" bestFit="1" customWidth="1"/>
    <col min="16147" max="16384" width="9.28125" style="114" customWidth="1"/>
  </cols>
  <sheetData>
    <row r="1" spans="1:6" ht="41.25" customHeight="1">
      <c r="A1" s="122"/>
      <c r="B1" s="123" t="s">
        <v>3340</v>
      </c>
      <c r="C1" s="124"/>
      <c r="D1" s="124"/>
      <c r="E1" s="124"/>
      <c r="F1" s="125" t="s">
        <v>3341</v>
      </c>
    </row>
    <row r="2" spans="1:6" ht="30" customHeight="1">
      <c r="A2" s="126"/>
      <c r="B2" s="127" t="s">
        <v>3342</v>
      </c>
      <c r="C2" s="128"/>
      <c r="D2" s="128"/>
      <c r="E2" s="844"/>
      <c r="F2" s="845"/>
    </row>
    <row r="3" spans="1:6" ht="22.5">
      <c r="A3" s="129" t="s">
        <v>3343</v>
      </c>
      <c r="B3" s="130" t="s">
        <v>15</v>
      </c>
      <c r="C3" s="128"/>
      <c r="D3" s="131"/>
      <c r="E3" s="846"/>
      <c r="F3" s="845"/>
    </row>
    <row r="4" spans="1:6" ht="9.75" customHeight="1" thickBot="1">
      <c r="A4" s="132"/>
      <c r="B4" s="133"/>
      <c r="C4" s="134"/>
      <c r="D4" s="134"/>
      <c r="E4" s="134"/>
      <c r="F4" s="135"/>
    </row>
    <row r="5" spans="1:7" s="90" customFormat="1" ht="51.75" customHeight="1" thickBot="1">
      <c r="A5" s="136" t="s">
        <v>3345</v>
      </c>
      <c r="B5" s="137" t="s">
        <v>3346</v>
      </c>
      <c r="C5" s="136" t="s">
        <v>3347</v>
      </c>
      <c r="D5" s="136" t="s">
        <v>3348</v>
      </c>
      <c r="E5" s="136" t="s">
        <v>3349</v>
      </c>
      <c r="F5" s="136" t="s">
        <v>3350</v>
      </c>
      <c r="G5" s="781"/>
    </row>
    <row r="6" spans="1:7" s="2" customFormat="1" ht="24" customHeight="1">
      <c r="A6" s="138"/>
      <c r="B6" s="139" t="s">
        <v>3351</v>
      </c>
      <c r="C6" s="138"/>
      <c r="D6" s="138"/>
      <c r="E6" s="138"/>
      <c r="F6" s="140"/>
      <c r="G6" s="782"/>
    </row>
    <row r="7" spans="1:7" s="2" customFormat="1" ht="24" customHeight="1">
      <c r="A7" s="141" t="s">
        <v>3352</v>
      </c>
      <c r="B7" s="142" t="s">
        <v>3353</v>
      </c>
      <c r="C7" s="143"/>
      <c r="D7" s="143"/>
      <c r="E7" s="143"/>
      <c r="F7" s="144">
        <f>F24</f>
        <v>0</v>
      </c>
      <c r="G7" s="782"/>
    </row>
    <row r="8" spans="1:7" s="2" customFormat="1" ht="24" customHeight="1">
      <c r="A8" s="141" t="s">
        <v>3354</v>
      </c>
      <c r="B8" s="145" t="s">
        <v>3356</v>
      </c>
      <c r="C8" s="143"/>
      <c r="D8" s="143"/>
      <c r="E8" s="143"/>
      <c r="F8" s="144">
        <f>F41</f>
        <v>0</v>
      </c>
      <c r="G8" s="782"/>
    </row>
    <row r="9" spans="1:7" s="2" customFormat="1" ht="24" customHeight="1" thickBot="1">
      <c r="A9" s="141" t="s">
        <v>3355</v>
      </c>
      <c r="B9" s="145" t="s">
        <v>3357</v>
      </c>
      <c r="C9" s="143"/>
      <c r="D9" s="143"/>
      <c r="E9" s="143"/>
      <c r="F9" s="144">
        <f>F76</f>
        <v>0</v>
      </c>
      <c r="G9" s="782"/>
    </row>
    <row r="10" spans="1:7" s="2" customFormat="1" ht="24" customHeight="1" thickBot="1">
      <c r="A10" s="146"/>
      <c r="B10" s="147" t="s">
        <v>3358</v>
      </c>
      <c r="C10" s="148"/>
      <c r="D10" s="148"/>
      <c r="E10" s="148"/>
      <c r="F10" s="149">
        <f>SUM(F7:F9)</f>
        <v>0</v>
      </c>
      <c r="G10" s="782"/>
    </row>
    <row r="11" spans="1:7" s="2" customFormat="1" ht="24" customHeight="1" thickBot="1">
      <c r="A11" s="150"/>
      <c r="B11" s="151"/>
      <c r="C11" s="152"/>
      <c r="D11" s="153"/>
      <c r="E11" s="153"/>
      <c r="F11" s="154"/>
      <c r="G11" s="782"/>
    </row>
    <row r="12" spans="1:7" s="2" customFormat="1" ht="24" customHeight="1" thickBot="1">
      <c r="A12" s="155"/>
      <c r="B12" s="156" t="s">
        <v>3353</v>
      </c>
      <c r="C12" s="157"/>
      <c r="D12" s="153"/>
      <c r="E12" s="153"/>
      <c r="F12" s="154"/>
      <c r="G12" s="782"/>
    </row>
    <row r="13" spans="1:7" s="2" customFormat="1" ht="24" customHeight="1" thickBot="1">
      <c r="A13" s="158">
        <v>1</v>
      </c>
      <c r="B13" s="159" t="s">
        <v>3390</v>
      </c>
      <c r="C13" s="91" t="s">
        <v>1361</v>
      </c>
      <c r="D13" s="91">
        <v>1</v>
      </c>
      <c r="E13" s="678"/>
      <c r="F13" s="160">
        <f aca="true" t="shared" si="0" ref="F13:F20">D13*E13</f>
        <v>0</v>
      </c>
      <c r="G13" s="782"/>
    </row>
    <row r="14" spans="1:7" s="2" customFormat="1" ht="24" customHeight="1">
      <c r="A14" s="161">
        <v>2</v>
      </c>
      <c r="B14" s="162" t="s">
        <v>3391</v>
      </c>
      <c r="C14" s="163" t="s">
        <v>1361</v>
      </c>
      <c r="D14" s="163">
        <v>1</v>
      </c>
      <c r="E14" s="678"/>
      <c r="F14" s="164">
        <f t="shared" si="0"/>
        <v>0</v>
      </c>
      <c r="G14" s="782"/>
    </row>
    <row r="15" spans="1:7" s="2" customFormat="1" ht="24" customHeight="1">
      <c r="A15" s="141">
        <v>3</v>
      </c>
      <c r="B15" s="101" t="s">
        <v>3392</v>
      </c>
      <c r="C15" s="92" t="s">
        <v>1361</v>
      </c>
      <c r="D15" s="92">
        <v>8</v>
      </c>
      <c r="E15" s="679"/>
      <c r="F15" s="98">
        <f t="shared" si="0"/>
        <v>0</v>
      </c>
      <c r="G15" s="782"/>
    </row>
    <row r="16" spans="1:7" s="2" customFormat="1" ht="24" customHeight="1">
      <c r="A16" s="141">
        <v>4</v>
      </c>
      <c r="B16" s="101" t="s">
        <v>3393</v>
      </c>
      <c r="C16" s="92" t="s">
        <v>1361</v>
      </c>
      <c r="D16" s="92">
        <v>32</v>
      </c>
      <c r="E16" s="679"/>
      <c r="F16" s="98">
        <f t="shared" si="0"/>
        <v>0</v>
      </c>
      <c r="G16" s="782"/>
    </row>
    <row r="17" spans="1:7" s="2" customFormat="1" ht="24" customHeight="1">
      <c r="A17" s="141">
        <v>5</v>
      </c>
      <c r="B17" s="101" t="s">
        <v>3394</v>
      </c>
      <c r="C17" s="92" t="s">
        <v>1361</v>
      </c>
      <c r="D17" s="92">
        <v>2</v>
      </c>
      <c r="E17" s="679"/>
      <c r="F17" s="98">
        <f t="shared" si="0"/>
        <v>0</v>
      </c>
      <c r="G17" s="782"/>
    </row>
    <row r="18" spans="1:7" s="2" customFormat="1" ht="24" customHeight="1">
      <c r="A18" s="141">
        <v>6</v>
      </c>
      <c r="B18" s="101" t="s">
        <v>3395</v>
      </c>
      <c r="C18" s="92" t="s">
        <v>1361</v>
      </c>
      <c r="D18" s="92">
        <v>40</v>
      </c>
      <c r="E18" s="679"/>
      <c r="F18" s="98">
        <f t="shared" si="0"/>
        <v>0</v>
      </c>
      <c r="G18" s="782"/>
    </row>
    <row r="19" spans="1:7" s="2" customFormat="1" ht="24" customHeight="1">
      <c r="A19" s="141">
        <v>7</v>
      </c>
      <c r="B19" s="101" t="s">
        <v>3396</v>
      </c>
      <c r="C19" s="92" t="s">
        <v>1361</v>
      </c>
      <c r="D19" s="92">
        <v>3</v>
      </c>
      <c r="E19" s="679"/>
      <c r="F19" s="98">
        <f t="shared" si="0"/>
        <v>0</v>
      </c>
      <c r="G19" s="782"/>
    </row>
    <row r="20" spans="1:7" s="2" customFormat="1" ht="24" customHeight="1">
      <c r="A20" s="141">
        <v>8</v>
      </c>
      <c r="B20" s="101" t="s">
        <v>3397</v>
      </c>
      <c r="C20" s="92" t="s">
        <v>1361</v>
      </c>
      <c r="D20" s="92">
        <v>9</v>
      </c>
      <c r="E20" s="679"/>
      <c r="F20" s="98">
        <f t="shared" si="0"/>
        <v>0</v>
      </c>
      <c r="G20" s="782"/>
    </row>
    <row r="21" spans="1:7" s="2" customFormat="1" ht="24" customHeight="1">
      <c r="A21" s="165">
        <v>9</v>
      </c>
      <c r="B21" s="101" t="s">
        <v>3398</v>
      </c>
      <c r="C21" s="92" t="s">
        <v>1361</v>
      </c>
      <c r="D21" s="92">
        <v>2</v>
      </c>
      <c r="E21" s="679"/>
      <c r="F21" s="98">
        <f>D21*E21</f>
        <v>0</v>
      </c>
      <c r="G21" s="782"/>
    </row>
    <row r="22" spans="1:7" s="2" customFormat="1" ht="24" customHeight="1">
      <c r="A22" s="141">
        <v>10</v>
      </c>
      <c r="B22" s="101" t="s">
        <v>3399</v>
      </c>
      <c r="C22" s="92" t="s">
        <v>1361</v>
      </c>
      <c r="D22" s="92">
        <v>3</v>
      </c>
      <c r="E22" s="679"/>
      <c r="F22" s="98">
        <f>D22*E22</f>
        <v>0</v>
      </c>
      <c r="G22" s="782"/>
    </row>
    <row r="23" spans="1:7" s="2" customFormat="1" ht="24" customHeight="1" thickBot="1">
      <c r="A23" s="141">
        <v>11</v>
      </c>
      <c r="B23" s="101" t="s">
        <v>3400</v>
      </c>
      <c r="C23" s="92" t="s">
        <v>1361</v>
      </c>
      <c r="D23" s="92">
        <v>2</v>
      </c>
      <c r="E23" s="679"/>
      <c r="F23" s="166">
        <f>D23*E23</f>
        <v>0</v>
      </c>
      <c r="G23" s="782"/>
    </row>
    <row r="24" spans="1:7" s="2" customFormat="1" ht="24" customHeight="1" thickBot="1">
      <c r="A24" s="155"/>
      <c r="B24" s="147" t="s">
        <v>3372</v>
      </c>
      <c r="C24" s="157"/>
      <c r="D24" s="153"/>
      <c r="E24" s="680"/>
      <c r="F24" s="167">
        <f>SUM(F13:F23)</f>
        <v>0</v>
      </c>
      <c r="G24" s="782"/>
    </row>
    <row r="25" spans="1:7" s="2" customFormat="1" ht="24" customHeight="1" thickBot="1">
      <c r="A25" s="150"/>
      <c r="B25" s="151"/>
      <c r="C25" s="152"/>
      <c r="D25" s="153"/>
      <c r="E25" s="680"/>
      <c r="F25" s="168"/>
      <c r="G25" s="782"/>
    </row>
    <row r="26" spans="1:7" s="2" customFormat="1" ht="24" customHeight="1" thickBot="1">
      <c r="A26" s="169"/>
      <c r="B26" s="156" t="s">
        <v>3356</v>
      </c>
      <c r="C26" s="157"/>
      <c r="D26" s="153"/>
      <c r="E26" s="680"/>
      <c r="F26" s="168"/>
      <c r="G26" s="782"/>
    </row>
    <row r="27" spans="1:7" s="2" customFormat="1" ht="24" customHeight="1">
      <c r="A27" s="158">
        <v>1</v>
      </c>
      <c r="B27" s="159" t="s">
        <v>3946</v>
      </c>
      <c r="C27" s="91" t="s">
        <v>158</v>
      </c>
      <c r="D27" s="91">
        <v>10</v>
      </c>
      <c r="E27" s="678"/>
      <c r="F27" s="98">
        <f aca="true" t="shared" si="1" ref="F27:F40">D27*E27</f>
        <v>0</v>
      </c>
      <c r="G27" s="782" t="s">
        <v>3945</v>
      </c>
    </row>
    <row r="28" spans="1:10" s="2" customFormat="1" ht="24" customHeight="1">
      <c r="A28" s="141">
        <f>A27+1</f>
        <v>2</v>
      </c>
      <c r="B28" s="170" t="s">
        <v>3359</v>
      </c>
      <c r="C28" s="92" t="s">
        <v>158</v>
      </c>
      <c r="D28" s="92">
        <v>450</v>
      </c>
      <c r="E28" s="679"/>
      <c r="F28" s="98">
        <f t="shared" si="1"/>
        <v>0</v>
      </c>
      <c r="G28" s="782"/>
      <c r="J28" s="115"/>
    </row>
    <row r="29" spans="1:11" s="2" customFormat="1" ht="24" customHeight="1">
      <c r="A29" s="141">
        <f aca="true" t="shared" si="2" ref="A29:A40">A28+1</f>
        <v>3</v>
      </c>
      <c r="B29" s="101" t="s">
        <v>3360</v>
      </c>
      <c r="C29" s="92" t="s">
        <v>158</v>
      </c>
      <c r="D29" s="92">
        <v>150</v>
      </c>
      <c r="E29" s="679"/>
      <c r="F29" s="98">
        <f t="shared" si="1"/>
        <v>0</v>
      </c>
      <c r="G29" s="782"/>
      <c r="J29" s="93"/>
      <c r="K29" s="115"/>
    </row>
    <row r="30" spans="1:11" s="2" customFormat="1" ht="24" customHeight="1">
      <c r="A30" s="141">
        <f t="shared" si="2"/>
        <v>4</v>
      </c>
      <c r="B30" s="101" t="s">
        <v>3361</v>
      </c>
      <c r="C30" s="92" t="s">
        <v>158</v>
      </c>
      <c r="D30" s="92">
        <v>30</v>
      </c>
      <c r="E30" s="679"/>
      <c r="F30" s="98">
        <f t="shared" si="1"/>
        <v>0</v>
      </c>
      <c r="G30" s="782"/>
      <c r="H30" s="115"/>
      <c r="I30" s="115"/>
      <c r="J30" s="94"/>
      <c r="K30" s="115"/>
    </row>
    <row r="31" spans="1:7" s="2" customFormat="1" ht="24" customHeight="1">
      <c r="A31" s="141">
        <f t="shared" si="2"/>
        <v>5</v>
      </c>
      <c r="B31" s="101" t="s">
        <v>3362</v>
      </c>
      <c r="C31" s="92" t="s">
        <v>158</v>
      </c>
      <c r="D31" s="92">
        <v>400</v>
      </c>
      <c r="E31" s="679"/>
      <c r="F31" s="98">
        <f t="shared" si="1"/>
        <v>0</v>
      </c>
      <c r="G31" s="782"/>
    </row>
    <row r="32" spans="1:7" s="2" customFormat="1" ht="24" customHeight="1">
      <c r="A32" s="141">
        <f t="shared" si="2"/>
        <v>6</v>
      </c>
      <c r="B32" s="101" t="s">
        <v>3363</v>
      </c>
      <c r="C32" s="92" t="s">
        <v>1361</v>
      </c>
      <c r="D32" s="92">
        <v>350</v>
      </c>
      <c r="E32" s="679"/>
      <c r="F32" s="98">
        <f t="shared" si="1"/>
        <v>0</v>
      </c>
      <c r="G32" s="782"/>
    </row>
    <row r="33" spans="1:7" s="95" customFormat="1" ht="24" customHeight="1">
      <c r="A33" s="141">
        <f t="shared" si="2"/>
        <v>7</v>
      </c>
      <c r="B33" s="101" t="s">
        <v>3364</v>
      </c>
      <c r="C33" s="92" t="s">
        <v>1361</v>
      </c>
      <c r="D33" s="92">
        <v>80</v>
      </c>
      <c r="E33" s="679"/>
      <c r="F33" s="98">
        <f t="shared" si="1"/>
        <v>0</v>
      </c>
      <c r="G33" s="783"/>
    </row>
    <row r="34" spans="1:6" ht="24" customHeight="1">
      <c r="A34" s="141">
        <f t="shared" si="2"/>
        <v>8</v>
      </c>
      <c r="B34" s="170" t="s">
        <v>3365</v>
      </c>
      <c r="C34" s="92" t="s">
        <v>158</v>
      </c>
      <c r="D34" s="92">
        <v>50</v>
      </c>
      <c r="E34" s="679"/>
      <c r="F34" s="98">
        <f t="shared" si="1"/>
        <v>0</v>
      </c>
    </row>
    <row r="35" spans="1:6" ht="24" customHeight="1">
      <c r="A35" s="141">
        <f t="shared" si="2"/>
        <v>9</v>
      </c>
      <c r="B35" s="170" t="s">
        <v>3366</v>
      </c>
      <c r="C35" s="92" t="s">
        <v>158</v>
      </c>
      <c r="D35" s="92">
        <v>40</v>
      </c>
      <c r="E35" s="679"/>
      <c r="F35" s="98">
        <f t="shared" si="1"/>
        <v>0</v>
      </c>
    </row>
    <row r="36" spans="1:6" ht="24" customHeight="1">
      <c r="A36" s="141">
        <f t="shared" si="2"/>
        <v>10</v>
      </c>
      <c r="B36" s="170" t="s">
        <v>3367</v>
      </c>
      <c r="C36" s="92" t="s">
        <v>1361</v>
      </c>
      <c r="D36" s="92">
        <v>30</v>
      </c>
      <c r="E36" s="679"/>
      <c r="F36" s="98">
        <f t="shared" si="1"/>
        <v>0</v>
      </c>
    </row>
    <row r="37" spans="1:6" ht="24" customHeight="1">
      <c r="A37" s="141">
        <f t="shared" si="2"/>
        <v>11</v>
      </c>
      <c r="B37" s="101" t="s">
        <v>3368</v>
      </c>
      <c r="C37" s="92" t="s">
        <v>1361</v>
      </c>
      <c r="D37" s="92">
        <v>10</v>
      </c>
      <c r="E37" s="679"/>
      <c r="F37" s="98">
        <f t="shared" si="1"/>
        <v>0</v>
      </c>
    </row>
    <row r="38" spans="1:6" ht="24" customHeight="1">
      <c r="A38" s="141">
        <f t="shared" si="2"/>
        <v>12</v>
      </c>
      <c r="B38" s="101" t="s">
        <v>3369</v>
      </c>
      <c r="C38" s="92" t="s">
        <v>220</v>
      </c>
      <c r="D38" s="92">
        <v>2</v>
      </c>
      <c r="E38" s="681"/>
      <c r="F38" s="98">
        <f t="shared" si="1"/>
        <v>0</v>
      </c>
    </row>
    <row r="39" spans="1:6" ht="24" customHeight="1">
      <c r="A39" s="141">
        <f t="shared" si="2"/>
        <v>13</v>
      </c>
      <c r="B39" s="101" t="s">
        <v>3370</v>
      </c>
      <c r="C39" s="92" t="s">
        <v>1361</v>
      </c>
      <c r="D39" s="92">
        <v>12</v>
      </c>
      <c r="E39" s="681"/>
      <c r="F39" s="98">
        <f t="shared" si="1"/>
        <v>0</v>
      </c>
    </row>
    <row r="40" spans="1:6" ht="42" customHeight="1" thickBot="1">
      <c r="A40" s="141">
        <f t="shared" si="2"/>
        <v>14</v>
      </c>
      <c r="B40" s="142" t="s">
        <v>3371</v>
      </c>
      <c r="C40" s="141" t="s">
        <v>883</v>
      </c>
      <c r="D40" s="141">
        <v>1</v>
      </c>
      <c r="E40" s="679"/>
      <c r="F40" s="98">
        <f t="shared" si="1"/>
        <v>0</v>
      </c>
    </row>
    <row r="41" spans="1:6" ht="24" customHeight="1" thickBot="1">
      <c r="A41" s="169"/>
      <c r="B41" s="147" t="s">
        <v>3372</v>
      </c>
      <c r="C41" s="157"/>
      <c r="D41" s="153"/>
      <c r="E41" s="680"/>
      <c r="F41" s="171">
        <f>SUM(F27:F40)</f>
        <v>0</v>
      </c>
    </row>
    <row r="42" spans="1:6" ht="24" customHeight="1" thickBot="1">
      <c r="A42" s="169"/>
      <c r="B42" s="172"/>
      <c r="C42" s="157"/>
      <c r="D42" s="153"/>
      <c r="E42" s="680"/>
      <c r="F42" s="168"/>
    </row>
    <row r="43" spans="1:6" ht="24" customHeight="1" thickBot="1">
      <c r="A43" s="169"/>
      <c r="B43" s="156" t="s">
        <v>3357</v>
      </c>
      <c r="C43" s="157"/>
      <c r="D43" s="153"/>
      <c r="E43" s="680"/>
      <c r="F43" s="168"/>
    </row>
    <row r="44" spans="1:6" ht="24" customHeight="1">
      <c r="A44" s="165">
        <v>1</v>
      </c>
      <c r="B44" s="170" t="s">
        <v>3373</v>
      </c>
      <c r="C44" s="92" t="s">
        <v>158</v>
      </c>
      <c r="D44" s="92">
        <v>450</v>
      </c>
      <c r="E44" s="679"/>
      <c r="F44" s="98">
        <f aca="true" t="shared" si="3" ref="F44:F75">D44*E44</f>
        <v>0</v>
      </c>
    </row>
    <row r="45" spans="1:6" ht="24" customHeight="1">
      <c r="A45" s="165">
        <v>2</v>
      </c>
      <c r="B45" s="101" t="s">
        <v>3374</v>
      </c>
      <c r="C45" s="92" t="s">
        <v>158</v>
      </c>
      <c r="D45" s="92">
        <v>160</v>
      </c>
      <c r="E45" s="679"/>
      <c r="F45" s="98">
        <f t="shared" si="3"/>
        <v>0</v>
      </c>
    </row>
    <row r="46" spans="1:7" ht="24" customHeight="1">
      <c r="A46" s="161">
        <v>3</v>
      </c>
      <c r="B46" s="101" t="s">
        <v>3947</v>
      </c>
      <c r="C46" s="92" t="s">
        <v>158</v>
      </c>
      <c r="D46" s="92">
        <v>40</v>
      </c>
      <c r="E46" s="679"/>
      <c r="F46" s="98">
        <f t="shared" si="3"/>
        <v>0</v>
      </c>
      <c r="G46" s="780" t="s">
        <v>3948</v>
      </c>
    </row>
    <row r="47" spans="1:6" ht="24" customHeight="1">
      <c r="A47" s="161">
        <f aca="true" t="shared" si="4" ref="A47:A75">A46+1</f>
        <v>4</v>
      </c>
      <c r="B47" s="101" t="s">
        <v>3375</v>
      </c>
      <c r="C47" s="92" t="s">
        <v>158</v>
      </c>
      <c r="D47" s="92">
        <f>'[1]List1'!D21</f>
        <v>30</v>
      </c>
      <c r="E47" s="679"/>
      <c r="F47" s="98">
        <f t="shared" si="3"/>
        <v>0</v>
      </c>
    </row>
    <row r="48" spans="1:6" ht="24" customHeight="1">
      <c r="A48" s="161">
        <f t="shared" si="4"/>
        <v>5</v>
      </c>
      <c r="B48" s="101" t="s">
        <v>3376</v>
      </c>
      <c r="C48" s="92" t="s">
        <v>158</v>
      </c>
      <c r="D48" s="92">
        <v>400</v>
      </c>
      <c r="E48" s="679"/>
      <c r="F48" s="98">
        <f t="shared" si="3"/>
        <v>0</v>
      </c>
    </row>
    <row r="49" spans="1:6" ht="24" customHeight="1">
      <c r="A49" s="161">
        <f t="shared" si="4"/>
        <v>6</v>
      </c>
      <c r="B49" s="101" t="s">
        <v>3377</v>
      </c>
      <c r="C49" s="92" t="s">
        <v>1361</v>
      </c>
      <c r="D49" s="92">
        <v>350</v>
      </c>
      <c r="E49" s="679"/>
      <c r="F49" s="98">
        <f t="shared" si="3"/>
        <v>0</v>
      </c>
    </row>
    <row r="50" spans="1:6" ht="24" customHeight="1">
      <c r="A50" s="161">
        <f t="shared" si="4"/>
        <v>7</v>
      </c>
      <c r="B50" s="101" t="s">
        <v>3378</v>
      </c>
      <c r="C50" s="92" t="s">
        <v>1361</v>
      </c>
      <c r="D50" s="92">
        <v>80</v>
      </c>
      <c r="E50" s="679"/>
      <c r="F50" s="98">
        <f t="shared" si="3"/>
        <v>0</v>
      </c>
    </row>
    <row r="51" spans="1:6" ht="24" customHeight="1">
      <c r="A51" s="161">
        <f t="shared" si="4"/>
        <v>8</v>
      </c>
      <c r="B51" s="170" t="s">
        <v>3379</v>
      </c>
      <c r="C51" s="92" t="s">
        <v>158</v>
      </c>
      <c r="D51" s="92">
        <f>'[1]List1'!D25</f>
        <v>50</v>
      </c>
      <c r="E51" s="679"/>
      <c r="F51" s="98">
        <f t="shared" si="3"/>
        <v>0</v>
      </c>
    </row>
    <row r="52" spans="1:6" ht="24" customHeight="1">
      <c r="A52" s="161">
        <f t="shared" si="4"/>
        <v>9</v>
      </c>
      <c r="B52" s="101" t="s">
        <v>3380</v>
      </c>
      <c r="C52" s="92" t="s">
        <v>1361</v>
      </c>
      <c r="D52" s="92">
        <v>30</v>
      </c>
      <c r="E52" s="679"/>
      <c r="F52" s="98">
        <f t="shared" si="3"/>
        <v>0</v>
      </c>
    </row>
    <row r="53" spans="1:6" ht="24" customHeight="1">
      <c r="A53" s="161">
        <f t="shared" si="4"/>
        <v>10</v>
      </c>
      <c r="B53" s="101" t="s">
        <v>3381</v>
      </c>
      <c r="C53" s="92" t="s">
        <v>1361</v>
      </c>
      <c r="D53" s="92">
        <v>20</v>
      </c>
      <c r="E53" s="679"/>
      <c r="F53" s="98">
        <f t="shared" si="3"/>
        <v>0</v>
      </c>
    </row>
    <row r="54" spans="1:6" ht="24" customHeight="1">
      <c r="A54" s="161">
        <f t="shared" si="4"/>
        <v>11</v>
      </c>
      <c r="B54" s="101" t="s">
        <v>3382</v>
      </c>
      <c r="C54" s="92" t="s">
        <v>1361</v>
      </c>
      <c r="D54" s="92">
        <f>'[1]List1'!D30</f>
        <v>12</v>
      </c>
      <c r="E54" s="679"/>
      <c r="F54" s="98">
        <f t="shared" si="3"/>
        <v>0</v>
      </c>
    </row>
    <row r="55" spans="1:6" ht="24" customHeight="1">
      <c r="A55" s="161">
        <f t="shared" si="4"/>
        <v>12</v>
      </c>
      <c r="B55" s="101" t="s">
        <v>3383</v>
      </c>
      <c r="C55" s="92" t="s">
        <v>158</v>
      </c>
      <c r="D55" s="92">
        <v>380</v>
      </c>
      <c r="E55" s="679"/>
      <c r="F55" s="98">
        <f t="shared" si="3"/>
        <v>0</v>
      </c>
    </row>
    <row r="56" spans="1:6" ht="24" customHeight="1">
      <c r="A56" s="161">
        <f t="shared" si="4"/>
        <v>13</v>
      </c>
      <c r="B56" s="101" t="s">
        <v>3384</v>
      </c>
      <c r="C56" s="92" t="s">
        <v>2010</v>
      </c>
      <c r="D56" s="92">
        <v>4</v>
      </c>
      <c r="E56" s="679"/>
      <c r="F56" s="98">
        <f t="shared" si="3"/>
        <v>0</v>
      </c>
    </row>
    <row r="57" spans="1:6" ht="24" customHeight="1">
      <c r="A57" s="161">
        <f t="shared" si="4"/>
        <v>14</v>
      </c>
      <c r="B57" s="173" t="s">
        <v>3385</v>
      </c>
      <c r="C57" s="92" t="s">
        <v>158</v>
      </c>
      <c r="D57" s="92">
        <v>50</v>
      </c>
      <c r="E57" s="679"/>
      <c r="F57" s="98">
        <f t="shared" si="3"/>
        <v>0</v>
      </c>
    </row>
    <row r="58" spans="1:6" ht="24" customHeight="1">
      <c r="A58" s="161">
        <f t="shared" si="4"/>
        <v>15</v>
      </c>
      <c r="B58" s="101" t="s">
        <v>3387</v>
      </c>
      <c r="C58" s="96" t="s">
        <v>1361</v>
      </c>
      <c r="D58" s="96">
        <v>15</v>
      </c>
      <c r="E58" s="679"/>
      <c r="F58" s="98">
        <f aca="true" t="shared" si="5" ref="F58:F72">D58*E58</f>
        <v>0</v>
      </c>
    </row>
    <row r="59" spans="1:6" ht="24" customHeight="1">
      <c r="A59" s="161">
        <f t="shared" si="4"/>
        <v>16</v>
      </c>
      <c r="B59" s="101" t="s">
        <v>3388</v>
      </c>
      <c r="C59" s="96" t="s">
        <v>1361</v>
      </c>
      <c r="D59" s="96">
        <v>20</v>
      </c>
      <c r="E59" s="679"/>
      <c r="F59" s="98">
        <f t="shared" si="5"/>
        <v>0</v>
      </c>
    </row>
    <row r="60" spans="1:6" ht="24" customHeight="1">
      <c r="A60" s="161">
        <f t="shared" si="4"/>
        <v>17</v>
      </c>
      <c r="B60" s="174" t="s">
        <v>3389</v>
      </c>
      <c r="C60" s="165" t="s">
        <v>1548</v>
      </c>
      <c r="D60" s="165">
        <v>2</v>
      </c>
      <c r="E60" s="679"/>
      <c r="F60" s="98">
        <f t="shared" si="5"/>
        <v>0</v>
      </c>
    </row>
    <row r="61" spans="1:6" ht="23.25">
      <c r="A61" s="161">
        <f t="shared" si="4"/>
        <v>18</v>
      </c>
      <c r="B61" s="162" t="s">
        <v>3401</v>
      </c>
      <c r="C61" s="163" t="s">
        <v>1361</v>
      </c>
      <c r="D61" s="163">
        <v>1</v>
      </c>
      <c r="E61" s="679"/>
      <c r="F61" s="164">
        <f t="shared" si="5"/>
        <v>0</v>
      </c>
    </row>
    <row r="62" spans="1:6" ht="23.25">
      <c r="A62" s="161">
        <f t="shared" si="4"/>
        <v>19</v>
      </c>
      <c r="B62" s="175" t="s">
        <v>3402</v>
      </c>
      <c r="C62" s="92" t="s">
        <v>1361</v>
      </c>
      <c r="D62" s="92">
        <v>1</v>
      </c>
      <c r="E62" s="679"/>
      <c r="F62" s="98">
        <f t="shared" si="5"/>
        <v>0</v>
      </c>
    </row>
    <row r="63" spans="1:6" ht="23.25">
      <c r="A63" s="161">
        <f t="shared" si="4"/>
        <v>20</v>
      </c>
      <c r="B63" s="101" t="s">
        <v>3403</v>
      </c>
      <c r="C63" s="92" t="s">
        <v>1361</v>
      </c>
      <c r="D63" s="92">
        <v>43</v>
      </c>
      <c r="E63" s="679"/>
      <c r="F63" s="98">
        <f t="shared" si="5"/>
        <v>0</v>
      </c>
    </row>
    <row r="64" spans="1:6" ht="24" customHeight="1">
      <c r="A64" s="161">
        <f t="shared" si="4"/>
        <v>21</v>
      </c>
      <c r="B64" s="101" t="s">
        <v>3404</v>
      </c>
      <c r="C64" s="92" t="s">
        <v>1361</v>
      </c>
      <c r="D64" s="92">
        <v>43</v>
      </c>
      <c r="E64" s="679"/>
      <c r="F64" s="98">
        <f t="shared" si="5"/>
        <v>0</v>
      </c>
    </row>
    <row r="65" spans="1:6" ht="24" customHeight="1">
      <c r="A65" s="161">
        <f t="shared" si="4"/>
        <v>22</v>
      </c>
      <c r="B65" s="101" t="s">
        <v>3405</v>
      </c>
      <c r="C65" s="92" t="s">
        <v>1361</v>
      </c>
      <c r="D65" s="92">
        <v>9</v>
      </c>
      <c r="E65" s="679"/>
      <c r="F65" s="98">
        <f t="shared" si="5"/>
        <v>0</v>
      </c>
    </row>
    <row r="66" spans="1:6" ht="24" customHeight="1">
      <c r="A66" s="161">
        <f t="shared" si="4"/>
        <v>23</v>
      </c>
      <c r="B66" s="101" t="s">
        <v>3406</v>
      </c>
      <c r="C66" s="92" t="s">
        <v>1361</v>
      </c>
      <c r="D66" s="92">
        <v>5</v>
      </c>
      <c r="E66" s="679"/>
      <c r="F66" s="98">
        <f t="shared" si="5"/>
        <v>0</v>
      </c>
    </row>
    <row r="67" spans="1:6" ht="24" customHeight="1">
      <c r="A67" s="161">
        <f t="shared" si="4"/>
        <v>24</v>
      </c>
      <c r="B67" s="101" t="s">
        <v>3407</v>
      </c>
      <c r="C67" s="92" t="s">
        <v>1361</v>
      </c>
      <c r="D67" s="92">
        <v>40</v>
      </c>
      <c r="E67" s="679"/>
      <c r="F67" s="98">
        <f t="shared" si="5"/>
        <v>0</v>
      </c>
    </row>
    <row r="68" spans="1:6" ht="24" customHeight="1">
      <c r="A68" s="161">
        <f t="shared" si="4"/>
        <v>25</v>
      </c>
      <c r="B68" s="101" t="s">
        <v>3408</v>
      </c>
      <c r="C68" s="92" t="s">
        <v>1361</v>
      </c>
      <c r="D68" s="92">
        <v>10</v>
      </c>
      <c r="E68" s="679"/>
      <c r="F68" s="98">
        <f t="shared" si="5"/>
        <v>0</v>
      </c>
    </row>
    <row r="69" spans="1:6" ht="24" customHeight="1">
      <c r="A69" s="161">
        <f t="shared" si="4"/>
        <v>26</v>
      </c>
      <c r="B69" s="101" t="s">
        <v>3409</v>
      </c>
      <c r="C69" s="92" t="s">
        <v>1361</v>
      </c>
      <c r="D69" s="92">
        <v>5</v>
      </c>
      <c r="E69" s="679"/>
      <c r="F69" s="98">
        <f t="shared" si="5"/>
        <v>0</v>
      </c>
    </row>
    <row r="70" spans="1:6" ht="24" customHeight="1">
      <c r="A70" s="161">
        <f t="shared" si="4"/>
        <v>27</v>
      </c>
      <c r="B70" s="101" t="s">
        <v>3410</v>
      </c>
      <c r="C70" s="92" t="s">
        <v>1361</v>
      </c>
      <c r="D70" s="92">
        <v>49</v>
      </c>
      <c r="E70" s="679"/>
      <c r="F70" s="98">
        <f t="shared" si="5"/>
        <v>0</v>
      </c>
    </row>
    <row r="71" spans="1:6" ht="24" customHeight="1">
      <c r="A71" s="161">
        <f t="shared" si="4"/>
        <v>28</v>
      </c>
      <c r="B71" s="101" t="s">
        <v>3411</v>
      </c>
      <c r="C71" s="92" t="s">
        <v>1361</v>
      </c>
      <c r="D71" s="92">
        <v>1</v>
      </c>
      <c r="E71" s="679"/>
      <c r="F71" s="98">
        <f t="shared" si="5"/>
        <v>0</v>
      </c>
    </row>
    <row r="72" spans="1:6" ht="24" customHeight="1">
      <c r="A72" s="161">
        <f t="shared" si="4"/>
        <v>29</v>
      </c>
      <c r="B72" s="176" t="s">
        <v>3412</v>
      </c>
      <c r="C72" s="177" t="s">
        <v>1361</v>
      </c>
      <c r="D72" s="177">
        <v>1</v>
      </c>
      <c r="E72" s="682"/>
      <c r="F72" s="98">
        <f t="shared" si="5"/>
        <v>0</v>
      </c>
    </row>
    <row r="73" spans="1:7" s="99" customFormat="1" ht="45.75" customHeight="1">
      <c r="A73" s="161">
        <f t="shared" si="4"/>
        <v>30</v>
      </c>
      <c r="B73" s="101" t="s">
        <v>3413</v>
      </c>
      <c r="C73" s="96" t="s">
        <v>883</v>
      </c>
      <c r="D73" s="96">
        <v>1</v>
      </c>
      <c r="E73" s="679"/>
      <c r="F73" s="98">
        <f t="shared" si="3"/>
        <v>0</v>
      </c>
      <c r="G73" s="784"/>
    </row>
    <row r="74" spans="1:7" s="99" customFormat="1" ht="24" customHeight="1">
      <c r="A74" s="161">
        <f t="shared" si="4"/>
        <v>31</v>
      </c>
      <c r="B74" s="101" t="s">
        <v>3386</v>
      </c>
      <c r="C74" s="96" t="s">
        <v>883</v>
      </c>
      <c r="D74" s="96">
        <v>1</v>
      </c>
      <c r="E74" s="683"/>
      <c r="F74" s="98">
        <f t="shared" si="3"/>
        <v>0</v>
      </c>
      <c r="G74" s="784"/>
    </row>
    <row r="75" spans="1:7" s="99" customFormat="1" ht="24" customHeight="1" thickBot="1">
      <c r="A75" s="161">
        <f t="shared" si="4"/>
        <v>32</v>
      </c>
      <c r="B75" s="101" t="s">
        <v>3651</v>
      </c>
      <c r="C75" s="96" t="s">
        <v>883</v>
      </c>
      <c r="D75" s="96">
        <v>1</v>
      </c>
      <c r="E75" s="683"/>
      <c r="F75" s="98">
        <f t="shared" si="3"/>
        <v>0</v>
      </c>
      <c r="G75" s="784"/>
    </row>
    <row r="76" spans="1:6" ht="24" customHeight="1" thickBot="1">
      <c r="A76" s="178"/>
      <c r="B76" s="147" t="s">
        <v>3372</v>
      </c>
      <c r="C76" s="157"/>
      <c r="D76" s="157"/>
      <c r="E76" s="153"/>
      <c r="F76" s="171">
        <f>SUM(F44:F75)</f>
        <v>0</v>
      </c>
    </row>
  </sheetData>
  <sheetProtection password="CABD" sheet="1" objects="1" scenarios="1"/>
  <mergeCells count="1">
    <mergeCell ref="E2:F3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53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84"/>
  <sheetViews>
    <sheetView zoomScale="75" zoomScaleNormal="75" workbookViewId="0" topLeftCell="A1">
      <selection activeCell="E2" sqref="E2:F3"/>
    </sheetView>
  </sheetViews>
  <sheetFormatPr defaultColWidth="9.140625" defaultRowHeight="12"/>
  <cols>
    <col min="1" max="1" width="18.28125" style="586" customWidth="1"/>
    <col min="2" max="2" width="100.00390625" style="759" customWidth="1"/>
    <col min="3" max="3" width="14.8515625" style="586" customWidth="1"/>
    <col min="4" max="4" width="20.7109375" style="586" customWidth="1"/>
    <col min="5" max="5" width="18.28125" style="586" customWidth="1"/>
    <col min="6" max="6" width="30.00390625" style="586" customWidth="1"/>
    <col min="7" max="7" width="16.140625" style="785" bestFit="1" customWidth="1"/>
    <col min="8" max="16384" width="9.28125" style="78" customWidth="1"/>
  </cols>
  <sheetData>
    <row r="1" spans="1:6" ht="23.25">
      <c r="A1" s="684"/>
      <c r="B1" s="685" t="s">
        <v>3340</v>
      </c>
      <c r="C1" s="686"/>
      <c r="D1" s="686"/>
      <c r="E1" s="686"/>
      <c r="F1" s="687" t="s">
        <v>3341</v>
      </c>
    </row>
    <row r="2" spans="1:6" ht="63">
      <c r="A2" s="688"/>
      <c r="B2" s="689" t="s">
        <v>3414</v>
      </c>
      <c r="C2" s="690"/>
      <c r="D2" s="690"/>
      <c r="E2" s="847"/>
      <c r="F2" s="848"/>
    </row>
    <row r="3" spans="1:6" ht="22.5">
      <c r="A3" s="691" t="s">
        <v>3343</v>
      </c>
      <c r="B3" s="692" t="s">
        <v>15</v>
      </c>
      <c r="C3" s="690"/>
      <c r="D3" s="693"/>
      <c r="E3" s="849"/>
      <c r="F3" s="848"/>
    </row>
    <row r="4" spans="1:6" ht="15" thickBot="1">
      <c r="A4" s="694"/>
      <c r="B4" s="695"/>
      <c r="C4" s="696"/>
      <c r="D4" s="696"/>
      <c r="E4" s="696"/>
      <c r="F4" s="697"/>
    </row>
    <row r="5" spans="1:6" ht="36.75" thickBot="1">
      <c r="A5" s="698" t="s">
        <v>3345</v>
      </c>
      <c r="B5" s="699" t="s">
        <v>3346</v>
      </c>
      <c r="C5" s="698" t="s">
        <v>3347</v>
      </c>
      <c r="D5" s="698" t="s">
        <v>3348</v>
      </c>
      <c r="E5" s="698" t="s">
        <v>3349</v>
      </c>
      <c r="F5" s="698" t="s">
        <v>3350</v>
      </c>
    </row>
    <row r="6" spans="1:6" ht="23.25">
      <c r="A6" s="700"/>
      <c r="B6" s="701" t="s">
        <v>3415</v>
      </c>
      <c r="C6" s="700"/>
      <c r="D6" s="700"/>
      <c r="E6" s="700"/>
      <c r="F6" s="702"/>
    </row>
    <row r="7" spans="1:6" ht="23.25">
      <c r="A7" s="703" t="s">
        <v>3352</v>
      </c>
      <c r="B7" s="704" t="s">
        <v>3416</v>
      </c>
      <c r="C7" s="705"/>
      <c r="D7" s="705"/>
      <c r="E7" s="705"/>
      <c r="F7" s="706">
        <f>F35</f>
        <v>0</v>
      </c>
    </row>
    <row r="8" spans="1:6" ht="23.25">
      <c r="A8" s="703" t="s">
        <v>3355</v>
      </c>
      <c r="B8" s="707" t="s">
        <v>3417</v>
      </c>
      <c r="C8" s="705"/>
      <c r="D8" s="705"/>
      <c r="E8" s="705"/>
      <c r="F8" s="706">
        <f>F47</f>
        <v>0</v>
      </c>
    </row>
    <row r="9" spans="1:6" ht="24" thickBot="1">
      <c r="A9" s="703" t="s">
        <v>3418</v>
      </c>
      <c r="B9" s="707" t="s">
        <v>3419</v>
      </c>
      <c r="C9" s="705"/>
      <c r="D9" s="705"/>
      <c r="E9" s="705"/>
      <c r="F9" s="706">
        <f>F84</f>
        <v>0</v>
      </c>
    </row>
    <row r="10" spans="1:6" ht="24" thickBot="1">
      <c r="A10" s="708"/>
      <c r="B10" s="709" t="s">
        <v>3358</v>
      </c>
      <c r="C10" s="710"/>
      <c r="D10" s="710"/>
      <c r="E10" s="710"/>
      <c r="F10" s="711">
        <f>SUM(F7:F9)</f>
        <v>0</v>
      </c>
    </row>
    <row r="11" spans="1:6" ht="24" thickBot="1">
      <c r="A11" s="712"/>
      <c r="B11" s="713"/>
      <c r="C11" s="714"/>
      <c r="D11" s="715"/>
      <c r="E11" s="715"/>
      <c r="F11" s="716"/>
    </row>
    <row r="12" spans="1:6" ht="24" thickBot="1">
      <c r="A12" s="717"/>
      <c r="B12" s="718" t="s">
        <v>3416</v>
      </c>
      <c r="C12" s="719"/>
      <c r="D12" s="720"/>
      <c r="E12" s="720"/>
      <c r="F12" s="721"/>
    </row>
    <row r="13" spans="1:6" ht="23.25">
      <c r="A13" s="722">
        <v>1</v>
      </c>
      <c r="B13" s="723" t="s">
        <v>3432</v>
      </c>
      <c r="C13" s="724" t="s">
        <v>1361</v>
      </c>
      <c r="D13" s="724">
        <v>1</v>
      </c>
      <c r="E13" s="760"/>
      <c r="F13" s="725">
        <f>E13*D13</f>
        <v>0</v>
      </c>
    </row>
    <row r="14" spans="1:7" s="779" customFormat="1" ht="24" thickBot="1">
      <c r="A14" s="726">
        <f>A13+1</f>
        <v>2</v>
      </c>
      <c r="B14" s="727" t="s">
        <v>3949</v>
      </c>
      <c r="C14" s="730" t="s">
        <v>1361</v>
      </c>
      <c r="D14" s="730">
        <v>1</v>
      </c>
      <c r="E14" s="761"/>
      <c r="F14" s="725">
        <f aca="true" t="shared" si="0" ref="F14">E14*D14</f>
        <v>0</v>
      </c>
      <c r="G14" s="785" t="s">
        <v>3948</v>
      </c>
    </row>
    <row r="15" spans="1:6" ht="23.25">
      <c r="A15" s="726">
        <f aca="true" t="shared" si="1" ref="A15:A34">A14+1</f>
        <v>3</v>
      </c>
      <c r="B15" s="727" t="s">
        <v>3433</v>
      </c>
      <c r="C15" s="728" t="s">
        <v>1361</v>
      </c>
      <c r="D15" s="728">
        <v>2</v>
      </c>
      <c r="E15" s="760"/>
      <c r="F15" s="725">
        <f>E15*D15</f>
        <v>0</v>
      </c>
    </row>
    <row r="16" spans="1:6" ht="23.25">
      <c r="A16" s="726">
        <f t="shared" si="1"/>
        <v>4</v>
      </c>
      <c r="B16" s="729" t="s">
        <v>3434</v>
      </c>
      <c r="C16" s="730" t="s">
        <v>1361</v>
      </c>
      <c r="D16" s="730">
        <v>39</v>
      </c>
      <c r="E16" s="761"/>
      <c r="F16" s="725">
        <f aca="true" t="shared" si="2" ref="F16:F34">E16*D16</f>
        <v>0</v>
      </c>
    </row>
    <row r="17" spans="1:6" ht="23.25">
      <c r="A17" s="726">
        <f t="shared" si="1"/>
        <v>5</v>
      </c>
      <c r="B17" s="729" t="s">
        <v>3435</v>
      </c>
      <c r="C17" s="730" t="s">
        <v>1361</v>
      </c>
      <c r="D17" s="730">
        <v>3</v>
      </c>
      <c r="E17" s="761"/>
      <c r="F17" s="725">
        <f t="shared" si="2"/>
        <v>0</v>
      </c>
    </row>
    <row r="18" spans="1:6" ht="23.25">
      <c r="A18" s="726">
        <f t="shared" si="1"/>
        <v>6</v>
      </c>
      <c r="B18" s="729" t="s">
        <v>3436</v>
      </c>
      <c r="C18" s="730" t="s">
        <v>1361</v>
      </c>
      <c r="D18" s="730">
        <v>15</v>
      </c>
      <c r="E18" s="761"/>
      <c r="F18" s="725">
        <f t="shared" si="2"/>
        <v>0</v>
      </c>
    </row>
    <row r="19" spans="1:6" ht="23.25">
      <c r="A19" s="726">
        <f t="shared" si="1"/>
        <v>7</v>
      </c>
      <c r="B19" s="729" t="s">
        <v>3646</v>
      </c>
      <c r="C19" s="730" t="s">
        <v>1361</v>
      </c>
      <c r="D19" s="730">
        <v>3</v>
      </c>
      <c r="E19" s="761"/>
      <c r="F19" s="725">
        <f t="shared" si="2"/>
        <v>0</v>
      </c>
    </row>
    <row r="20" spans="1:6" ht="23.25">
      <c r="A20" s="726">
        <f t="shared" si="1"/>
        <v>8</v>
      </c>
      <c r="B20" s="729" t="s">
        <v>3437</v>
      </c>
      <c r="C20" s="730" t="s">
        <v>1361</v>
      </c>
      <c r="D20" s="730">
        <v>2</v>
      </c>
      <c r="E20" s="761"/>
      <c r="F20" s="725">
        <f t="shared" si="2"/>
        <v>0</v>
      </c>
    </row>
    <row r="21" spans="1:6" ht="23.25">
      <c r="A21" s="726">
        <f t="shared" si="1"/>
        <v>9</v>
      </c>
      <c r="B21" s="729" t="s">
        <v>3438</v>
      </c>
      <c r="C21" s="730" t="s">
        <v>1361</v>
      </c>
      <c r="D21" s="730">
        <v>7</v>
      </c>
      <c r="E21" s="761"/>
      <c r="F21" s="725">
        <f t="shared" si="2"/>
        <v>0</v>
      </c>
    </row>
    <row r="22" spans="1:6" ht="23.25">
      <c r="A22" s="726">
        <f t="shared" si="1"/>
        <v>10</v>
      </c>
      <c r="B22" s="729" t="s">
        <v>3439</v>
      </c>
      <c r="C22" s="730" t="s">
        <v>1361</v>
      </c>
      <c r="D22" s="730">
        <v>3</v>
      </c>
      <c r="E22" s="761"/>
      <c r="F22" s="725">
        <f t="shared" si="2"/>
        <v>0</v>
      </c>
    </row>
    <row r="23" spans="1:6" ht="23.25">
      <c r="A23" s="726">
        <f t="shared" si="1"/>
        <v>11</v>
      </c>
      <c r="B23" s="729" t="s">
        <v>3440</v>
      </c>
      <c r="C23" s="730" t="s">
        <v>1361</v>
      </c>
      <c r="D23" s="730">
        <v>2</v>
      </c>
      <c r="E23" s="761"/>
      <c r="F23" s="725">
        <f t="shared" si="2"/>
        <v>0</v>
      </c>
    </row>
    <row r="24" spans="1:6" ht="23.25">
      <c r="A24" s="726">
        <f t="shared" si="1"/>
        <v>12</v>
      </c>
      <c r="B24" s="729" t="s">
        <v>3441</v>
      </c>
      <c r="C24" s="730" t="s">
        <v>1361</v>
      </c>
      <c r="D24" s="730">
        <v>1</v>
      </c>
      <c r="E24" s="761"/>
      <c r="F24" s="725">
        <f t="shared" si="2"/>
        <v>0</v>
      </c>
    </row>
    <row r="25" spans="1:6" ht="23.25">
      <c r="A25" s="726">
        <f t="shared" si="1"/>
        <v>13</v>
      </c>
      <c r="B25" s="729" t="s">
        <v>3442</v>
      </c>
      <c r="C25" s="730" t="s">
        <v>1361</v>
      </c>
      <c r="D25" s="730">
        <v>1</v>
      </c>
      <c r="E25" s="761"/>
      <c r="F25" s="725">
        <f t="shared" si="2"/>
        <v>0</v>
      </c>
    </row>
    <row r="26" spans="1:6" ht="23.25">
      <c r="A26" s="726">
        <f t="shared" si="1"/>
        <v>14</v>
      </c>
      <c r="B26" s="731" t="s">
        <v>3443</v>
      </c>
      <c r="C26" s="730" t="s">
        <v>1361</v>
      </c>
      <c r="D26" s="730">
        <v>1</v>
      </c>
      <c r="E26" s="761"/>
      <c r="F26" s="725">
        <f t="shared" si="2"/>
        <v>0</v>
      </c>
    </row>
    <row r="27" spans="1:6" ht="23.25">
      <c r="A27" s="726">
        <f t="shared" si="1"/>
        <v>15</v>
      </c>
      <c r="B27" s="729" t="s">
        <v>3444</v>
      </c>
      <c r="C27" s="730" t="s">
        <v>1361</v>
      </c>
      <c r="D27" s="730">
        <v>1</v>
      </c>
      <c r="E27" s="761"/>
      <c r="F27" s="725">
        <f t="shared" si="2"/>
        <v>0</v>
      </c>
    </row>
    <row r="28" spans="1:6" ht="23.25">
      <c r="A28" s="726">
        <f t="shared" si="1"/>
        <v>16</v>
      </c>
      <c r="B28" s="729" t="s">
        <v>3445</v>
      </c>
      <c r="C28" s="730" t="s">
        <v>1361</v>
      </c>
      <c r="D28" s="730">
        <v>2</v>
      </c>
      <c r="E28" s="761"/>
      <c r="F28" s="725">
        <f t="shared" si="2"/>
        <v>0</v>
      </c>
    </row>
    <row r="29" spans="1:6" ht="23.25">
      <c r="A29" s="726">
        <f t="shared" si="1"/>
        <v>17</v>
      </c>
      <c r="B29" s="729" t="s">
        <v>3446</v>
      </c>
      <c r="C29" s="730" t="s">
        <v>1361</v>
      </c>
      <c r="D29" s="730">
        <v>1</v>
      </c>
      <c r="E29" s="761"/>
      <c r="F29" s="725">
        <f t="shared" si="2"/>
        <v>0</v>
      </c>
    </row>
    <row r="30" spans="1:6" ht="23.25">
      <c r="A30" s="726">
        <f t="shared" si="1"/>
        <v>18</v>
      </c>
      <c r="B30" s="729" t="s">
        <v>3447</v>
      </c>
      <c r="C30" s="730" t="s">
        <v>1361</v>
      </c>
      <c r="D30" s="730">
        <v>1</v>
      </c>
      <c r="E30" s="761"/>
      <c r="F30" s="725">
        <f t="shared" si="2"/>
        <v>0</v>
      </c>
    </row>
    <row r="31" spans="1:6" ht="23.25">
      <c r="A31" s="726">
        <f t="shared" si="1"/>
        <v>19</v>
      </c>
      <c r="B31" s="729" t="s">
        <v>3448</v>
      </c>
      <c r="C31" s="730" t="s">
        <v>1361</v>
      </c>
      <c r="D31" s="730">
        <v>1</v>
      </c>
      <c r="E31" s="761"/>
      <c r="F31" s="725">
        <f t="shared" si="2"/>
        <v>0</v>
      </c>
    </row>
    <row r="32" spans="1:6" ht="23.25">
      <c r="A32" s="726">
        <f t="shared" si="1"/>
        <v>20</v>
      </c>
      <c r="B32" s="732" t="s">
        <v>3449</v>
      </c>
      <c r="C32" s="730" t="s">
        <v>1361</v>
      </c>
      <c r="D32" s="730">
        <v>1</v>
      </c>
      <c r="E32" s="761"/>
      <c r="F32" s="725">
        <f t="shared" si="2"/>
        <v>0</v>
      </c>
    </row>
    <row r="33" spans="1:6" ht="23.25">
      <c r="A33" s="726">
        <f t="shared" si="1"/>
        <v>21</v>
      </c>
      <c r="B33" s="729" t="s">
        <v>3450</v>
      </c>
      <c r="C33" s="730" t="s">
        <v>1361</v>
      </c>
      <c r="D33" s="730">
        <v>1</v>
      </c>
      <c r="E33" s="761"/>
      <c r="F33" s="725">
        <f t="shared" si="2"/>
        <v>0</v>
      </c>
    </row>
    <row r="34" spans="1:6" ht="24" thickBot="1">
      <c r="A34" s="726">
        <f t="shared" si="1"/>
        <v>22</v>
      </c>
      <c r="B34" s="729" t="s">
        <v>3451</v>
      </c>
      <c r="C34" s="730" t="s">
        <v>1361</v>
      </c>
      <c r="D34" s="730">
        <v>2</v>
      </c>
      <c r="E34" s="761"/>
      <c r="F34" s="725">
        <f t="shared" si="2"/>
        <v>0</v>
      </c>
    </row>
    <row r="35" spans="1:6" ht="24" thickBot="1">
      <c r="A35" s="717"/>
      <c r="B35" s="733" t="s">
        <v>3372</v>
      </c>
      <c r="C35" s="719"/>
      <c r="D35" s="720"/>
      <c r="E35" s="762"/>
      <c r="F35" s="734">
        <f>SUM(F13:F34)</f>
        <v>0</v>
      </c>
    </row>
    <row r="36" spans="1:6" ht="24" thickBot="1">
      <c r="A36" s="735"/>
      <c r="B36" s="736"/>
      <c r="C36" s="737"/>
      <c r="D36" s="720"/>
      <c r="E36" s="762"/>
      <c r="F36" s="738"/>
    </row>
    <row r="37" spans="1:6" ht="24" thickBot="1">
      <c r="A37" s="739"/>
      <c r="B37" s="740" t="s">
        <v>3356</v>
      </c>
      <c r="C37" s="741"/>
      <c r="D37" s="715"/>
      <c r="E37" s="680"/>
      <c r="F37" s="742"/>
    </row>
    <row r="38" spans="1:6" ht="23.25">
      <c r="A38" s="743">
        <v>1</v>
      </c>
      <c r="B38" s="744" t="s">
        <v>3420</v>
      </c>
      <c r="C38" s="745" t="s">
        <v>158</v>
      </c>
      <c r="D38" s="745">
        <v>430</v>
      </c>
      <c r="E38" s="678"/>
      <c r="F38" s="725">
        <f aca="true" t="shared" si="3" ref="F38:F46">E38*D38</f>
        <v>0</v>
      </c>
    </row>
    <row r="39" spans="1:6" ht="23.25">
      <c r="A39" s="726">
        <f aca="true" t="shared" si="4" ref="A39:A46">A38+1</f>
        <v>2</v>
      </c>
      <c r="B39" s="746" t="s">
        <v>3421</v>
      </c>
      <c r="C39" s="747" t="s">
        <v>158</v>
      </c>
      <c r="D39" s="747">
        <v>20</v>
      </c>
      <c r="E39" s="679"/>
      <c r="F39" s="725">
        <f t="shared" si="3"/>
        <v>0</v>
      </c>
    </row>
    <row r="40" spans="1:6" ht="23.25">
      <c r="A40" s="726">
        <f t="shared" si="4"/>
        <v>3</v>
      </c>
      <c r="B40" s="748" t="s">
        <v>3422</v>
      </c>
      <c r="C40" s="747" t="s">
        <v>158</v>
      </c>
      <c r="D40" s="747">
        <v>260</v>
      </c>
      <c r="E40" s="679"/>
      <c r="F40" s="725">
        <f t="shared" si="3"/>
        <v>0</v>
      </c>
    </row>
    <row r="41" spans="1:6" ht="23.25">
      <c r="A41" s="726">
        <f t="shared" si="4"/>
        <v>4</v>
      </c>
      <c r="B41" s="788" t="s">
        <v>3951</v>
      </c>
      <c r="C41" s="747" t="s">
        <v>1361</v>
      </c>
      <c r="D41" s="747">
        <v>300</v>
      </c>
      <c r="E41" s="679"/>
      <c r="F41" s="725">
        <f t="shared" si="3"/>
        <v>0</v>
      </c>
    </row>
    <row r="42" spans="1:6" ht="23.25">
      <c r="A42" s="726">
        <f t="shared" si="4"/>
        <v>5</v>
      </c>
      <c r="B42" s="748" t="s">
        <v>3364</v>
      </c>
      <c r="C42" s="747" t="s">
        <v>1361</v>
      </c>
      <c r="D42" s="747">
        <f>D40/5</f>
        <v>52</v>
      </c>
      <c r="E42" s="679"/>
      <c r="F42" s="725">
        <f t="shared" si="3"/>
        <v>0</v>
      </c>
    </row>
    <row r="43" spans="1:6" ht="23.25">
      <c r="A43" s="726">
        <f t="shared" si="4"/>
        <v>6</v>
      </c>
      <c r="B43" s="746" t="s">
        <v>3423</v>
      </c>
      <c r="C43" s="747" t="s">
        <v>158</v>
      </c>
      <c r="D43" s="747">
        <v>30</v>
      </c>
      <c r="E43" s="679"/>
      <c r="F43" s="725">
        <f t="shared" si="3"/>
        <v>0</v>
      </c>
    </row>
    <row r="44" spans="1:6" ht="23.25">
      <c r="A44" s="726">
        <f t="shared" si="4"/>
        <v>7</v>
      </c>
      <c r="B44" s="746" t="s">
        <v>3424</v>
      </c>
      <c r="C44" s="747" t="s">
        <v>1361</v>
      </c>
      <c r="D44" s="747">
        <v>156</v>
      </c>
      <c r="E44" s="679"/>
      <c r="F44" s="725">
        <f t="shared" si="3"/>
        <v>0</v>
      </c>
    </row>
    <row r="45" spans="1:6" ht="23.25">
      <c r="A45" s="726">
        <f t="shared" si="4"/>
        <v>8</v>
      </c>
      <c r="B45" s="704" t="s">
        <v>3425</v>
      </c>
      <c r="C45" s="703" t="s">
        <v>883</v>
      </c>
      <c r="D45" s="703">
        <v>1</v>
      </c>
      <c r="E45" s="679"/>
      <c r="F45" s="725">
        <f t="shared" si="3"/>
        <v>0</v>
      </c>
    </row>
    <row r="46" spans="1:6" ht="24" thickBot="1">
      <c r="A46" s="726">
        <f t="shared" si="4"/>
        <v>9</v>
      </c>
      <c r="B46" s="704" t="s">
        <v>3426</v>
      </c>
      <c r="C46" s="703" t="s">
        <v>1361</v>
      </c>
      <c r="D46" s="703">
        <v>50</v>
      </c>
      <c r="E46" s="679"/>
      <c r="F46" s="725">
        <f t="shared" si="3"/>
        <v>0</v>
      </c>
    </row>
    <row r="47" spans="1:6" ht="24" thickBot="1">
      <c r="A47" s="739"/>
      <c r="B47" s="709" t="s">
        <v>3372</v>
      </c>
      <c r="C47" s="741"/>
      <c r="D47" s="715"/>
      <c r="E47" s="680"/>
      <c r="F47" s="750">
        <f>SUM(F38:F46)</f>
        <v>0</v>
      </c>
    </row>
    <row r="48" spans="1:6" ht="24" thickBot="1">
      <c r="A48" s="739"/>
      <c r="B48" s="751"/>
      <c r="C48" s="741"/>
      <c r="D48" s="715"/>
      <c r="E48" s="680"/>
      <c r="F48" s="742"/>
    </row>
    <row r="49" spans="1:6" ht="24" thickBot="1">
      <c r="A49" s="752"/>
      <c r="B49" s="718" t="s">
        <v>3419</v>
      </c>
      <c r="C49" s="719"/>
      <c r="D49" s="720"/>
      <c r="E49" s="762"/>
      <c r="F49" s="738"/>
    </row>
    <row r="50" spans="1:7" ht="23.25">
      <c r="A50" s="722">
        <v>1</v>
      </c>
      <c r="B50" s="723" t="s">
        <v>3401</v>
      </c>
      <c r="C50" s="724" t="s">
        <v>1361</v>
      </c>
      <c r="D50" s="724">
        <v>1</v>
      </c>
      <c r="E50" s="760"/>
      <c r="F50" s="725">
        <f aca="true" t="shared" si="5" ref="F50:F82">E50*D50</f>
        <v>0</v>
      </c>
      <c r="G50" s="786"/>
    </row>
    <row r="51" spans="1:7" s="779" customFormat="1" ht="23.25">
      <c r="A51" s="726">
        <f aca="true" t="shared" si="6" ref="A51:A83">A50+1</f>
        <v>2</v>
      </c>
      <c r="B51" s="727" t="s">
        <v>3950</v>
      </c>
      <c r="C51" s="730" t="s">
        <v>1361</v>
      </c>
      <c r="D51" s="730">
        <v>1</v>
      </c>
      <c r="E51" s="761"/>
      <c r="F51" s="725">
        <f aca="true" t="shared" si="7" ref="F51">E51*D51</f>
        <v>0</v>
      </c>
      <c r="G51" s="785" t="s">
        <v>3948</v>
      </c>
    </row>
    <row r="52" spans="1:6" ht="23.25">
      <c r="A52" s="726">
        <f t="shared" si="6"/>
        <v>3</v>
      </c>
      <c r="B52" s="732" t="s">
        <v>3452</v>
      </c>
      <c r="C52" s="730" t="s">
        <v>1361</v>
      </c>
      <c r="D52" s="730">
        <v>2</v>
      </c>
      <c r="E52" s="761"/>
      <c r="F52" s="725">
        <f t="shared" si="5"/>
        <v>0</v>
      </c>
    </row>
    <row r="53" spans="1:6" ht="23.25">
      <c r="A53" s="726">
        <f t="shared" si="6"/>
        <v>4</v>
      </c>
      <c r="B53" s="729" t="s">
        <v>3453</v>
      </c>
      <c r="C53" s="730" t="s">
        <v>1361</v>
      </c>
      <c r="D53" s="730">
        <v>42</v>
      </c>
      <c r="E53" s="761"/>
      <c r="F53" s="725">
        <f t="shared" si="5"/>
        <v>0</v>
      </c>
    </row>
    <row r="54" spans="1:6" ht="23.25">
      <c r="A54" s="726">
        <f t="shared" si="6"/>
        <v>5</v>
      </c>
      <c r="B54" s="729" t="s">
        <v>3649</v>
      </c>
      <c r="C54" s="730" t="s">
        <v>1361</v>
      </c>
      <c r="D54" s="730">
        <v>3</v>
      </c>
      <c r="E54" s="761"/>
      <c r="F54" s="725">
        <f t="shared" si="5"/>
        <v>0</v>
      </c>
    </row>
    <row r="55" spans="1:6" ht="23.25">
      <c r="A55" s="726">
        <f t="shared" si="6"/>
        <v>6</v>
      </c>
      <c r="B55" s="729" t="s">
        <v>3454</v>
      </c>
      <c r="C55" s="730" t="s">
        <v>1361</v>
      </c>
      <c r="D55" s="730">
        <v>15</v>
      </c>
      <c r="E55" s="761"/>
      <c r="F55" s="725">
        <f t="shared" si="5"/>
        <v>0</v>
      </c>
    </row>
    <row r="56" spans="1:6" ht="23.25">
      <c r="A56" s="726">
        <f t="shared" si="6"/>
        <v>7</v>
      </c>
      <c r="B56" s="729" t="s">
        <v>3455</v>
      </c>
      <c r="C56" s="730" t="s">
        <v>1361</v>
      </c>
      <c r="D56" s="730">
        <v>12</v>
      </c>
      <c r="E56" s="761"/>
      <c r="F56" s="725">
        <f t="shared" si="5"/>
        <v>0</v>
      </c>
    </row>
    <row r="57" spans="1:6" ht="23.25">
      <c r="A57" s="726">
        <f t="shared" si="6"/>
        <v>8</v>
      </c>
      <c r="B57" s="729" t="s">
        <v>3647</v>
      </c>
      <c r="C57" s="730" t="s">
        <v>1361</v>
      </c>
      <c r="D57" s="730">
        <v>2</v>
      </c>
      <c r="E57" s="761"/>
      <c r="F57" s="725">
        <f t="shared" si="5"/>
        <v>0</v>
      </c>
    </row>
    <row r="58" spans="1:6" ht="23.25">
      <c r="A58" s="726">
        <f t="shared" si="6"/>
        <v>9</v>
      </c>
      <c r="B58" s="729" t="s">
        <v>3648</v>
      </c>
      <c r="C58" s="730" t="s">
        <v>1361</v>
      </c>
      <c r="D58" s="730">
        <v>1</v>
      </c>
      <c r="E58" s="761"/>
      <c r="F58" s="725">
        <f t="shared" si="5"/>
        <v>0</v>
      </c>
    </row>
    <row r="59" spans="1:6" ht="23.25">
      <c r="A59" s="726">
        <f t="shared" si="6"/>
        <v>10</v>
      </c>
      <c r="B59" s="729" t="s">
        <v>3456</v>
      </c>
      <c r="C59" s="730" t="s">
        <v>1361</v>
      </c>
      <c r="D59" s="730">
        <v>1</v>
      </c>
      <c r="E59" s="761"/>
      <c r="F59" s="725">
        <f t="shared" si="5"/>
        <v>0</v>
      </c>
    </row>
    <row r="60" spans="1:6" ht="23.25">
      <c r="A60" s="726">
        <f t="shared" si="6"/>
        <v>11</v>
      </c>
      <c r="B60" s="729" t="s">
        <v>3457</v>
      </c>
      <c r="C60" s="730" t="s">
        <v>1361</v>
      </c>
      <c r="D60" s="730">
        <v>1</v>
      </c>
      <c r="E60" s="761"/>
      <c r="F60" s="725">
        <f t="shared" si="5"/>
        <v>0</v>
      </c>
    </row>
    <row r="61" spans="1:6" ht="23.25">
      <c r="A61" s="726">
        <f t="shared" si="6"/>
        <v>12</v>
      </c>
      <c r="B61" s="729" t="s">
        <v>3458</v>
      </c>
      <c r="C61" s="730" t="s">
        <v>1361</v>
      </c>
      <c r="D61" s="730">
        <v>1</v>
      </c>
      <c r="E61" s="761"/>
      <c r="F61" s="725">
        <f t="shared" si="5"/>
        <v>0</v>
      </c>
    </row>
    <row r="62" spans="1:6" ht="23.25">
      <c r="A62" s="726">
        <f t="shared" si="6"/>
        <v>13</v>
      </c>
      <c r="B62" s="729" t="s">
        <v>3459</v>
      </c>
      <c r="C62" s="730" t="s">
        <v>1361</v>
      </c>
      <c r="D62" s="730">
        <v>2</v>
      </c>
      <c r="E62" s="761"/>
      <c r="F62" s="725">
        <f t="shared" si="5"/>
        <v>0</v>
      </c>
    </row>
    <row r="63" spans="1:6" ht="23.25">
      <c r="A63" s="726">
        <f t="shared" si="6"/>
        <v>14</v>
      </c>
      <c r="B63" s="729" t="s">
        <v>3460</v>
      </c>
      <c r="C63" s="730" t="s">
        <v>1361</v>
      </c>
      <c r="D63" s="730">
        <v>1</v>
      </c>
      <c r="E63" s="761"/>
      <c r="F63" s="725">
        <f t="shared" si="5"/>
        <v>0</v>
      </c>
    </row>
    <row r="64" spans="1:6" ht="23.25">
      <c r="A64" s="726">
        <f t="shared" si="6"/>
        <v>15</v>
      </c>
      <c r="B64" s="729" t="s">
        <v>3461</v>
      </c>
      <c r="C64" s="730" t="s">
        <v>1361</v>
      </c>
      <c r="D64" s="730">
        <v>1</v>
      </c>
      <c r="E64" s="761"/>
      <c r="F64" s="725">
        <f t="shared" si="5"/>
        <v>0</v>
      </c>
    </row>
    <row r="65" spans="1:6" ht="23.25">
      <c r="A65" s="726">
        <f t="shared" si="6"/>
        <v>16</v>
      </c>
      <c r="B65" s="729" t="s">
        <v>3462</v>
      </c>
      <c r="C65" s="730" t="s">
        <v>1361</v>
      </c>
      <c r="D65" s="730">
        <v>2</v>
      </c>
      <c r="E65" s="761"/>
      <c r="F65" s="725">
        <f t="shared" si="5"/>
        <v>0</v>
      </c>
    </row>
    <row r="66" spans="1:6" ht="23.25">
      <c r="A66" s="726">
        <f t="shared" si="6"/>
        <v>17</v>
      </c>
      <c r="B66" s="753" t="s">
        <v>3463</v>
      </c>
      <c r="C66" s="754" t="s">
        <v>1361</v>
      </c>
      <c r="D66" s="754">
        <v>1</v>
      </c>
      <c r="E66" s="763"/>
      <c r="F66" s="725">
        <f t="shared" si="5"/>
        <v>0</v>
      </c>
    </row>
    <row r="67" spans="1:6" ht="23.25">
      <c r="A67" s="726">
        <f t="shared" si="6"/>
        <v>18</v>
      </c>
      <c r="B67" s="731" t="s">
        <v>3464</v>
      </c>
      <c r="C67" s="730" t="s">
        <v>1548</v>
      </c>
      <c r="D67" s="730">
        <v>3</v>
      </c>
      <c r="E67" s="761"/>
      <c r="F67" s="725">
        <f t="shared" si="5"/>
        <v>0</v>
      </c>
    </row>
    <row r="68" spans="1:6" ht="23.25">
      <c r="A68" s="726">
        <f t="shared" si="6"/>
        <v>19</v>
      </c>
      <c r="B68" s="731" t="s">
        <v>3465</v>
      </c>
      <c r="C68" s="730" t="s">
        <v>1361</v>
      </c>
      <c r="D68" s="730">
        <v>1</v>
      </c>
      <c r="E68" s="761"/>
      <c r="F68" s="725">
        <f t="shared" si="5"/>
        <v>0</v>
      </c>
    </row>
    <row r="69" spans="1:7" ht="23.25">
      <c r="A69" s="726">
        <f t="shared" si="6"/>
        <v>20</v>
      </c>
      <c r="B69" s="755" t="s">
        <v>3427</v>
      </c>
      <c r="C69" s="747" t="s">
        <v>158</v>
      </c>
      <c r="D69" s="747">
        <f>'[2]List1'!D18</f>
        <v>430</v>
      </c>
      <c r="E69" s="679"/>
      <c r="F69" s="725">
        <f t="shared" si="5"/>
        <v>0</v>
      </c>
      <c r="G69" s="786"/>
    </row>
    <row r="70" spans="1:6" ht="23.25">
      <c r="A70" s="726">
        <f t="shared" si="6"/>
        <v>21</v>
      </c>
      <c r="B70" s="746" t="s">
        <v>3428</v>
      </c>
      <c r="C70" s="747" t="s">
        <v>158</v>
      </c>
      <c r="D70" s="747">
        <v>20</v>
      </c>
      <c r="E70" s="679"/>
      <c r="F70" s="725">
        <f t="shared" si="5"/>
        <v>0</v>
      </c>
    </row>
    <row r="71" spans="1:6" ht="23.25">
      <c r="A71" s="726">
        <f t="shared" si="6"/>
        <v>22</v>
      </c>
      <c r="B71" s="746" t="s">
        <v>3650</v>
      </c>
      <c r="C71" s="747" t="s">
        <v>158</v>
      </c>
      <c r="D71" s="747">
        <v>30</v>
      </c>
      <c r="E71" s="679"/>
      <c r="F71" s="725">
        <f t="shared" si="5"/>
        <v>0</v>
      </c>
    </row>
    <row r="72" spans="1:6" ht="23.25">
      <c r="A72" s="726">
        <f t="shared" si="6"/>
        <v>23</v>
      </c>
      <c r="B72" s="748" t="s">
        <v>3376</v>
      </c>
      <c r="C72" s="747" t="s">
        <v>158</v>
      </c>
      <c r="D72" s="747">
        <f>'[2]List1'!D20</f>
        <v>260</v>
      </c>
      <c r="E72" s="679"/>
      <c r="F72" s="725">
        <f t="shared" si="5"/>
        <v>0</v>
      </c>
    </row>
    <row r="73" spans="1:6" ht="23.25">
      <c r="A73" s="726">
        <f t="shared" si="6"/>
        <v>24</v>
      </c>
      <c r="B73" s="748" t="s">
        <v>3429</v>
      </c>
      <c r="C73" s="747" t="s">
        <v>1361</v>
      </c>
      <c r="D73" s="747">
        <f>'[2]List1'!D21</f>
        <v>300</v>
      </c>
      <c r="E73" s="679"/>
      <c r="F73" s="725">
        <f t="shared" si="5"/>
        <v>0</v>
      </c>
    </row>
    <row r="74" spans="1:6" ht="23.25">
      <c r="A74" s="726">
        <f t="shared" si="6"/>
        <v>25</v>
      </c>
      <c r="B74" s="748" t="s">
        <v>3430</v>
      </c>
      <c r="C74" s="747" t="s">
        <v>1361</v>
      </c>
      <c r="D74" s="747">
        <f>'[2]List1'!D22</f>
        <v>52</v>
      </c>
      <c r="E74" s="679"/>
      <c r="F74" s="725">
        <f t="shared" si="5"/>
        <v>0</v>
      </c>
    </row>
    <row r="75" spans="1:6" ht="23.25">
      <c r="A75" s="726">
        <f t="shared" si="6"/>
        <v>26</v>
      </c>
      <c r="B75" s="748" t="s">
        <v>3431</v>
      </c>
      <c r="C75" s="747" t="s">
        <v>1361</v>
      </c>
      <c r="D75" s="747">
        <f>'[2]List1'!D25</f>
        <v>156</v>
      </c>
      <c r="E75" s="679"/>
      <c r="F75" s="725">
        <f t="shared" si="5"/>
        <v>0</v>
      </c>
    </row>
    <row r="76" spans="1:6" ht="23.25">
      <c r="A76" s="726">
        <f t="shared" si="6"/>
        <v>27</v>
      </c>
      <c r="B76" s="748" t="s">
        <v>3383</v>
      </c>
      <c r="C76" s="747" t="s">
        <v>158</v>
      </c>
      <c r="D76" s="747">
        <v>430</v>
      </c>
      <c r="E76" s="679"/>
      <c r="F76" s="725">
        <f t="shared" si="5"/>
        <v>0</v>
      </c>
    </row>
    <row r="77" spans="1:6" ht="23.25">
      <c r="A77" s="726">
        <f t="shared" si="6"/>
        <v>28</v>
      </c>
      <c r="B77" s="748" t="s">
        <v>3384</v>
      </c>
      <c r="C77" s="747" t="s">
        <v>2010</v>
      </c>
      <c r="D77" s="747">
        <v>10</v>
      </c>
      <c r="E77" s="679"/>
      <c r="F77" s="725">
        <f t="shared" si="5"/>
        <v>0</v>
      </c>
    </row>
    <row r="78" spans="1:6" ht="23.25">
      <c r="A78" s="726">
        <f t="shared" si="6"/>
        <v>29</v>
      </c>
      <c r="B78" s="748" t="s">
        <v>3386</v>
      </c>
      <c r="C78" s="756" t="s">
        <v>883</v>
      </c>
      <c r="D78" s="756">
        <v>1</v>
      </c>
      <c r="E78" s="679"/>
      <c r="F78" s="725">
        <f t="shared" si="5"/>
        <v>0</v>
      </c>
    </row>
    <row r="79" spans="1:6" ht="50.25" customHeight="1">
      <c r="A79" s="726">
        <f t="shared" si="6"/>
        <v>30</v>
      </c>
      <c r="B79" s="748" t="s">
        <v>3413</v>
      </c>
      <c r="C79" s="756" t="s">
        <v>883</v>
      </c>
      <c r="D79" s="756">
        <v>1</v>
      </c>
      <c r="E79" s="679"/>
      <c r="F79" s="725">
        <f t="shared" si="5"/>
        <v>0</v>
      </c>
    </row>
    <row r="80" spans="1:6" ht="23.25">
      <c r="A80" s="726">
        <f t="shared" si="6"/>
        <v>31</v>
      </c>
      <c r="B80" s="748" t="s">
        <v>3387</v>
      </c>
      <c r="C80" s="756" t="s">
        <v>1361</v>
      </c>
      <c r="D80" s="756">
        <v>2</v>
      </c>
      <c r="E80" s="679"/>
      <c r="F80" s="725">
        <f t="shared" si="5"/>
        <v>0</v>
      </c>
    </row>
    <row r="81" spans="1:6" ht="23.25">
      <c r="A81" s="726">
        <f t="shared" si="6"/>
        <v>32</v>
      </c>
      <c r="B81" s="748" t="s">
        <v>3388</v>
      </c>
      <c r="C81" s="756" t="s">
        <v>1361</v>
      </c>
      <c r="D81" s="756">
        <v>6</v>
      </c>
      <c r="E81" s="679"/>
      <c r="F81" s="725">
        <f t="shared" si="5"/>
        <v>0</v>
      </c>
    </row>
    <row r="82" spans="1:6" ht="23.25">
      <c r="A82" s="726">
        <f t="shared" si="6"/>
        <v>33</v>
      </c>
      <c r="B82" s="748" t="s">
        <v>3385</v>
      </c>
      <c r="C82" s="756" t="s">
        <v>158</v>
      </c>
      <c r="D82" s="749">
        <v>30</v>
      </c>
      <c r="E82" s="679"/>
      <c r="F82" s="725">
        <f t="shared" si="5"/>
        <v>0</v>
      </c>
    </row>
    <row r="83" spans="1:7" s="586" customFormat="1" ht="24" customHeight="1" thickBot="1">
      <c r="A83" s="726">
        <f t="shared" si="6"/>
        <v>34</v>
      </c>
      <c r="B83" s="748" t="s">
        <v>3651</v>
      </c>
      <c r="C83" s="756" t="s">
        <v>883</v>
      </c>
      <c r="D83" s="756">
        <v>1</v>
      </c>
      <c r="E83" s="683"/>
      <c r="F83" s="757">
        <f aca="true" t="shared" si="8" ref="F83">D83*E83</f>
        <v>0</v>
      </c>
      <c r="G83" s="787"/>
    </row>
    <row r="84" spans="1:6" ht="23.25" customHeight="1" thickBot="1">
      <c r="A84" s="758"/>
      <c r="B84" s="709" t="s">
        <v>3372</v>
      </c>
      <c r="C84" s="741"/>
      <c r="D84" s="741"/>
      <c r="E84" s="715"/>
      <c r="F84" s="750">
        <f>SUM(F50:F83)</f>
        <v>0</v>
      </c>
    </row>
  </sheetData>
  <sheetProtection password="CABD" sheet="1" objects="1" scenarios="1"/>
  <mergeCells count="1">
    <mergeCell ref="E2:F3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53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80"/>
  <sheetViews>
    <sheetView zoomScale="75" zoomScaleNormal="75" workbookViewId="0" topLeftCell="A1">
      <selection activeCell="E2" sqref="E2:F3"/>
    </sheetView>
  </sheetViews>
  <sheetFormatPr defaultColWidth="9.140625" defaultRowHeight="12"/>
  <cols>
    <col min="1" max="1" width="18.28125" style="99" customWidth="1"/>
    <col min="2" max="2" width="100.00390625" style="208" customWidth="1"/>
    <col min="3" max="3" width="14.8515625" style="99" customWidth="1"/>
    <col min="4" max="4" width="20.7109375" style="99" customWidth="1"/>
    <col min="5" max="5" width="18.28125" style="99" customWidth="1"/>
    <col min="6" max="6" width="30.00390625" style="99" customWidth="1"/>
    <col min="7" max="7" width="26.421875" style="102" customWidth="1"/>
  </cols>
  <sheetData>
    <row r="1" spans="1:6" ht="23.25">
      <c r="A1" s="122"/>
      <c r="B1" s="186" t="s">
        <v>3466</v>
      </c>
      <c r="C1" s="124"/>
      <c r="D1" s="124"/>
      <c r="E1" s="124"/>
      <c r="F1" s="125" t="s">
        <v>3341</v>
      </c>
    </row>
    <row r="2" spans="1:6" ht="31.5">
      <c r="A2" s="126"/>
      <c r="B2" s="206" t="s">
        <v>3522</v>
      </c>
      <c r="C2" s="128"/>
      <c r="D2" s="128"/>
      <c r="E2" s="844"/>
      <c r="F2" s="850"/>
    </row>
    <row r="3" spans="1:6" ht="22.5">
      <c r="A3" s="129" t="s">
        <v>3343</v>
      </c>
      <c r="B3" s="187" t="s">
        <v>3344</v>
      </c>
      <c r="C3" s="128"/>
      <c r="D3" s="131"/>
      <c r="E3" s="844"/>
      <c r="F3" s="850"/>
    </row>
    <row r="4" spans="1:6" ht="21" thickBot="1">
      <c r="A4" s="132"/>
      <c r="B4" s="207"/>
      <c r="C4" s="134"/>
      <c r="D4" s="134"/>
      <c r="E4" s="134"/>
      <c r="F4" s="135"/>
    </row>
    <row r="5" spans="1:6" ht="36.75" thickBot="1">
      <c r="A5" s="136" t="s">
        <v>3345</v>
      </c>
      <c r="B5" s="137" t="s">
        <v>3346</v>
      </c>
      <c r="C5" s="136" t="s">
        <v>3347</v>
      </c>
      <c r="D5" s="136" t="s">
        <v>3348</v>
      </c>
      <c r="E5" s="136" t="s">
        <v>3349</v>
      </c>
      <c r="F5" s="136" t="s">
        <v>3350</v>
      </c>
    </row>
    <row r="6" spans="1:6" ht="23.25">
      <c r="A6" s="138"/>
      <c r="B6" s="188" t="s">
        <v>3467</v>
      </c>
      <c r="C6" s="138"/>
      <c r="D6" s="138"/>
      <c r="E6" s="138"/>
      <c r="F6" s="140"/>
    </row>
    <row r="7" spans="1:6" ht="23.25">
      <c r="A7" s="141" t="s">
        <v>3352</v>
      </c>
      <c r="B7" s="143" t="s">
        <v>3468</v>
      </c>
      <c r="C7" s="143"/>
      <c r="D7" s="143"/>
      <c r="E7" s="143"/>
      <c r="F7" s="144">
        <f>F29</f>
        <v>0</v>
      </c>
    </row>
    <row r="8" spans="1:6" ht="23.25">
      <c r="A8" s="141" t="s">
        <v>3355</v>
      </c>
      <c r="B8" s="143" t="s">
        <v>3469</v>
      </c>
      <c r="C8" s="143"/>
      <c r="D8" s="143"/>
      <c r="E8" s="143"/>
      <c r="F8" s="144">
        <f>F43</f>
        <v>0</v>
      </c>
    </row>
    <row r="9" spans="1:6" ht="24" thickBot="1">
      <c r="A9" s="141" t="s">
        <v>3418</v>
      </c>
      <c r="B9" s="143" t="s">
        <v>3470</v>
      </c>
      <c r="C9" s="143"/>
      <c r="D9" s="143"/>
      <c r="E9" s="143"/>
      <c r="F9" s="144">
        <f>F80</f>
        <v>0</v>
      </c>
    </row>
    <row r="10" spans="1:6" ht="24" thickBot="1">
      <c r="A10" s="146"/>
      <c r="B10" s="148" t="s">
        <v>3358</v>
      </c>
      <c r="C10" s="148"/>
      <c r="D10" s="148"/>
      <c r="E10" s="148"/>
      <c r="F10" s="149">
        <f>SUM(F7:F9)</f>
        <v>0</v>
      </c>
    </row>
    <row r="11" spans="1:6" ht="24" thickBot="1">
      <c r="A11" s="150"/>
      <c r="B11" s="152"/>
      <c r="C11" s="152"/>
      <c r="D11" s="153"/>
      <c r="E11" s="153"/>
      <c r="F11" s="154"/>
    </row>
    <row r="12" spans="1:6" ht="24" thickBot="1">
      <c r="A12" s="155"/>
      <c r="B12" s="189" t="s">
        <v>3468</v>
      </c>
      <c r="C12" s="157"/>
      <c r="D12" s="153"/>
      <c r="E12" s="153"/>
      <c r="F12" s="154"/>
    </row>
    <row r="13" spans="1:7" ht="23.25">
      <c r="A13" s="141">
        <v>1</v>
      </c>
      <c r="B13" s="190" t="s">
        <v>3471</v>
      </c>
      <c r="C13" s="191" t="s">
        <v>1361</v>
      </c>
      <c r="D13" s="191">
        <v>1</v>
      </c>
      <c r="E13" s="679"/>
      <c r="F13" s="98">
        <f aca="true" t="shared" si="0" ref="F13:F27">D13*E13</f>
        <v>0</v>
      </c>
      <c r="G13" s="103"/>
    </row>
    <row r="14" spans="1:6" ht="23.25">
      <c r="A14" s="141">
        <v>2</v>
      </c>
      <c r="B14" s="190" t="s">
        <v>3472</v>
      </c>
      <c r="C14" s="191" t="s">
        <v>1361</v>
      </c>
      <c r="D14" s="191">
        <v>1</v>
      </c>
      <c r="E14" s="679"/>
      <c r="F14" s="98">
        <f t="shared" si="0"/>
        <v>0</v>
      </c>
    </row>
    <row r="15" spans="1:6" ht="23.25">
      <c r="A15" s="165">
        <v>3</v>
      </c>
      <c r="B15" s="190" t="s">
        <v>3473</v>
      </c>
      <c r="C15" s="191" t="s">
        <v>1361</v>
      </c>
      <c r="D15" s="191">
        <v>2</v>
      </c>
      <c r="E15" s="679"/>
      <c r="F15" s="98">
        <f t="shared" si="0"/>
        <v>0</v>
      </c>
    </row>
    <row r="16" spans="1:6" ht="23.25">
      <c r="A16" s="141">
        <v>4</v>
      </c>
      <c r="B16" s="190" t="s">
        <v>3474</v>
      </c>
      <c r="C16" s="191" t="s">
        <v>1361</v>
      </c>
      <c r="D16" s="191">
        <v>1</v>
      </c>
      <c r="E16" s="679"/>
      <c r="F16" s="98">
        <f t="shared" si="0"/>
        <v>0</v>
      </c>
    </row>
    <row r="17" spans="1:6" ht="23.25">
      <c r="A17" s="141">
        <v>5</v>
      </c>
      <c r="B17" s="190" t="s">
        <v>3475</v>
      </c>
      <c r="C17" s="191" t="s">
        <v>1361</v>
      </c>
      <c r="D17" s="191">
        <v>1</v>
      </c>
      <c r="E17" s="679"/>
      <c r="F17" s="98">
        <f t="shared" si="0"/>
        <v>0</v>
      </c>
    </row>
    <row r="18" spans="1:6" ht="23.25">
      <c r="A18" s="141">
        <v>6</v>
      </c>
      <c r="B18" s="190" t="s">
        <v>3476</v>
      </c>
      <c r="C18" s="191" t="s">
        <v>1361</v>
      </c>
      <c r="D18" s="191">
        <v>1</v>
      </c>
      <c r="E18" s="679"/>
      <c r="F18" s="98">
        <f t="shared" si="0"/>
        <v>0</v>
      </c>
    </row>
    <row r="19" spans="1:6" ht="23.25">
      <c r="A19" s="141">
        <v>7</v>
      </c>
      <c r="B19" s="190" t="s">
        <v>3477</v>
      </c>
      <c r="C19" s="191" t="s">
        <v>1361</v>
      </c>
      <c r="D19" s="191">
        <v>1</v>
      </c>
      <c r="E19" s="679"/>
      <c r="F19" s="98">
        <f t="shared" si="0"/>
        <v>0</v>
      </c>
    </row>
    <row r="20" spans="1:6" ht="23.25">
      <c r="A20" s="141">
        <v>8</v>
      </c>
      <c r="B20" s="190" t="s">
        <v>3478</v>
      </c>
      <c r="C20" s="191" t="s">
        <v>1361</v>
      </c>
      <c r="D20" s="191">
        <v>1</v>
      </c>
      <c r="E20" s="679"/>
      <c r="F20" s="98">
        <f t="shared" si="0"/>
        <v>0</v>
      </c>
    </row>
    <row r="21" spans="1:6" ht="23.25">
      <c r="A21" s="182">
        <f>A20+1</f>
        <v>9</v>
      </c>
      <c r="B21" s="192" t="s">
        <v>3489</v>
      </c>
      <c r="C21" s="193" t="s">
        <v>1361</v>
      </c>
      <c r="D21" s="193">
        <v>1</v>
      </c>
      <c r="E21" s="764"/>
      <c r="F21" s="98">
        <f t="shared" si="0"/>
        <v>0</v>
      </c>
    </row>
    <row r="22" spans="1:6" ht="23.25">
      <c r="A22" s="182">
        <f aca="true" t="shared" si="1" ref="A22:A28">A21+1</f>
        <v>10</v>
      </c>
      <c r="B22" s="192" t="s">
        <v>3490</v>
      </c>
      <c r="C22" s="193" t="s">
        <v>1361</v>
      </c>
      <c r="D22" s="193">
        <v>1</v>
      </c>
      <c r="E22" s="764"/>
      <c r="F22" s="98">
        <f t="shared" si="0"/>
        <v>0</v>
      </c>
    </row>
    <row r="23" spans="1:6" ht="23.25">
      <c r="A23" s="182">
        <f t="shared" si="1"/>
        <v>11</v>
      </c>
      <c r="B23" s="192" t="s">
        <v>3491</v>
      </c>
      <c r="C23" s="193" t="s">
        <v>1361</v>
      </c>
      <c r="D23" s="193">
        <v>10</v>
      </c>
      <c r="E23" s="764"/>
      <c r="F23" s="98">
        <f t="shared" si="0"/>
        <v>0</v>
      </c>
    </row>
    <row r="24" spans="1:6" ht="23.25">
      <c r="A24" s="182">
        <f t="shared" si="1"/>
        <v>12</v>
      </c>
      <c r="B24" s="192" t="s">
        <v>3492</v>
      </c>
      <c r="C24" s="193" t="s">
        <v>1361</v>
      </c>
      <c r="D24" s="193">
        <v>5</v>
      </c>
      <c r="E24" s="764"/>
      <c r="F24" s="98">
        <f t="shared" si="0"/>
        <v>0</v>
      </c>
    </row>
    <row r="25" spans="1:6" ht="23.25">
      <c r="A25" s="182">
        <f t="shared" si="1"/>
        <v>13</v>
      </c>
      <c r="B25" s="192" t="s">
        <v>3493</v>
      </c>
      <c r="C25" s="193" t="s">
        <v>1361</v>
      </c>
      <c r="D25" s="193">
        <v>11</v>
      </c>
      <c r="E25" s="764"/>
      <c r="F25" s="98">
        <f t="shared" si="0"/>
        <v>0</v>
      </c>
    </row>
    <row r="26" spans="1:6" ht="23.25">
      <c r="A26" s="182">
        <f t="shared" si="1"/>
        <v>14</v>
      </c>
      <c r="B26" s="192" t="s">
        <v>3494</v>
      </c>
      <c r="C26" s="193" t="s">
        <v>1361</v>
      </c>
      <c r="D26" s="193">
        <v>1</v>
      </c>
      <c r="E26" s="764"/>
      <c r="F26" s="98">
        <f t="shared" si="0"/>
        <v>0</v>
      </c>
    </row>
    <row r="27" spans="1:6" ht="23.25">
      <c r="A27" s="182">
        <f t="shared" si="1"/>
        <v>15</v>
      </c>
      <c r="B27" s="192" t="s">
        <v>3495</v>
      </c>
      <c r="C27" s="193" t="s">
        <v>1361</v>
      </c>
      <c r="D27" s="193">
        <v>2</v>
      </c>
      <c r="E27" s="764"/>
      <c r="F27" s="98">
        <f t="shared" si="0"/>
        <v>0</v>
      </c>
    </row>
    <row r="28" spans="1:7" s="778" customFormat="1" ht="24" thickBot="1">
      <c r="A28" s="182">
        <f t="shared" si="1"/>
        <v>16</v>
      </c>
      <c r="B28" s="192" t="s">
        <v>3953</v>
      </c>
      <c r="C28" s="193" t="s">
        <v>1361</v>
      </c>
      <c r="D28" s="193">
        <v>1</v>
      </c>
      <c r="E28" s="764"/>
      <c r="F28" s="98">
        <f aca="true" t="shared" si="2" ref="F28">D28*E28</f>
        <v>0</v>
      </c>
      <c r="G28" s="102"/>
    </row>
    <row r="29" spans="1:6" ht="24" thickBot="1">
      <c r="A29" s="185"/>
      <c r="B29" s="194" t="s">
        <v>3372</v>
      </c>
      <c r="C29" s="194"/>
      <c r="D29" s="195"/>
      <c r="E29" s="762"/>
      <c r="F29" s="196">
        <f>SUM(F13:F28)</f>
        <v>0</v>
      </c>
    </row>
    <row r="30" spans="1:6" ht="24" thickBot="1">
      <c r="A30" s="185"/>
      <c r="B30" s="180"/>
      <c r="C30" s="180"/>
      <c r="D30" s="181"/>
      <c r="E30" s="762"/>
      <c r="F30" s="184"/>
    </row>
    <row r="31" spans="1:6" ht="24" thickBot="1">
      <c r="A31" s="185"/>
      <c r="B31" s="194" t="s">
        <v>3469</v>
      </c>
      <c r="C31" s="194"/>
      <c r="D31" s="195"/>
      <c r="E31" s="762"/>
      <c r="F31" s="184"/>
    </row>
    <row r="32" spans="1:6" ht="23.25">
      <c r="A32" s="182">
        <v>1</v>
      </c>
      <c r="B32" s="192" t="s">
        <v>3496</v>
      </c>
      <c r="C32" s="193" t="s">
        <v>158</v>
      </c>
      <c r="D32" s="193">
        <v>30</v>
      </c>
      <c r="E32" s="761"/>
      <c r="F32" s="98">
        <f aca="true" t="shared" si="3" ref="F32:F41">D32*E32</f>
        <v>0</v>
      </c>
    </row>
    <row r="33" spans="1:6" ht="23.25">
      <c r="A33" s="182">
        <v>2</v>
      </c>
      <c r="B33" s="192" t="s">
        <v>3497</v>
      </c>
      <c r="C33" s="193" t="s">
        <v>158</v>
      </c>
      <c r="D33" s="193">
        <v>1000</v>
      </c>
      <c r="E33" s="761"/>
      <c r="F33" s="98">
        <f t="shared" si="3"/>
        <v>0</v>
      </c>
    </row>
    <row r="34" spans="1:6" ht="23.25">
      <c r="A34" s="183">
        <v>3</v>
      </c>
      <c r="B34" s="192" t="s">
        <v>3498</v>
      </c>
      <c r="C34" s="193" t="s">
        <v>158</v>
      </c>
      <c r="D34" s="193">
        <v>50</v>
      </c>
      <c r="E34" s="761"/>
      <c r="F34" s="98">
        <f t="shared" si="3"/>
        <v>0</v>
      </c>
    </row>
    <row r="35" spans="1:6" ht="23.25">
      <c r="A35" s="183">
        <v>4</v>
      </c>
      <c r="B35" s="192" t="s">
        <v>3499</v>
      </c>
      <c r="C35" s="193" t="s">
        <v>158</v>
      </c>
      <c r="D35" s="193">
        <v>30</v>
      </c>
      <c r="E35" s="761"/>
      <c r="F35" s="98">
        <f t="shared" si="3"/>
        <v>0</v>
      </c>
    </row>
    <row r="36" spans="1:6" ht="23.25">
      <c r="A36" s="183">
        <v>5</v>
      </c>
      <c r="B36" s="192" t="s">
        <v>3500</v>
      </c>
      <c r="C36" s="193" t="s">
        <v>158</v>
      </c>
      <c r="D36" s="193">
        <v>70</v>
      </c>
      <c r="E36" s="761"/>
      <c r="F36" s="98">
        <f t="shared" si="3"/>
        <v>0</v>
      </c>
    </row>
    <row r="37" spans="1:6" ht="23.25">
      <c r="A37" s="182">
        <v>6</v>
      </c>
      <c r="B37" s="192" t="s">
        <v>3501</v>
      </c>
      <c r="C37" s="193" t="s">
        <v>158</v>
      </c>
      <c r="D37" s="193">
        <v>30</v>
      </c>
      <c r="E37" s="761"/>
      <c r="F37" s="98">
        <f t="shared" si="3"/>
        <v>0</v>
      </c>
    </row>
    <row r="38" spans="1:6" ht="23.25">
      <c r="A38" s="182">
        <v>7</v>
      </c>
      <c r="B38" s="192" t="s">
        <v>3502</v>
      </c>
      <c r="C38" s="193" t="s">
        <v>1361</v>
      </c>
      <c r="D38" s="193">
        <v>1</v>
      </c>
      <c r="E38" s="761"/>
      <c r="F38" s="98">
        <f t="shared" si="3"/>
        <v>0</v>
      </c>
    </row>
    <row r="39" spans="1:6" ht="23.25">
      <c r="A39" s="182">
        <v>8</v>
      </c>
      <c r="B39" s="192" t="s">
        <v>3503</v>
      </c>
      <c r="C39" s="193" t="s">
        <v>1361</v>
      </c>
      <c r="D39" s="193">
        <v>40</v>
      </c>
      <c r="E39" s="761"/>
      <c r="F39" s="98">
        <f t="shared" si="3"/>
        <v>0</v>
      </c>
    </row>
    <row r="40" spans="1:6" ht="23.25">
      <c r="A40" s="182">
        <v>9</v>
      </c>
      <c r="B40" s="197" t="s">
        <v>3504</v>
      </c>
      <c r="C40" s="198" t="s">
        <v>1361</v>
      </c>
      <c r="D40" s="198">
        <v>4</v>
      </c>
      <c r="E40" s="761"/>
      <c r="F40" s="98">
        <f t="shared" si="3"/>
        <v>0</v>
      </c>
    </row>
    <row r="41" spans="1:6" ht="23.25">
      <c r="A41" s="183">
        <v>10</v>
      </c>
      <c r="B41" s="197" t="s">
        <v>3505</v>
      </c>
      <c r="C41" s="198" t="s">
        <v>1361</v>
      </c>
      <c r="D41" s="198">
        <v>1</v>
      </c>
      <c r="E41" s="761"/>
      <c r="F41" s="98">
        <f t="shared" si="3"/>
        <v>0</v>
      </c>
    </row>
    <row r="42" spans="1:7" s="777" customFormat="1" ht="24" thickBot="1">
      <c r="A42" s="183">
        <v>11</v>
      </c>
      <c r="B42" s="197" t="s">
        <v>3487</v>
      </c>
      <c r="C42" s="198" t="s">
        <v>158</v>
      </c>
      <c r="D42" s="198">
        <v>10</v>
      </c>
      <c r="E42" s="761"/>
      <c r="F42" s="98">
        <f aca="true" t="shared" si="4" ref="F42">D42*E42</f>
        <v>0</v>
      </c>
      <c r="G42" s="102"/>
    </row>
    <row r="43" spans="1:6" ht="24" thickBot="1">
      <c r="A43" s="185"/>
      <c r="B43" s="199" t="s">
        <v>3372</v>
      </c>
      <c r="C43" s="180"/>
      <c r="D43" s="181"/>
      <c r="E43" s="762"/>
      <c r="F43" s="196">
        <f>SUM(F32:F42)</f>
        <v>0</v>
      </c>
    </row>
    <row r="44" spans="1:6" ht="24" thickBot="1">
      <c r="A44" s="185"/>
      <c r="B44" s="180"/>
      <c r="C44" s="180"/>
      <c r="D44" s="181"/>
      <c r="E44" s="762"/>
      <c r="F44" s="184"/>
    </row>
    <row r="45" spans="1:6" ht="24" thickBot="1">
      <c r="A45" s="185"/>
      <c r="B45" s="200" t="s">
        <v>3470</v>
      </c>
      <c r="C45" s="180"/>
      <c r="D45" s="181"/>
      <c r="E45" s="762"/>
      <c r="F45" s="184"/>
    </row>
    <row r="46" spans="1:6" ht="23.25">
      <c r="A46" s="182">
        <v>1</v>
      </c>
      <c r="B46" s="201" t="s">
        <v>3506</v>
      </c>
      <c r="C46" s="100" t="s">
        <v>158</v>
      </c>
      <c r="D46" s="100">
        <v>30</v>
      </c>
      <c r="E46" s="761"/>
      <c r="F46" s="98">
        <f aca="true" t="shared" si="5" ref="F46:F73">D46*E46</f>
        <v>0</v>
      </c>
    </row>
    <row r="47" spans="1:6" ht="23.25">
      <c r="A47" s="182">
        <f aca="true" t="shared" si="6" ref="A47:A79">A46+1</f>
        <v>2</v>
      </c>
      <c r="B47" s="201" t="s">
        <v>3507</v>
      </c>
      <c r="C47" s="100" t="s">
        <v>158</v>
      </c>
      <c r="D47" s="100">
        <v>1000</v>
      </c>
      <c r="E47" s="761"/>
      <c r="F47" s="98">
        <f t="shared" si="5"/>
        <v>0</v>
      </c>
    </row>
    <row r="48" spans="1:6" ht="23.25">
      <c r="A48" s="182">
        <f t="shared" si="6"/>
        <v>3</v>
      </c>
      <c r="B48" s="201" t="s">
        <v>3508</v>
      </c>
      <c r="C48" s="100" t="s">
        <v>1361</v>
      </c>
      <c r="D48" s="100">
        <v>5</v>
      </c>
      <c r="E48" s="761"/>
      <c r="F48" s="98">
        <f t="shared" si="5"/>
        <v>0</v>
      </c>
    </row>
    <row r="49" spans="1:6" ht="23.25">
      <c r="A49" s="182">
        <f t="shared" si="6"/>
        <v>4</v>
      </c>
      <c r="B49" s="201" t="s">
        <v>3509</v>
      </c>
      <c r="C49" s="100" t="s">
        <v>1361</v>
      </c>
      <c r="D49" s="100">
        <v>11</v>
      </c>
      <c r="E49" s="761"/>
      <c r="F49" s="98">
        <f t="shared" si="5"/>
        <v>0</v>
      </c>
    </row>
    <row r="50" spans="1:6" ht="23.25">
      <c r="A50" s="182">
        <f t="shared" si="6"/>
        <v>5</v>
      </c>
      <c r="B50" s="201" t="s">
        <v>3510</v>
      </c>
      <c r="C50" s="100" t="s">
        <v>158</v>
      </c>
      <c r="D50" s="100">
        <v>50</v>
      </c>
      <c r="E50" s="761"/>
      <c r="F50" s="98">
        <f t="shared" si="5"/>
        <v>0</v>
      </c>
    </row>
    <row r="51" spans="1:6" ht="23.25">
      <c r="A51" s="182">
        <f t="shared" si="6"/>
        <v>6</v>
      </c>
      <c r="B51" s="201" t="s">
        <v>3511</v>
      </c>
      <c r="C51" s="100" t="s">
        <v>158</v>
      </c>
      <c r="D51" s="100">
        <v>30</v>
      </c>
      <c r="E51" s="761"/>
      <c r="F51" s="98">
        <f t="shared" si="5"/>
        <v>0</v>
      </c>
    </row>
    <row r="52" spans="1:6" ht="23.25">
      <c r="A52" s="182">
        <f t="shared" si="6"/>
        <v>7</v>
      </c>
      <c r="B52" s="201" t="s">
        <v>3652</v>
      </c>
      <c r="C52" s="100" t="s">
        <v>158</v>
      </c>
      <c r="D52" s="100">
        <v>70</v>
      </c>
      <c r="E52" s="761"/>
      <c r="F52" s="98">
        <f t="shared" si="5"/>
        <v>0</v>
      </c>
    </row>
    <row r="53" spans="1:6" ht="23.25">
      <c r="A53" s="182">
        <f t="shared" si="6"/>
        <v>8</v>
      </c>
      <c r="B53" s="201" t="s">
        <v>3512</v>
      </c>
      <c r="C53" s="100" t="s">
        <v>158</v>
      </c>
      <c r="D53" s="100">
        <v>70</v>
      </c>
      <c r="E53" s="761"/>
      <c r="F53" s="98">
        <f t="shared" si="5"/>
        <v>0</v>
      </c>
    </row>
    <row r="54" spans="1:6" ht="23.25">
      <c r="A54" s="182">
        <f t="shared" si="6"/>
        <v>9</v>
      </c>
      <c r="B54" s="201" t="s">
        <v>3513</v>
      </c>
      <c r="C54" s="100" t="s">
        <v>158</v>
      </c>
      <c r="D54" s="100">
        <v>30</v>
      </c>
      <c r="E54" s="761"/>
      <c r="F54" s="98">
        <f t="shared" si="5"/>
        <v>0</v>
      </c>
    </row>
    <row r="55" spans="1:6" ht="23.25">
      <c r="A55" s="182">
        <f t="shared" si="6"/>
        <v>10</v>
      </c>
      <c r="B55" s="201" t="s">
        <v>3514</v>
      </c>
      <c r="C55" s="100" t="s">
        <v>1361</v>
      </c>
      <c r="D55" s="100">
        <v>40</v>
      </c>
      <c r="E55" s="761"/>
      <c r="F55" s="98">
        <f t="shared" si="5"/>
        <v>0</v>
      </c>
    </row>
    <row r="56" spans="1:6" ht="23.25">
      <c r="A56" s="182">
        <f t="shared" si="6"/>
        <v>11</v>
      </c>
      <c r="B56" s="201" t="s">
        <v>3515</v>
      </c>
      <c r="C56" s="100" t="s">
        <v>1361</v>
      </c>
      <c r="D56" s="100">
        <v>1</v>
      </c>
      <c r="E56" s="761"/>
      <c r="F56" s="98">
        <f t="shared" si="5"/>
        <v>0</v>
      </c>
    </row>
    <row r="57" spans="1:6" ht="23.25">
      <c r="A57" s="182">
        <f t="shared" si="6"/>
        <v>12</v>
      </c>
      <c r="B57" s="201" t="s">
        <v>3516</v>
      </c>
      <c r="C57" s="100" t="s">
        <v>1361</v>
      </c>
      <c r="D57" s="202">
        <v>4</v>
      </c>
      <c r="E57" s="761"/>
      <c r="F57" s="98">
        <f t="shared" si="5"/>
        <v>0</v>
      </c>
    </row>
    <row r="58" spans="1:6" ht="23.25">
      <c r="A58" s="182">
        <f t="shared" si="6"/>
        <v>13</v>
      </c>
      <c r="B58" s="201" t="s">
        <v>3517</v>
      </c>
      <c r="C58" s="100" t="s">
        <v>158</v>
      </c>
      <c r="D58" s="100">
        <v>1030</v>
      </c>
      <c r="E58" s="761"/>
      <c r="F58" s="98">
        <f t="shared" si="5"/>
        <v>0</v>
      </c>
    </row>
    <row r="59" spans="1:6" ht="23.25">
      <c r="A59" s="182">
        <f t="shared" si="6"/>
        <v>14</v>
      </c>
      <c r="B59" s="201" t="s">
        <v>3518</v>
      </c>
      <c r="C59" s="100" t="s">
        <v>2010</v>
      </c>
      <c r="D59" s="100">
        <v>31</v>
      </c>
      <c r="E59" s="761"/>
      <c r="F59" s="98">
        <f t="shared" si="5"/>
        <v>0</v>
      </c>
    </row>
    <row r="60" spans="1:6" ht="23.25">
      <c r="A60" s="182">
        <f t="shared" si="6"/>
        <v>15</v>
      </c>
      <c r="B60" s="201" t="s">
        <v>3519</v>
      </c>
      <c r="C60" s="203" t="s">
        <v>883</v>
      </c>
      <c r="D60" s="203">
        <v>1</v>
      </c>
      <c r="E60" s="761"/>
      <c r="F60" s="98">
        <f t="shared" si="5"/>
        <v>0</v>
      </c>
    </row>
    <row r="61" spans="1:7" ht="23.25">
      <c r="A61" s="182">
        <f t="shared" si="6"/>
        <v>16</v>
      </c>
      <c r="B61" s="204" t="s">
        <v>3479</v>
      </c>
      <c r="C61" s="92" t="s">
        <v>1361</v>
      </c>
      <c r="D61" s="92">
        <v>1</v>
      </c>
      <c r="E61" s="679"/>
      <c r="F61" s="98">
        <f t="shared" si="5"/>
        <v>0</v>
      </c>
      <c r="G61" s="103"/>
    </row>
    <row r="62" spans="1:6" ht="23.25">
      <c r="A62" s="182">
        <f t="shared" si="6"/>
        <v>17</v>
      </c>
      <c r="B62" s="205" t="s">
        <v>3474</v>
      </c>
      <c r="C62" s="92" t="s">
        <v>1361</v>
      </c>
      <c r="D62" s="92">
        <v>1</v>
      </c>
      <c r="E62" s="679"/>
      <c r="F62" s="98">
        <f t="shared" si="5"/>
        <v>0</v>
      </c>
    </row>
    <row r="63" spans="1:6" ht="23.25">
      <c r="A63" s="182">
        <f t="shared" si="6"/>
        <v>18</v>
      </c>
      <c r="B63" s="205" t="s">
        <v>3480</v>
      </c>
      <c r="C63" s="92" t="s">
        <v>1361</v>
      </c>
      <c r="D63" s="92">
        <v>2</v>
      </c>
      <c r="E63" s="679"/>
      <c r="F63" s="98">
        <f t="shared" si="5"/>
        <v>0</v>
      </c>
    </row>
    <row r="64" spans="1:6" ht="23.25">
      <c r="A64" s="182">
        <f t="shared" si="6"/>
        <v>19</v>
      </c>
      <c r="B64" s="205" t="s">
        <v>3481</v>
      </c>
      <c r="C64" s="92" t="s">
        <v>1361</v>
      </c>
      <c r="D64" s="92">
        <v>1</v>
      </c>
      <c r="E64" s="679"/>
      <c r="F64" s="98">
        <f t="shared" si="5"/>
        <v>0</v>
      </c>
    </row>
    <row r="65" spans="1:6" ht="23.25">
      <c r="A65" s="182">
        <f t="shared" si="6"/>
        <v>20</v>
      </c>
      <c r="B65" s="205" t="s">
        <v>3482</v>
      </c>
      <c r="C65" s="92" t="s">
        <v>1361</v>
      </c>
      <c r="D65" s="92">
        <v>1</v>
      </c>
      <c r="E65" s="679"/>
      <c r="F65" s="98">
        <f t="shared" si="5"/>
        <v>0</v>
      </c>
    </row>
    <row r="66" spans="1:6" ht="23.25">
      <c r="A66" s="182">
        <f t="shared" si="6"/>
        <v>21</v>
      </c>
      <c r="B66" s="205" t="s">
        <v>3483</v>
      </c>
      <c r="C66" s="92" t="s">
        <v>1361</v>
      </c>
      <c r="D66" s="92">
        <v>2</v>
      </c>
      <c r="E66" s="679"/>
      <c r="F66" s="98">
        <f t="shared" si="5"/>
        <v>0</v>
      </c>
    </row>
    <row r="67" spans="1:6" ht="23.25">
      <c r="A67" s="182">
        <f t="shared" si="6"/>
        <v>22</v>
      </c>
      <c r="B67" s="205" t="s">
        <v>3484</v>
      </c>
      <c r="C67" s="92" t="s">
        <v>1548</v>
      </c>
      <c r="D67" s="92">
        <v>5</v>
      </c>
      <c r="E67" s="679"/>
      <c r="F67" s="98">
        <f t="shared" si="5"/>
        <v>0</v>
      </c>
    </row>
    <row r="68" spans="1:6" ht="23.25">
      <c r="A68" s="182">
        <f t="shared" si="6"/>
        <v>23</v>
      </c>
      <c r="B68" s="205" t="s">
        <v>3485</v>
      </c>
      <c r="C68" s="92" t="s">
        <v>1361</v>
      </c>
      <c r="D68" s="141">
        <v>1</v>
      </c>
      <c r="E68" s="679"/>
      <c r="F68" s="98">
        <f t="shared" si="5"/>
        <v>0</v>
      </c>
    </row>
    <row r="69" spans="1:6" ht="23.25">
      <c r="A69" s="182">
        <f t="shared" si="6"/>
        <v>24</v>
      </c>
      <c r="B69" s="205" t="s">
        <v>3486</v>
      </c>
      <c r="C69" s="92" t="s">
        <v>1361</v>
      </c>
      <c r="D69" s="92">
        <v>1</v>
      </c>
      <c r="E69" s="679"/>
      <c r="F69" s="98">
        <f t="shared" si="5"/>
        <v>0</v>
      </c>
    </row>
    <row r="70" spans="1:6" ht="23.25">
      <c r="A70" s="182">
        <f t="shared" si="6"/>
        <v>25</v>
      </c>
      <c r="B70" s="205" t="s">
        <v>3487</v>
      </c>
      <c r="C70" s="92" t="s">
        <v>158</v>
      </c>
      <c r="D70" s="92">
        <v>10</v>
      </c>
      <c r="E70" s="679"/>
      <c r="F70" s="98">
        <f t="shared" si="5"/>
        <v>0</v>
      </c>
    </row>
    <row r="71" spans="1:6" ht="23.25">
      <c r="A71" s="182">
        <f t="shared" si="6"/>
        <v>26</v>
      </c>
      <c r="B71" s="205" t="s">
        <v>3488</v>
      </c>
      <c r="C71" s="92" t="s">
        <v>2010</v>
      </c>
      <c r="D71" s="92">
        <v>31</v>
      </c>
      <c r="E71" s="761"/>
      <c r="F71" s="98">
        <f t="shared" si="5"/>
        <v>0</v>
      </c>
    </row>
    <row r="72" spans="1:6" ht="46.5">
      <c r="A72" s="182">
        <f t="shared" si="6"/>
        <v>27</v>
      </c>
      <c r="B72" s="101" t="s">
        <v>3413</v>
      </c>
      <c r="C72" s="96" t="s">
        <v>883</v>
      </c>
      <c r="D72" s="96">
        <v>3</v>
      </c>
      <c r="E72" s="761"/>
      <c r="F72" s="98">
        <f t="shared" si="5"/>
        <v>0</v>
      </c>
    </row>
    <row r="73" spans="1:6" ht="23.25">
      <c r="A73" s="182">
        <f t="shared" si="6"/>
        <v>28</v>
      </c>
      <c r="B73" s="205" t="s">
        <v>3386</v>
      </c>
      <c r="C73" s="96" t="s">
        <v>883</v>
      </c>
      <c r="D73" s="96">
        <v>1</v>
      </c>
      <c r="E73" s="761"/>
      <c r="F73" s="98">
        <f t="shared" si="5"/>
        <v>0</v>
      </c>
    </row>
    <row r="74" spans="1:7" s="777" customFormat="1" ht="23.25">
      <c r="A74" s="182">
        <f t="shared" si="6"/>
        <v>29</v>
      </c>
      <c r="B74" s="204" t="s">
        <v>3944</v>
      </c>
      <c r="C74" s="92" t="s">
        <v>1361</v>
      </c>
      <c r="D74" s="92">
        <v>1</v>
      </c>
      <c r="E74" s="679"/>
      <c r="F74" s="98">
        <f aca="true" t="shared" si="7" ref="F74:F78">D74*E74</f>
        <v>0</v>
      </c>
      <c r="G74" s="103"/>
    </row>
    <row r="75" spans="1:7" s="777" customFormat="1" ht="23.25">
      <c r="A75" s="182">
        <f t="shared" si="6"/>
        <v>30</v>
      </c>
      <c r="B75" s="204" t="s">
        <v>3472</v>
      </c>
      <c r="C75" s="92" t="s">
        <v>1361</v>
      </c>
      <c r="D75" s="92">
        <v>1</v>
      </c>
      <c r="E75" s="679"/>
      <c r="F75" s="98">
        <f t="shared" si="7"/>
        <v>0</v>
      </c>
      <c r="G75" s="103"/>
    </row>
    <row r="76" spans="1:7" s="777" customFormat="1" ht="23.25">
      <c r="A76" s="182">
        <f t="shared" si="6"/>
        <v>31</v>
      </c>
      <c r="B76" s="204" t="s">
        <v>3491</v>
      </c>
      <c r="C76" s="92" t="s">
        <v>1361</v>
      </c>
      <c r="D76" s="92">
        <v>10</v>
      </c>
      <c r="E76" s="679"/>
      <c r="F76" s="98">
        <f t="shared" si="7"/>
        <v>0</v>
      </c>
      <c r="G76" s="103"/>
    </row>
    <row r="77" spans="1:7" s="777" customFormat="1" ht="23.25">
      <c r="A77" s="182">
        <f t="shared" si="6"/>
        <v>32</v>
      </c>
      <c r="B77" s="204" t="s">
        <v>3490</v>
      </c>
      <c r="C77" s="92" t="s">
        <v>1361</v>
      </c>
      <c r="D77" s="92">
        <v>1</v>
      </c>
      <c r="E77" s="679"/>
      <c r="F77" s="98">
        <f aca="true" t="shared" si="8" ref="F77">D77*E77</f>
        <v>0</v>
      </c>
      <c r="G77" s="103"/>
    </row>
    <row r="78" spans="1:7" s="777" customFormat="1" ht="23.25">
      <c r="A78" s="182">
        <f t="shared" si="6"/>
        <v>33</v>
      </c>
      <c r="B78" s="204" t="s">
        <v>3494</v>
      </c>
      <c r="C78" s="92" t="s">
        <v>1361</v>
      </c>
      <c r="D78" s="92">
        <v>1</v>
      </c>
      <c r="E78" s="679"/>
      <c r="F78" s="98">
        <f t="shared" si="7"/>
        <v>0</v>
      </c>
      <c r="G78" s="103"/>
    </row>
    <row r="79" spans="1:7" s="778" customFormat="1" ht="24" thickBot="1">
      <c r="A79" s="182">
        <f t="shared" si="6"/>
        <v>34</v>
      </c>
      <c r="B79" s="204" t="s">
        <v>3952</v>
      </c>
      <c r="C79" s="92" t="s">
        <v>1361</v>
      </c>
      <c r="D79" s="92">
        <v>1</v>
      </c>
      <c r="E79" s="679"/>
      <c r="F79" s="98">
        <f aca="true" t="shared" si="9" ref="F79">D79*E79</f>
        <v>0</v>
      </c>
      <c r="G79" s="103"/>
    </row>
    <row r="80" spans="1:6" ht="24" thickBot="1">
      <c r="A80" s="165"/>
      <c r="B80" s="148" t="s">
        <v>3372</v>
      </c>
      <c r="C80" s="157"/>
      <c r="D80" s="157"/>
      <c r="E80" s="211"/>
      <c r="F80" s="171">
        <f>SUM(F46:F79)</f>
        <v>0</v>
      </c>
    </row>
  </sheetData>
  <sheetProtection password="CABD" sheet="1" objects="1" scenarios="1"/>
  <mergeCells count="1">
    <mergeCell ref="E2:F3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2075"/>
  <sheetViews>
    <sheetView showGridLines="0" tabSelected="1" workbookViewId="0" topLeftCell="A78">
      <selection activeCell="F86" sqref="F86"/>
    </sheetView>
  </sheetViews>
  <sheetFormatPr defaultColWidth="9.140625" defaultRowHeight="12"/>
  <cols>
    <col min="1" max="1" width="8.28125" style="78" customWidth="1"/>
    <col min="2" max="2" width="1.1484375" style="78" customWidth="1"/>
    <col min="3" max="3" width="5.28125" style="78" customWidth="1"/>
    <col min="4" max="4" width="4.28125" style="78" customWidth="1"/>
    <col min="5" max="5" width="17.140625" style="78" customWidth="1"/>
    <col min="6" max="6" width="50.8515625" style="78" customWidth="1"/>
    <col min="7" max="7" width="7.421875" style="78" customWidth="1"/>
    <col min="8" max="8" width="14.00390625" style="78" customWidth="1"/>
    <col min="9" max="9" width="15.8515625" style="78" customWidth="1"/>
    <col min="10" max="10" width="22.28125" style="78" customWidth="1"/>
    <col min="11" max="11" width="3.140625" style="78" hidden="1" customWidth="1"/>
    <col min="12" max="12" width="24.00390625" style="212" customWidth="1"/>
    <col min="13" max="13" width="30.8515625" style="78" hidden="1" customWidth="1"/>
    <col min="14" max="14" width="9.28125" style="78" hidden="1" customWidth="1"/>
    <col min="15" max="16" width="14.140625" style="78" hidden="1" customWidth="1"/>
    <col min="17" max="20" width="14.140625" style="78" customWidth="1"/>
    <col min="21" max="21" width="16.28125" style="78" customWidth="1"/>
    <col min="22" max="22" width="12.28125" style="78" customWidth="1"/>
    <col min="23" max="23" width="16.28125" style="78" customWidth="1"/>
    <col min="24" max="24" width="12.28125" style="78" customWidth="1"/>
    <col min="25" max="25" width="15.00390625" style="78" customWidth="1"/>
    <col min="26" max="26" width="11.00390625" style="78" customWidth="1"/>
    <col min="27" max="27" width="15.00390625" style="78" customWidth="1"/>
    <col min="28" max="28" width="16.28125" style="78" customWidth="1"/>
    <col min="29" max="29" width="11.00390625" style="78" customWidth="1"/>
    <col min="30" max="30" width="15.00390625" style="78" customWidth="1"/>
    <col min="31" max="31" width="16.28125" style="78" customWidth="1"/>
    <col min="32" max="43" width="9.28125" style="78" customWidth="1"/>
    <col min="44" max="65" width="9.28125" style="78" hidden="1" customWidth="1"/>
    <col min="66" max="16384" width="9.28125" style="78" customWidth="1"/>
  </cols>
  <sheetData>
    <row r="1" ht="12" hidden="1"/>
    <row r="2" spans="12:46" ht="36.95" customHeight="1" hidden="1">
      <c r="L2" s="834" t="s">
        <v>5</v>
      </c>
      <c r="M2" s="835"/>
      <c r="N2" s="835"/>
      <c r="O2" s="835"/>
      <c r="P2" s="835"/>
      <c r="Q2" s="835"/>
      <c r="R2" s="835"/>
      <c r="S2" s="835"/>
      <c r="T2" s="835"/>
      <c r="U2" s="835"/>
      <c r="V2" s="835"/>
      <c r="AT2" s="214" t="s">
        <v>82</v>
      </c>
    </row>
    <row r="3" spans="2:46" ht="6.95" customHeight="1" hidden="1">
      <c r="B3" s="215"/>
      <c r="C3" s="216"/>
      <c r="D3" s="216"/>
      <c r="E3" s="216"/>
      <c r="F3" s="216"/>
      <c r="G3" s="216"/>
      <c r="H3" s="216"/>
      <c r="I3" s="216"/>
      <c r="J3" s="216"/>
      <c r="K3" s="216"/>
      <c r="L3" s="217"/>
      <c r="AT3" s="214" t="s">
        <v>83</v>
      </c>
    </row>
    <row r="4" spans="2:46" ht="24.95" customHeight="1" hidden="1">
      <c r="B4" s="218"/>
      <c r="D4" s="219" t="s">
        <v>94</v>
      </c>
      <c r="L4" s="217"/>
      <c r="M4" s="220" t="s">
        <v>10</v>
      </c>
      <c r="AT4" s="214" t="s">
        <v>3</v>
      </c>
    </row>
    <row r="5" spans="2:12" ht="6.95" customHeight="1" hidden="1">
      <c r="B5" s="218"/>
      <c r="L5" s="217"/>
    </row>
    <row r="6" spans="2:12" ht="12" customHeight="1" hidden="1">
      <c r="B6" s="218"/>
      <c r="D6" s="221" t="s">
        <v>14</v>
      </c>
      <c r="L6" s="217"/>
    </row>
    <row r="7" spans="2:12" ht="16.5" customHeight="1" hidden="1">
      <c r="B7" s="218"/>
      <c r="E7" s="832" t="str">
        <f>'Rekapitulace stavby'!K6</f>
        <v>Středisko Okrouhlík - nástavba a stavební úpravy</v>
      </c>
      <c r="F7" s="833"/>
      <c r="G7" s="833"/>
      <c r="H7" s="833"/>
      <c r="L7" s="217"/>
    </row>
    <row r="8" spans="1:31" s="225" customFormat="1" ht="12" customHeight="1" hidden="1">
      <c r="A8" s="222"/>
      <c r="B8" s="223"/>
      <c r="C8" s="222"/>
      <c r="D8" s="221" t="s">
        <v>95</v>
      </c>
      <c r="E8" s="222"/>
      <c r="F8" s="222"/>
      <c r="G8" s="222"/>
      <c r="H8" s="222"/>
      <c r="I8" s="222"/>
      <c r="J8" s="222"/>
      <c r="K8" s="222"/>
      <c r="L8" s="224"/>
      <c r="S8" s="222"/>
      <c r="T8" s="222"/>
      <c r="U8" s="222"/>
      <c r="V8" s="222"/>
      <c r="W8" s="222"/>
      <c r="X8" s="222"/>
      <c r="Y8" s="222"/>
      <c r="Z8" s="222"/>
      <c r="AA8" s="222"/>
      <c r="AB8" s="222"/>
      <c r="AC8" s="222"/>
      <c r="AD8" s="222"/>
      <c r="AE8" s="222"/>
    </row>
    <row r="9" spans="1:31" s="225" customFormat="1" ht="16.5" customHeight="1" hidden="1">
      <c r="A9" s="222"/>
      <c r="B9" s="223"/>
      <c r="C9" s="222"/>
      <c r="D9" s="222"/>
      <c r="E9" s="830" t="s">
        <v>96</v>
      </c>
      <c r="F9" s="831"/>
      <c r="G9" s="831"/>
      <c r="H9" s="831"/>
      <c r="I9" s="222"/>
      <c r="J9" s="222"/>
      <c r="K9" s="222"/>
      <c r="L9" s="224"/>
      <c r="S9" s="222"/>
      <c r="T9" s="222"/>
      <c r="U9" s="222"/>
      <c r="V9" s="222"/>
      <c r="W9" s="222"/>
      <c r="X9" s="222"/>
      <c r="Y9" s="222"/>
      <c r="Z9" s="222"/>
      <c r="AA9" s="222"/>
      <c r="AB9" s="222"/>
      <c r="AC9" s="222"/>
      <c r="AD9" s="222"/>
      <c r="AE9" s="222"/>
    </row>
    <row r="10" spans="1:31" s="225" customFormat="1" ht="12" hidden="1">
      <c r="A10" s="222"/>
      <c r="B10" s="223"/>
      <c r="C10" s="222"/>
      <c r="D10" s="222"/>
      <c r="E10" s="222"/>
      <c r="F10" s="222"/>
      <c r="G10" s="222"/>
      <c r="H10" s="222"/>
      <c r="I10" s="222"/>
      <c r="J10" s="222"/>
      <c r="K10" s="222"/>
      <c r="L10" s="224"/>
      <c r="S10" s="222"/>
      <c r="T10" s="222"/>
      <c r="U10" s="222"/>
      <c r="V10" s="222"/>
      <c r="W10" s="222"/>
      <c r="X10" s="222"/>
      <c r="Y10" s="222"/>
      <c r="Z10" s="222"/>
      <c r="AA10" s="222"/>
      <c r="AB10" s="222"/>
      <c r="AC10" s="222"/>
      <c r="AD10" s="222"/>
      <c r="AE10" s="222"/>
    </row>
    <row r="11" spans="1:31" s="225" customFormat="1" ht="12" customHeight="1" hidden="1">
      <c r="A11" s="222"/>
      <c r="B11" s="223"/>
      <c r="C11" s="222"/>
      <c r="D11" s="221" t="s">
        <v>16</v>
      </c>
      <c r="E11" s="222"/>
      <c r="F11" s="226" t="s">
        <v>1</v>
      </c>
      <c r="G11" s="222"/>
      <c r="H11" s="222"/>
      <c r="I11" s="221" t="s">
        <v>17</v>
      </c>
      <c r="J11" s="226" t="s">
        <v>1</v>
      </c>
      <c r="K11" s="222"/>
      <c r="L11" s="224"/>
      <c r="S11" s="222"/>
      <c r="T11" s="222"/>
      <c r="U11" s="222"/>
      <c r="V11" s="222"/>
      <c r="W11" s="222"/>
      <c r="X11" s="222"/>
      <c r="Y11" s="222"/>
      <c r="Z11" s="222"/>
      <c r="AA11" s="222"/>
      <c r="AB11" s="222"/>
      <c r="AC11" s="222"/>
      <c r="AD11" s="222"/>
      <c r="AE11" s="222"/>
    </row>
    <row r="12" spans="1:31" s="225" customFormat="1" ht="12" customHeight="1" hidden="1">
      <c r="A12" s="222"/>
      <c r="B12" s="223"/>
      <c r="C12" s="222"/>
      <c r="D12" s="221" t="s">
        <v>18</v>
      </c>
      <c r="E12" s="222"/>
      <c r="F12" s="226" t="s">
        <v>19</v>
      </c>
      <c r="G12" s="222"/>
      <c r="H12" s="222"/>
      <c r="I12" s="221" t="s">
        <v>20</v>
      </c>
      <c r="J12" s="227" t="str">
        <f>'Rekapitulace stavby'!AN8</f>
        <v>8. 10. 2021</v>
      </c>
      <c r="K12" s="222"/>
      <c r="L12" s="224"/>
      <c r="S12" s="222"/>
      <c r="T12" s="222"/>
      <c r="U12" s="222"/>
      <c r="V12" s="222"/>
      <c r="W12" s="222"/>
      <c r="X12" s="222"/>
      <c r="Y12" s="222"/>
      <c r="Z12" s="222"/>
      <c r="AA12" s="222"/>
      <c r="AB12" s="222"/>
      <c r="AC12" s="222"/>
      <c r="AD12" s="222"/>
      <c r="AE12" s="222"/>
    </row>
    <row r="13" spans="1:31" s="225" customFormat="1" ht="10.9" customHeight="1" hidden="1">
      <c r="A13" s="222"/>
      <c r="B13" s="223"/>
      <c r="C13" s="222"/>
      <c r="D13" s="222"/>
      <c r="E13" s="222"/>
      <c r="F13" s="222"/>
      <c r="G13" s="222"/>
      <c r="H13" s="222"/>
      <c r="I13" s="222"/>
      <c r="J13" s="222"/>
      <c r="K13" s="222"/>
      <c r="L13" s="224"/>
      <c r="S13" s="222"/>
      <c r="T13" s="222"/>
      <c r="U13" s="222"/>
      <c r="V13" s="222"/>
      <c r="W13" s="222"/>
      <c r="X13" s="222"/>
      <c r="Y13" s="222"/>
      <c r="Z13" s="222"/>
      <c r="AA13" s="222"/>
      <c r="AB13" s="222"/>
      <c r="AC13" s="222"/>
      <c r="AD13" s="222"/>
      <c r="AE13" s="222"/>
    </row>
    <row r="14" spans="1:31" s="225" customFormat="1" ht="12" customHeight="1" hidden="1">
      <c r="A14" s="222"/>
      <c r="B14" s="223"/>
      <c r="C14" s="222"/>
      <c r="D14" s="221" t="s">
        <v>22</v>
      </c>
      <c r="E14" s="222"/>
      <c r="F14" s="222"/>
      <c r="G14" s="222"/>
      <c r="H14" s="222"/>
      <c r="I14" s="221" t="s">
        <v>23</v>
      </c>
      <c r="J14" s="226" t="s">
        <v>24</v>
      </c>
      <c r="K14" s="222"/>
      <c r="L14" s="224"/>
      <c r="S14" s="222"/>
      <c r="T14" s="222"/>
      <c r="U14" s="222"/>
      <c r="V14" s="222"/>
      <c r="W14" s="222"/>
      <c r="X14" s="222"/>
      <c r="Y14" s="222"/>
      <c r="Z14" s="222"/>
      <c r="AA14" s="222"/>
      <c r="AB14" s="222"/>
      <c r="AC14" s="222"/>
      <c r="AD14" s="222"/>
      <c r="AE14" s="222"/>
    </row>
    <row r="15" spans="1:31" s="225" customFormat="1" ht="18" customHeight="1" hidden="1">
      <c r="A15" s="222"/>
      <c r="B15" s="223"/>
      <c r="C15" s="222"/>
      <c r="D15" s="222"/>
      <c r="E15" s="226" t="s">
        <v>25</v>
      </c>
      <c r="F15" s="222"/>
      <c r="G15" s="222"/>
      <c r="H15" s="222"/>
      <c r="I15" s="221" t="s">
        <v>26</v>
      </c>
      <c r="J15" s="226" t="s">
        <v>27</v>
      </c>
      <c r="K15" s="222"/>
      <c r="L15" s="224"/>
      <c r="S15" s="222"/>
      <c r="T15" s="222"/>
      <c r="U15" s="222"/>
      <c r="V15" s="222"/>
      <c r="W15" s="222"/>
      <c r="X15" s="222"/>
      <c r="Y15" s="222"/>
      <c r="Z15" s="222"/>
      <c r="AA15" s="222"/>
      <c r="AB15" s="222"/>
      <c r="AC15" s="222"/>
      <c r="AD15" s="222"/>
      <c r="AE15" s="222"/>
    </row>
    <row r="16" spans="1:31" s="225" customFormat="1" ht="6.95" customHeight="1" hidden="1">
      <c r="A16" s="222"/>
      <c r="B16" s="223"/>
      <c r="C16" s="222"/>
      <c r="D16" s="222"/>
      <c r="E16" s="222"/>
      <c r="F16" s="222"/>
      <c r="G16" s="222"/>
      <c r="H16" s="222"/>
      <c r="I16" s="222"/>
      <c r="J16" s="222"/>
      <c r="K16" s="222"/>
      <c r="L16" s="224"/>
      <c r="S16" s="222"/>
      <c r="T16" s="222"/>
      <c r="U16" s="222"/>
      <c r="V16" s="222"/>
      <c r="W16" s="222"/>
      <c r="X16" s="222"/>
      <c r="Y16" s="222"/>
      <c r="Z16" s="222"/>
      <c r="AA16" s="222"/>
      <c r="AB16" s="222"/>
      <c r="AC16" s="222"/>
      <c r="AD16" s="222"/>
      <c r="AE16" s="222"/>
    </row>
    <row r="17" spans="1:31" s="225" customFormat="1" ht="12" customHeight="1" hidden="1">
      <c r="A17" s="222"/>
      <c r="B17" s="223"/>
      <c r="C17" s="222"/>
      <c r="D17" s="221" t="s">
        <v>28</v>
      </c>
      <c r="E17" s="222"/>
      <c r="F17" s="222"/>
      <c r="G17" s="222"/>
      <c r="H17" s="222"/>
      <c r="I17" s="221" t="s">
        <v>23</v>
      </c>
      <c r="J17" s="226" t="str">
        <f>'Rekapitulace stavby'!AN13</f>
        <v/>
      </c>
      <c r="K17" s="222"/>
      <c r="L17" s="224"/>
      <c r="S17" s="222"/>
      <c r="T17" s="222"/>
      <c r="U17" s="222"/>
      <c r="V17" s="222"/>
      <c r="W17" s="222"/>
      <c r="X17" s="222"/>
      <c r="Y17" s="222"/>
      <c r="Z17" s="222"/>
      <c r="AA17" s="222"/>
      <c r="AB17" s="222"/>
      <c r="AC17" s="222"/>
      <c r="AD17" s="222"/>
      <c r="AE17" s="222"/>
    </row>
    <row r="18" spans="1:31" s="225" customFormat="1" ht="18" customHeight="1" hidden="1">
      <c r="A18" s="222"/>
      <c r="B18" s="223"/>
      <c r="C18" s="222"/>
      <c r="D18" s="222"/>
      <c r="E18" s="836" t="str">
        <f>'Rekapitulace stavby'!E14</f>
        <v xml:space="preserve"> </v>
      </c>
      <c r="F18" s="836"/>
      <c r="G18" s="836"/>
      <c r="H18" s="836"/>
      <c r="I18" s="221" t="s">
        <v>26</v>
      </c>
      <c r="J18" s="226" t="str">
        <f>'Rekapitulace stavby'!AN14</f>
        <v/>
      </c>
      <c r="K18" s="222"/>
      <c r="L18" s="224"/>
      <c r="S18" s="222"/>
      <c r="T18" s="222"/>
      <c r="U18" s="222"/>
      <c r="V18" s="222"/>
      <c r="W18" s="222"/>
      <c r="X18" s="222"/>
      <c r="Y18" s="222"/>
      <c r="Z18" s="222"/>
      <c r="AA18" s="222"/>
      <c r="AB18" s="222"/>
      <c r="AC18" s="222"/>
      <c r="AD18" s="222"/>
      <c r="AE18" s="222"/>
    </row>
    <row r="19" spans="1:31" s="225" customFormat="1" ht="6.95" customHeight="1" hidden="1">
      <c r="A19" s="222"/>
      <c r="B19" s="223"/>
      <c r="C19" s="222"/>
      <c r="D19" s="222"/>
      <c r="E19" s="222"/>
      <c r="F19" s="222"/>
      <c r="G19" s="222"/>
      <c r="H19" s="222"/>
      <c r="I19" s="222"/>
      <c r="J19" s="222"/>
      <c r="K19" s="222"/>
      <c r="L19" s="224"/>
      <c r="S19" s="222"/>
      <c r="T19" s="222"/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  <c r="AE19" s="222"/>
    </row>
    <row r="20" spans="1:31" s="225" customFormat="1" ht="12" customHeight="1" hidden="1">
      <c r="A20" s="222"/>
      <c r="B20" s="223"/>
      <c r="C20" s="222"/>
      <c r="D20" s="221" t="s">
        <v>30</v>
      </c>
      <c r="E20" s="222"/>
      <c r="F20" s="222"/>
      <c r="G20" s="222"/>
      <c r="H20" s="222"/>
      <c r="I20" s="221" t="s">
        <v>23</v>
      </c>
      <c r="J20" s="226" t="s">
        <v>31</v>
      </c>
      <c r="K20" s="222"/>
      <c r="L20" s="224"/>
      <c r="S20" s="222"/>
      <c r="T20" s="222"/>
      <c r="U20" s="222"/>
      <c r="V20" s="222"/>
      <c r="W20" s="222"/>
      <c r="X20" s="222"/>
      <c r="Y20" s="222"/>
      <c r="Z20" s="222"/>
      <c r="AA20" s="222"/>
      <c r="AB20" s="222"/>
      <c r="AC20" s="222"/>
      <c r="AD20" s="222"/>
      <c r="AE20" s="222"/>
    </row>
    <row r="21" spans="1:31" s="225" customFormat="1" ht="18" customHeight="1" hidden="1">
      <c r="A21" s="222"/>
      <c r="B21" s="223"/>
      <c r="C21" s="222"/>
      <c r="D21" s="222"/>
      <c r="E21" s="226" t="s">
        <v>32</v>
      </c>
      <c r="F21" s="222"/>
      <c r="G21" s="222"/>
      <c r="H21" s="222"/>
      <c r="I21" s="221" t="s">
        <v>26</v>
      </c>
      <c r="J21" s="226" t="s">
        <v>33</v>
      </c>
      <c r="K21" s="222"/>
      <c r="L21" s="224"/>
      <c r="S21" s="222"/>
      <c r="T21" s="222"/>
      <c r="U21" s="222"/>
      <c r="V21" s="222"/>
      <c r="W21" s="222"/>
      <c r="X21" s="222"/>
      <c r="Y21" s="222"/>
      <c r="Z21" s="222"/>
      <c r="AA21" s="222"/>
      <c r="AB21" s="222"/>
      <c r="AC21" s="222"/>
      <c r="AD21" s="222"/>
      <c r="AE21" s="222"/>
    </row>
    <row r="22" spans="1:31" s="225" customFormat="1" ht="6.95" customHeight="1" hidden="1">
      <c r="A22" s="222"/>
      <c r="B22" s="223"/>
      <c r="C22" s="222"/>
      <c r="D22" s="222"/>
      <c r="E22" s="222"/>
      <c r="F22" s="222"/>
      <c r="G22" s="222"/>
      <c r="H22" s="222"/>
      <c r="I22" s="222"/>
      <c r="J22" s="222"/>
      <c r="K22" s="222"/>
      <c r="L22" s="224"/>
      <c r="S22" s="222"/>
      <c r="T22" s="222"/>
      <c r="U22" s="222"/>
      <c r="V22" s="222"/>
      <c r="W22" s="222"/>
      <c r="X22" s="222"/>
      <c r="Y22" s="222"/>
      <c r="Z22" s="222"/>
      <c r="AA22" s="222"/>
      <c r="AB22" s="222"/>
      <c r="AC22" s="222"/>
      <c r="AD22" s="222"/>
      <c r="AE22" s="222"/>
    </row>
    <row r="23" spans="1:31" s="225" customFormat="1" ht="12" customHeight="1" hidden="1">
      <c r="A23" s="222"/>
      <c r="B23" s="223"/>
      <c r="C23" s="222"/>
      <c r="D23" s="221" t="s">
        <v>35</v>
      </c>
      <c r="E23" s="222"/>
      <c r="F23" s="222"/>
      <c r="G23" s="222"/>
      <c r="H23" s="222"/>
      <c r="I23" s="221" t="s">
        <v>23</v>
      </c>
      <c r="J23" s="226" t="str">
        <f>IF('Rekapitulace stavby'!AN19="","",'Rekapitulace stavby'!AN19)</f>
        <v/>
      </c>
      <c r="K23" s="222"/>
      <c r="L23" s="224"/>
      <c r="S23" s="222"/>
      <c r="T23" s="222"/>
      <c r="U23" s="222"/>
      <c r="V23" s="222"/>
      <c r="W23" s="222"/>
      <c r="X23" s="222"/>
      <c r="Y23" s="222"/>
      <c r="Z23" s="222"/>
      <c r="AA23" s="222"/>
      <c r="AB23" s="222"/>
      <c r="AC23" s="222"/>
      <c r="AD23" s="222"/>
      <c r="AE23" s="222"/>
    </row>
    <row r="24" spans="1:31" s="225" customFormat="1" ht="18" customHeight="1" hidden="1">
      <c r="A24" s="222"/>
      <c r="B24" s="223"/>
      <c r="C24" s="222"/>
      <c r="D24" s="222"/>
      <c r="E24" s="226" t="str">
        <f>IF('Rekapitulace stavby'!E20="","",'Rekapitulace stavby'!E20)</f>
        <v xml:space="preserve"> </v>
      </c>
      <c r="F24" s="222"/>
      <c r="G24" s="222"/>
      <c r="H24" s="222"/>
      <c r="I24" s="221" t="s">
        <v>26</v>
      </c>
      <c r="J24" s="226" t="str">
        <f>IF('Rekapitulace stavby'!AN20="","",'Rekapitulace stavby'!AN20)</f>
        <v/>
      </c>
      <c r="K24" s="222"/>
      <c r="L24" s="224"/>
      <c r="S24" s="222"/>
      <c r="T24" s="222"/>
      <c r="U24" s="222"/>
      <c r="V24" s="222"/>
      <c r="W24" s="222"/>
      <c r="X24" s="222"/>
      <c r="Y24" s="222"/>
      <c r="Z24" s="222"/>
      <c r="AA24" s="222"/>
      <c r="AB24" s="222"/>
      <c r="AC24" s="222"/>
      <c r="AD24" s="222"/>
      <c r="AE24" s="222"/>
    </row>
    <row r="25" spans="1:31" s="225" customFormat="1" ht="6.95" customHeight="1" hidden="1">
      <c r="A25" s="222"/>
      <c r="B25" s="223"/>
      <c r="C25" s="222"/>
      <c r="D25" s="222"/>
      <c r="E25" s="222"/>
      <c r="F25" s="222"/>
      <c r="G25" s="222"/>
      <c r="H25" s="222"/>
      <c r="I25" s="222"/>
      <c r="J25" s="222"/>
      <c r="K25" s="222"/>
      <c r="L25" s="224"/>
      <c r="S25" s="222"/>
      <c r="T25" s="222"/>
      <c r="U25" s="222"/>
      <c r="V25" s="222"/>
      <c r="W25" s="222"/>
      <c r="X25" s="222"/>
      <c r="Y25" s="222"/>
      <c r="Z25" s="222"/>
      <c r="AA25" s="222"/>
      <c r="AB25" s="222"/>
      <c r="AC25" s="222"/>
      <c r="AD25" s="222"/>
      <c r="AE25" s="222"/>
    </row>
    <row r="26" spans="1:31" s="225" customFormat="1" ht="12" customHeight="1" hidden="1">
      <c r="A26" s="222"/>
      <c r="B26" s="223"/>
      <c r="C26" s="222"/>
      <c r="D26" s="221" t="s">
        <v>36</v>
      </c>
      <c r="E26" s="222"/>
      <c r="F26" s="222"/>
      <c r="G26" s="222"/>
      <c r="H26" s="222"/>
      <c r="I26" s="222"/>
      <c r="J26" s="222"/>
      <c r="K26" s="222"/>
      <c r="L26" s="224"/>
      <c r="S26" s="222"/>
      <c r="T26" s="222"/>
      <c r="U26" s="222"/>
      <c r="V26" s="222"/>
      <c r="W26" s="222"/>
      <c r="X26" s="222"/>
      <c r="Y26" s="222"/>
      <c r="Z26" s="222"/>
      <c r="AA26" s="222"/>
      <c r="AB26" s="222"/>
      <c r="AC26" s="222"/>
      <c r="AD26" s="222"/>
      <c r="AE26" s="222"/>
    </row>
    <row r="27" spans="1:31" s="230" customFormat="1" ht="16.5" customHeight="1" hidden="1">
      <c r="A27" s="228"/>
      <c r="B27" s="229"/>
      <c r="C27" s="228"/>
      <c r="D27" s="228"/>
      <c r="E27" s="837" t="s">
        <v>1</v>
      </c>
      <c r="F27" s="837"/>
      <c r="G27" s="837"/>
      <c r="H27" s="837"/>
      <c r="I27" s="228"/>
      <c r="J27" s="228"/>
      <c r="K27" s="228"/>
      <c r="L27" s="224"/>
      <c r="S27" s="228"/>
      <c r="T27" s="228"/>
      <c r="U27" s="228"/>
      <c r="V27" s="228"/>
      <c r="W27" s="228"/>
      <c r="X27" s="228"/>
      <c r="Y27" s="228"/>
      <c r="Z27" s="228"/>
      <c r="AA27" s="228"/>
      <c r="AB27" s="228"/>
      <c r="AC27" s="228"/>
      <c r="AD27" s="228"/>
      <c r="AE27" s="228"/>
    </row>
    <row r="28" spans="1:31" s="225" customFormat="1" ht="6.95" customHeight="1" hidden="1">
      <c r="A28" s="222"/>
      <c r="B28" s="223"/>
      <c r="C28" s="222"/>
      <c r="D28" s="222"/>
      <c r="E28" s="222"/>
      <c r="F28" s="222"/>
      <c r="G28" s="222"/>
      <c r="H28" s="222"/>
      <c r="I28" s="222"/>
      <c r="J28" s="222"/>
      <c r="K28" s="222"/>
      <c r="L28" s="224"/>
      <c r="S28" s="222"/>
      <c r="T28" s="222"/>
      <c r="U28" s="222"/>
      <c r="V28" s="222"/>
      <c r="W28" s="222"/>
      <c r="X28" s="222"/>
      <c r="Y28" s="222"/>
      <c r="Z28" s="222"/>
      <c r="AA28" s="222"/>
      <c r="AB28" s="222"/>
      <c r="AC28" s="222"/>
      <c r="AD28" s="222"/>
      <c r="AE28" s="222"/>
    </row>
    <row r="29" spans="1:31" s="225" customFormat="1" ht="6.95" customHeight="1" hidden="1">
      <c r="A29" s="222"/>
      <c r="B29" s="223"/>
      <c r="C29" s="222"/>
      <c r="D29" s="231"/>
      <c r="E29" s="231"/>
      <c r="F29" s="231"/>
      <c r="G29" s="231"/>
      <c r="H29" s="231"/>
      <c r="I29" s="231"/>
      <c r="J29" s="231"/>
      <c r="K29" s="231"/>
      <c r="L29" s="224"/>
      <c r="S29" s="222"/>
      <c r="T29" s="222"/>
      <c r="U29" s="222"/>
      <c r="V29" s="222"/>
      <c r="W29" s="222"/>
      <c r="X29" s="222"/>
      <c r="Y29" s="222"/>
      <c r="Z29" s="222"/>
      <c r="AA29" s="222"/>
      <c r="AB29" s="222"/>
      <c r="AC29" s="222"/>
      <c r="AD29" s="222"/>
      <c r="AE29" s="222"/>
    </row>
    <row r="30" spans="1:31" s="225" customFormat="1" ht="25.35" customHeight="1" hidden="1">
      <c r="A30" s="222"/>
      <c r="B30" s="223"/>
      <c r="C30" s="222"/>
      <c r="D30" s="232" t="s">
        <v>37</v>
      </c>
      <c r="E30" s="222"/>
      <c r="F30" s="222"/>
      <c r="G30" s="222"/>
      <c r="H30" s="222"/>
      <c r="I30" s="222"/>
      <c r="J30" s="233">
        <f>ROUND(J146,2)</f>
        <v>0</v>
      </c>
      <c r="K30" s="222"/>
      <c r="L30" s="224"/>
      <c r="S30" s="222"/>
      <c r="T30" s="222"/>
      <c r="U30" s="222"/>
      <c r="V30" s="222"/>
      <c r="W30" s="222"/>
      <c r="X30" s="222"/>
      <c r="Y30" s="222"/>
      <c r="Z30" s="222"/>
      <c r="AA30" s="222"/>
      <c r="AB30" s="222"/>
      <c r="AC30" s="222"/>
      <c r="AD30" s="222"/>
      <c r="AE30" s="222"/>
    </row>
    <row r="31" spans="1:31" s="225" customFormat="1" ht="6.95" customHeight="1" hidden="1">
      <c r="A31" s="222"/>
      <c r="B31" s="223"/>
      <c r="C31" s="222"/>
      <c r="D31" s="231"/>
      <c r="E31" s="231"/>
      <c r="F31" s="231"/>
      <c r="G31" s="231"/>
      <c r="H31" s="231"/>
      <c r="I31" s="231"/>
      <c r="J31" s="231"/>
      <c r="K31" s="231"/>
      <c r="L31" s="224"/>
      <c r="S31" s="222"/>
      <c r="T31" s="222"/>
      <c r="U31" s="222"/>
      <c r="V31" s="222"/>
      <c r="W31" s="222"/>
      <c r="X31" s="222"/>
      <c r="Y31" s="222"/>
      <c r="Z31" s="222"/>
      <c r="AA31" s="222"/>
      <c r="AB31" s="222"/>
      <c r="AC31" s="222"/>
      <c r="AD31" s="222"/>
      <c r="AE31" s="222"/>
    </row>
    <row r="32" spans="1:31" s="225" customFormat="1" ht="14.45" customHeight="1" hidden="1">
      <c r="A32" s="222"/>
      <c r="B32" s="223"/>
      <c r="C32" s="222"/>
      <c r="D32" s="222"/>
      <c r="E32" s="222"/>
      <c r="F32" s="234" t="s">
        <v>39</v>
      </c>
      <c r="G32" s="222"/>
      <c r="H32" s="222"/>
      <c r="I32" s="234" t="s">
        <v>38</v>
      </c>
      <c r="J32" s="234" t="s">
        <v>40</v>
      </c>
      <c r="K32" s="222"/>
      <c r="L32" s="224"/>
      <c r="S32" s="222"/>
      <c r="T32" s="222"/>
      <c r="U32" s="222"/>
      <c r="V32" s="222"/>
      <c r="W32" s="222"/>
      <c r="X32" s="222"/>
      <c r="Y32" s="222"/>
      <c r="Z32" s="222"/>
      <c r="AA32" s="222"/>
      <c r="AB32" s="222"/>
      <c r="AC32" s="222"/>
      <c r="AD32" s="222"/>
      <c r="AE32" s="222"/>
    </row>
    <row r="33" spans="1:31" s="225" customFormat="1" ht="14.45" customHeight="1" hidden="1">
      <c r="A33" s="222"/>
      <c r="B33" s="223"/>
      <c r="C33" s="222"/>
      <c r="D33" s="235" t="s">
        <v>41</v>
      </c>
      <c r="E33" s="221" t="s">
        <v>42</v>
      </c>
      <c r="F33" s="236">
        <f>ROUND((SUM(BE146:BE2074)),2)</f>
        <v>0</v>
      </c>
      <c r="G33" s="222"/>
      <c r="H33" s="222"/>
      <c r="I33" s="237">
        <v>0.21</v>
      </c>
      <c r="J33" s="236">
        <f>ROUND(((SUM(BE146:BE2074))*I33),2)</f>
        <v>0</v>
      </c>
      <c r="K33" s="222"/>
      <c r="L33" s="224"/>
      <c r="S33" s="222"/>
      <c r="T33" s="222"/>
      <c r="U33" s="222"/>
      <c r="V33" s="222"/>
      <c r="W33" s="222"/>
      <c r="X33" s="222"/>
      <c r="Y33" s="222"/>
      <c r="Z33" s="222"/>
      <c r="AA33" s="222"/>
      <c r="AB33" s="222"/>
      <c r="AC33" s="222"/>
      <c r="AD33" s="222"/>
      <c r="AE33" s="222"/>
    </row>
    <row r="34" spans="1:31" s="225" customFormat="1" ht="14.45" customHeight="1" hidden="1">
      <c r="A34" s="222"/>
      <c r="B34" s="223"/>
      <c r="C34" s="222"/>
      <c r="D34" s="222"/>
      <c r="E34" s="221" t="s">
        <v>43</v>
      </c>
      <c r="F34" s="236">
        <f>ROUND((SUM(BF146:BF2074)),2)</f>
        <v>0</v>
      </c>
      <c r="G34" s="222"/>
      <c r="H34" s="222"/>
      <c r="I34" s="237">
        <v>0.15</v>
      </c>
      <c r="J34" s="236">
        <f>ROUND(((SUM(BF146:BF2074))*I34),2)</f>
        <v>0</v>
      </c>
      <c r="K34" s="222"/>
      <c r="L34" s="224"/>
      <c r="S34" s="222"/>
      <c r="T34" s="222"/>
      <c r="U34" s="222"/>
      <c r="V34" s="222"/>
      <c r="W34" s="222"/>
      <c r="X34" s="222"/>
      <c r="Y34" s="222"/>
      <c r="Z34" s="222"/>
      <c r="AA34" s="222"/>
      <c r="AB34" s="222"/>
      <c r="AC34" s="222"/>
      <c r="AD34" s="222"/>
      <c r="AE34" s="222"/>
    </row>
    <row r="35" spans="1:31" s="225" customFormat="1" ht="14.45" customHeight="1" hidden="1">
      <c r="A35" s="222"/>
      <c r="B35" s="223"/>
      <c r="C35" s="222"/>
      <c r="D35" s="222"/>
      <c r="E35" s="221" t="s">
        <v>44</v>
      </c>
      <c r="F35" s="236">
        <f>ROUND((SUM(BG146:BG2074)),2)</f>
        <v>0</v>
      </c>
      <c r="G35" s="222"/>
      <c r="H35" s="222"/>
      <c r="I35" s="237">
        <v>0.21</v>
      </c>
      <c r="J35" s="236">
        <f>0</f>
        <v>0</v>
      </c>
      <c r="K35" s="222"/>
      <c r="L35" s="224"/>
      <c r="S35" s="222"/>
      <c r="T35" s="222"/>
      <c r="U35" s="222"/>
      <c r="V35" s="222"/>
      <c r="W35" s="222"/>
      <c r="X35" s="222"/>
      <c r="Y35" s="222"/>
      <c r="Z35" s="222"/>
      <c r="AA35" s="222"/>
      <c r="AB35" s="222"/>
      <c r="AC35" s="222"/>
      <c r="AD35" s="222"/>
      <c r="AE35" s="222"/>
    </row>
    <row r="36" spans="1:31" s="225" customFormat="1" ht="14.45" customHeight="1" hidden="1">
      <c r="A36" s="222"/>
      <c r="B36" s="223"/>
      <c r="C36" s="222"/>
      <c r="D36" s="222"/>
      <c r="E36" s="221" t="s">
        <v>45</v>
      </c>
      <c r="F36" s="236">
        <f>ROUND((SUM(BH146:BH2074)),2)</f>
        <v>0</v>
      </c>
      <c r="G36" s="222"/>
      <c r="H36" s="222"/>
      <c r="I36" s="237">
        <v>0.15</v>
      </c>
      <c r="J36" s="236">
        <f>0</f>
        <v>0</v>
      </c>
      <c r="K36" s="222"/>
      <c r="L36" s="224"/>
      <c r="S36" s="222"/>
      <c r="T36" s="222"/>
      <c r="U36" s="222"/>
      <c r="V36" s="222"/>
      <c r="W36" s="222"/>
      <c r="X36" s="222"/>
      <c r="Y36" s="222"/>
      <c r="Z36" s="222"/>
      <c r="AA36" s="222"/>
      <c r="AB36" s="222"/>
      <c r="AC36" s="222"/>
      <c r="AD36" s="222"/>
      <c r="AE36" s="222"/>
    </row>
    <row r="37" spans="1:31" s="225" customFormat="1" ht="14.45" customHeight="1" hidden="1">
      <c r="A37" s="222"/>
      <c r="B37" s="223"/>
      <c r="C37" s="222"/>
      <c r="D37" s="222"/>
      <c r="E37" s="221" t="s">
        <v>46</v>
      </c>
      <c r="F37" s="236">
        <f>ROUND((SUM(BI146:BI2074)),2)</f>
        <v>0</v>
      </c>
      <c r="G37" s="222"/>
      <c r="H37" s="222"/>
      <c r="I37" s="237">
        <v>0</v>
      </c>
      <c r="J37" s="236">
        <f>0</f>
        <v>0</v>
      </c>
      <c r="K37" s="222"/>
      <c r="L37" s="224"/>
      <c r="S37" s="222"/>
      <c r="T37" s="222"/>
      <c r="U37" s="222"/>
      <c r="V37" s="222"/>
      <c r="W37" s="222"/>
      <c r="X37" s="222"/>
      <c r="Y37" s="222"/>
      <c r="Z37" s="222"/>
      <c r="AA37" s="222"/>
      <c r="AB37" s="222"/>
      <c r="AC37" s="222"/>
      <c r="AD37" s="222"/>
      <c r="AE37" s="222"/>
    </row>
    <row r="38" spans="1:31" s="225" customFormat="1" ht="6.95" customHeight="1" hidden="1">
      <c r="A38" s="222"/>
      <c r="B38" s="223"/>
      <c r="C38" s="222"/>
      <c r="D38" s="222"/>
      <c r="E38" s="222"/>
      <c r="F38" s="222"/>
      <c r="G38" s="222"/>
      <c r="H38" s="222"/>
      <c r="I38" s="222"/>
      <c r="J38" s="222"/>
      <c r="K38" s="222"/>
      <c r="L38" s="224"/>
      <c r="S38" s="222"/>
      <c r="T38" s="222"/>
      <c r="U38" s="222"/>
      <c r="V38" s="222"/>
      <c r="W38" s="222"/>
      <c r="X38" s="222"/>
      <c r="Y38" s="222"/>
      <c r="Z38" s="222"/>
      <c r="AA38" s="222"/>
      <c r="AB38" s="222"/>
      <c r="AC38" s="222"/>
      <c r="AD38" s="222"/>
      <c r="AE38" s="222"/>
    </row>
    <row r="39" spans="1:31" s="225" customFormat="1" ht="25.35" customHeight="1" hidden="1">
      <c r="A39" s="222"/>
      <c r="B39" s="223"/>
      <c r="C39" s="238"/>
      <c r="D39" s="239" t="s">
        <v>47</v>
      </c>
      <c r="E39" s="240"/>
      <c r="F39" s="240"/>
      <c r="G39" s="241" t="s">
        <v>48</v>
      </c>
      <c r="H39" s="242" t="s">
        <v>49</v>
      </c>
      <c r="I39" s="240"/>
      <c r="J39" s="243">
        <f>SUM(J30:J37)</f>
        <v>0</v>
      </c>
      <c r="K39" s="244"/>
      <c r="L39" s="224"/>
      <c r="S39" s="222"/>
      <c r="T39" s="222"/>
      <c r="U39" s="222"/>
      <c r="V39" s="222"/>
      <c r="W39" s="222"/>
      <c r="X39" s="222"/>
      <c r="Y39" s="222"/>
      <c r="Z39" s="222"/>
      <c r="AA39" s="222"/>
      <c r="AB39" s="222"/>
      <c r="AC39" s="222"/>
      <c r="AD39" s="222"/>
      <c r="AE39" s="222"/>
    </row>
    <row r="40" spans="1:31" s="225" customFormat="1" ht="14.45" customHeight="1" hidden="1">
      <c r="A40" s="222"/>
      <c r="B40" s="223"/>
      <c r="C40" s="222"/>
      <c r="D40" s="222"/>
      <c r="E40" s="222"/>
      <c r="F40" s="222"/>
      <c r="G40" s="222"/>
      <c r="H40" s="222"/>
      <c r="I40" s="222"/>
      <c r="J40" s="222"/>
      <c r="K40" s="222"/>
      <c r="L40" s="224"/>
      <c r="S40" s="222"/>
      <c r="T40" s="222"/>
      <c r="U40" s="222"/>
      <c r="V40" s="222"/>
      <c r="W40" s="222"/>
      <c r="X40" s="222"/>
      <c r="Y40" s="222"/>
      <c r="Z40" s="222"/>
      <c r="AA40" s="222"/>
      <c r="AB40" s="222"/>
      <c r="AC40" s="222"/>
      <c r="AD40" s="222"/>
      <c r="AE40" s="222"/>
    </row>
    <row r="41" spans="2:12" ht="14.45" customHeight="1" hidden="1">
      <c r="B41" s="218"/>
      <c r="L41" s="217"/>
    </row>
    <row r="42" spans="2:12" ht="14.45" customHeight="1" hidden="1">
      <c r="B42" s="218"/>
      <c r="L42" s="217"/>
    </row>
    <row r="43" spans="2:12" ht="14.45" customHeight="1" hidden="1">
      <c r="B43" s="218"/>
      <c r="L43" s="217"/>
    </row>
    <row r="44" spans="2:12" ht="14.45" customHeight="1" hidden="1">
      <c r="B44" s="218"/>
      <c r="L44" s="217"/>
    </row>
    <row r="45" spans="2:12" ht="14.45" customHeight="1" hidden="1">
      <c r="B45" s="218"/>
      <c r="L45" s="217"/>
    </row>
    <row r="46" spans="2:12" ht="14.45" customHeight="1" hidden="1">
      <c r="B46" s="218"/>
      <c r="L46" s="217"/>
    </row>
    <row r="47" spans="2:12" ht="14.45" customHeight="1" hidden="1">
      <c r="B47" s="218"/>
      <c r="L47" s="217"/>
    </row>
    <row r="48" spans="2:12" ht="14.45" customHeight="1" hidden="1">
      <c r="B48" s="218"/>
      <c r="L48" s="217"/>
    </row>
    <row r="49" spans="2:12" ht="14.45" customHeight="1" hidden="1">
      <c r="B49" s="218"/>
      <c r="L49" s="217"/>
    </row>
    <row r="50" spans="2:12" s="225" customFormat="1" ht="14.45" customHeight="1" hidden="1">
      <c r="B50" s="245"/>
      <c r="D50" s="246" t="s">
        <v>50</v>
      </c>
      <c r="E50" s="247"/>
      <c r="F50" s="247"/>
      <c r="G50" s="246" t="s">
        <v>51</v>
      </c>
      <c r="H50" s="247"/>
      <c r="I50" s="247"/>
      <c r="J50" s="247"/>
      <c r="K50" s="247"/>
      <c r="L50" s="224"/>
    </row>
    <row r="51" spans="2:12" ht="12" hidden="1">
      <c r="B51" s="218"/>
      <c r="L51" s="217"/>
    </row>
    <row r="52" spans="2:12" ht="12" hidden="1">
      <c r="B52" s="218"/>
      <c r="L52" s="217"/>
    </row>
    <row r="53" spans="2:12" ht="12" hidden="1">
      <c r="B53" s="218"/>
      <c r="L53" s="217"/>
    </row>
    <row r="54" spans="2:12" ht="12" hidden="1">
      <c r="B54" s="218"/>
      <c r="L54" s="217"/>
    </row>
    <row r="55" spans="2:12" ht="12" hidden="1">
      <c r="B55" s="218"/>
      <c r="L55" s="217"/>
    </row>
    <row r="56" spans="2:12" ht="12" hidden="1">
      <c r="B56" s="218"/>
      <c r="L56" s="217"/>
    </row>
    <row r="57" spans="2:12" ht="12" hidden="1">
      <c r="B57" s="218"/>
      <c r="L57" s="217"/>
    </row>
    <row r="58" spans="2:12" ht="12" hidden="1">
      <c r="B58" s="218"/>
      <c r="L58" s="217"/>
    </row>
    <row r="59" spans="2:12" ht="12" hidden="1">
      <c r="B59" s="218"/>
      <c r="L59" s="217"/>
    </row>
    <row r="60" spans="2:12" ht="12" hidden="1">
      <c r="B60" s="218"/>
      <c r="L60" s="217"/>
    </row>
    <row r="61" spans="1:31" s="225" customFormat="1" ht="12.75" hidden="1">
      <c r="A61" s="222"/>
      <c r="B61" s="223"/>
      <c r="C61" s="222"/>
      <c r="D61" s="248" t="s">
        <v>52</v>
      </c>
      <c r="E61" s="249"/>
      <c r="F61" s="250" t="s">
        <v>53</v>
      </c>
      <c r="G61" s="248" t="s">
        <v>52</v>
      </c>
      <c r="H61" s="249"/>
      <c r="I61" s="249"/>
      <c r="J61" s="251" t="s">
        <v>53</v>
      </c>
      <c r="K61" s="249"/>
      <c r="L61" s="224"/>
      <c r="S61" s="222"/>
      <c r="T61" s="222"/>
      <c r="U61" s="222"/>
      <c r="V61" s="222"/>
      <c r="W61" s="222"/>
      <c r="X61" s="222"/>
      <c r="Y61" s="222"/>
      <c r="Z61" s="222"/>
      <c r="AA61" s="222"/>
      <c r="AB61" s="222"/>
      <c r="AC61" s="222"/>
      <c r="AD61" s="222"/>
      <c r="AE61" s="222"/>
    </row>
    <row r="62" spans="2:12" ht="12" hidden="1">
      <c r="B62" s="218"/>
      <c r="L62" s="217"/>
    </row>
    <row r="63" spans="2:12" ht="12" hidden="1">
      <c r="B63" s="218"/>
      <c r="L63" s="217"/>
    </row>
    <row r="64" spans="2:12" ht="12" hidden="1">
      <c r="B64" s="218"/>
      <c r="L64" s="217"/>
    </row>
    <row r="65" spans="1:31" s="225" customFormat="1" ht="12.75" hidden="1">
      <c r="A65" s="222"/>
      <c r="B65" s="223"/>
      <c r="C65" s="222"/>
      <c r="D65" s="246" t="s">
        <v>54</v>
      </c>
      <c r="E65" s="252"/>
      <c r="F65" s="252"/>
      <c r="G65" s="246" t="s">
        <v>55</v>
      </c>
      <c r="H65" s="252"/>
      <c r="I65" s="252"/>
      <c r="J65" s="252"/>
      <c r="K65" s="252"/>
      <c r="L65" s="224"/>
      <c r="S65" s="222"/>
      <c r="T65" s="222"/>
      <c r="U65" s="222"/>
      <c r="V65" s="222"/>
      <c r="W65" s="222"/>
      <c r="X65" s="222"/>
      <c r="Y65" s="222"/>
      <c r="Z65" s="222"/>
      <c r="AA65" s="222"/>
      <c r="AB65" s="222"/>
      <c r="AC65" s="222"/>
      <c r="AD65" s="222"/>
      <c r="AE65" s="222"/>
    </row>
    <row r="66" spans="2:12" ht="12" hidden="1">
      <c r="B66" s="218"/>
      <c r="L66" s="217"/>
    </row>
    <row r="67" spans="2:12" ht="12" hidden="1">
      <c r="B67" s="218"/>
      <c r="L67" s="217"/>
    </row>
    <row r="68" spans="2:12" ht="12" hidden="1">
      <c r="B68" s="218"/>
      <c r="L68" s="217"/>
    </row>
    <row r="69" spans="2:12" ht="12" hidden="1">
      <c r="B69" s="218"/>
      <c r="L69" s="217"/>
    </row>
    <row r="70" spans="2:12" ht="12" hidden="1">
      <c r="B70" s="218"/>
      <c r="L70" s="217"/>
    </row>
    <row r="71" spans="2:12" ht="12" hidden="1">
      <c r="B71" s="218"/>
      <c r="L71" s="217"/>
    </row>
    <row r="72" spans="2:12" ht="12" hidden="1">
      <c r="B72" s="218"/>
      <c r="L72" s="217"/>
    </row>
    <row r="73" spans="2:12" ht="12" hidden="1">
      <c r="B73" s="218"/>
      <c r="L73" s="217"/>
    </row>
    <row r="74" spans="2:12" ht="12" hidden="1">
      <c r="B74" s="218"/>
      <c r="L74" s="217"/>
    </row>
    <row r="75" spans="2:12" ht="12" hidden="1">
      <c r="B75" s="218"/>
      <c r="L75" s="217"/>
    </row>
    <row r="76" spans="1:31" s="225" customFormat="1" ht="12.75" hidden="1">
      <c r="A76" s="222"/>
      <c r="B76" s="223"/>
      <c r="C76" s="222"/>
      <c r="D76" s="248" t="s">
        <v>52</v>
      </c>
      <c r="E76" s="249"/>
      <c r="F76" s="250" t="s">
        <v>53</v>
      </c>
      <c r="G76" s="248" t="s">
        <v>52</v>
      </c>
      <c r="H76" s="249"/>
      <c r="I76" s="249"/>
      <c r="J76" s="251" t="s">
        <v>53</v>
      </c>
      <c r="K76" s="249"/>
      <c r="L76" s="224"/>
      <c r="S76" s="222"/>
      <c r="T76" s="222"/>
      <c r="U76" s="222"/>
      <c r="V76" s="222"/>
      <c r="W76" s="222"/>
      <c r="X76" s="222"/>
      <c r="Y76" s="222"/>
      <c r="Z76" s="222"/>
      <c r="AA76" s="222"/>
      <c r="AB76" s="222"/>
      <c r="AC76" s="222"/>
      <c r="AD76" s="222"/>
      <c r="AE76" s="222"/>
    </row>
    <row r="77" spans="1:31" s="225" customFormat="1" ht="14.45" customHeight="1" hidden="1">
      <c r="A77" s="222"/>
      <c r="B77" s="253"/>
      <c r="C77" s="254"/>
      <c r="D77" s="254"/>
      <c r="E77" s="254"/>
      <c r="F77" s="254"/>
      <c r="G77" s="254"/>
      <c r="H77" s="254"/>
      <c r="I77" s="254"/>
      <c r="J77" s="254"/>
      <c r="K77" s="254"/>
      <c r="L77" s="224"/>
      <c r="S77" s="222"/>
      <c r="T77" s="222"/>
      <c r="U77" s="222"/>
      <c r="V77" s="222"/>
      <c r="W77" s="222"/>
      <c r="X77" s="222"/>
      <c r="Y77" s="222"/>
      <c r="Z77" s="222"/>
      <c r="AA77" s="222"/>
      <c r="AB77" s="222"/>
      <c r="AC77" s="222"/>
      <c r="AD77" s="222"/>
      <c r="AE77" s="222"/>
    </row>
    <row r="81" spans="1:31" s="225" customFormat="1" ht="6.95" customHeight="1">
      <c r="A81" s="222"/>
      <c r="B81" s="255"/>
      <c r="C81" s="256"/>
      <c r="D81" s="256"/>
      <c r="E81" s="256"/>
      <c r="F81" s="256"/>
      <c r="G81" s="256"/>
      <c r="H81" s="256"/>
      <c r="I81" s="256"/>
      <c r="J81" s="256"/>
      <c r="K81" s="256"/>
      <c r="L81" s="224"/>
      <c r="S81" s="222"/>
      <c r="T81" s="222"/>
      <c r="U81" s="222"/>
      <c r="V81" s="222"/>
      <c r="W81" s="222"/>
      <c r="X81" s="222"/>
      <c r="Y81" s="222"/>
      <c r="Z81" s="222"/>
      <c r="AA81" s="222"/>
      <c r="AB81" s="222"/>
      <c r="AC81" s="222"/>
      <c r="AD81" s="222"/>
      <c r="AE81" s="222"/>
    </row>
    <row r="82" spans="1:31" s="225" customFormat="1" ht="24.95" customHeight="1">
      <c r="A82" s="222"/>
      <c r="B82" s="223"/>
      <c r="C82" s="219" t="s">
        <v>97</v>
      </c>
      <c r="D82" s="222"/>
      <c r="E82" s="222"/>
      <c r="F82" s="222"/>
      <c r="G82" s="222"/>
      <c r="H82" s="222"/>
      <c r="I82" s="222"/>
      <c r="J82" s="222"/>
      <c r="K82" s="222"/>
      <c r="L82" s="224"/>
      <c r="S82" s="222"/>
      <c r="T82" s="222"/>
      <c r="U82" s="222"/>
      <c r="V82" s="222"/>
      <c r="W82" s="222"/>
      <c r="X82" s="222"/>
      <c r="Y82" s="222"/>
      <c r="Z82" s="222"/>
      <c r="AA82" s="222"/>
      <c r="AB82" s="222"/>
      <c r="AC82" s="222"/>
      <c r="AD82" s="222"/>
      <c r="AE82" s="222"/>
    </row>
    <row r="83" spans="1:31" s="225" customFormat="1" ht="6.95" customHeight="1">
      <c r="A83" s="222"/>
      <c r="B83" s="223"/>
      <c r="C83" s="222"/>
      <c r="D83" s="222"/>
      <c r="E83" s="222"/>
      <c r="F83" s="222"/>
      <c r="G83" s="222"/>
      <c r="H83" s="222"/>
      <c r="I83" s="222"/>
      <c r="J83" s="222"/>
      <c r="K83" s="222"/>
      <c r="L83" s="224"/>
      <c r="S83" s="222"/>
      <c r="T83" s="222"/>
      <c r="U83" s="222"/>
      <c r="V83" s="222"/>
      <c r="W83" s="222"/>
      <c r="X83" s="222"/>
      <c r="Y83" s="222"/>
      <c r="Z83" s="222"/>
      <c r="AA83" s="222"/>
      <c r="AB83" s="222"/>
      <c r="AC83" s="222"/>
      <c r="AD83" s="222"/>
      <c r="AE83" s="222"/>
    </row>
    <row r="84" spans="1:31" s="225" customFormat="1" ht="12" customHeight="1">
      <c r="A84" s="222"/>
      <c r="B84" s="223"/>
      <c r="C84" s="221" t="s">
        <v>14</v>
      </c>
      <c r="D84" s="222"/>
      <c r="E84" s="222"/>
      <c r="F84" s="222"/>
      <c r="G84" s="222"/>
      <c r="H84" s="222"/>
      <c r="I84" s="222"/>
      <c r="J84" s="222"/>
      <c r="K84" s="222"/>
      <c r="L84" s="224"/>
      <c r="S84" s="222"/>
      <c r="T84" s="222"/>
      <c r="U84" s="222"/>
      <c r="V84" s="222"/>
      <c r="W84" s="222"/>
      <c r="X84" s="222"/>
      <c r="Y84" s="222"/>
      <c r="Z84" s="222"/>
      <c r="AA84" s="222"/>
      <c r="AB84" s="222"/>
      <c r="AC84" s="222"/>
      <c r="AD84" s="222"/>
      <c r="AE84" s="222"/>
    </row>
    <row r="85" spans="1:31" s="225" customFormat="1" ht="16.5" customHeight="1">
      <c r="A85" s="222"/>
      <c r="B85" s="223"/>
      <c r="C85" s="222"/>
      <c r="D85" s="222"/>
      <c r="E85" s="832" t="str">
        <f>E7</f>
        <v>Středisko Okrouhlík - nástavba a stavební úpravy</v>
      </c>
      <c r="F85" s="833"/>
      <c r="G85" s="833"/>
      <c r="H85" s="833"/>
      <c r="I85" s="222"/>
      <c r="J85" s="222"/>
      <c r="K85" s="222"/>
      <c r="L85" s="224"/>
      <c r="S85" s="222"/>
      <c r="T85" s="222"/>
      <c r="U85" s="222"/>
      <c r="V85" s="222"/>
      <c r="W85" s="222"/>
      <c r="X85" s="222"/>
      <c r="Y85" s="222"/>
      <c r="Z85" s="222"/>
      <c r="AA85" s="222"/>
      <c r="AB85" s="222"/>
      <c r="AC85" s="222"/>
      <c r="AD85" s="222"/>
      <c r="AE85" s="222"/>
    </row>
    <row r="86" spans="1:31" s="225" customFormat="1" ht="12" customHeight="1">
      <c r="A86" s="222"/>
      <c r="B86" s="223"/>
      <c r="C86" s="221" t="s">
        <v>95</v>
      </c>
      <c r="D86" s="222"/>
      <c r="E86" s="222"/>
      <c r="F86" s="222"/>
      <c r="G86" s="222"/>
      <c r="H86" s="222"/>
      <c r="I86" s="222"/>
      <c r="J86" s="222"/>
      <c r="K86" s="222"/>
      <c r="L86" s="224"/>
      <c r="S86" s="222"/>
      <c r="T86" s="222"/>
      <c r="U86" s="222"/>
      <c r="V86" s="222"/>
      <c r="W86" s="222"/>
      <c r="X86" s="222"/>
      <c r="Y86" s="222"/>
      <c r="Z86" s="222"/>
      <c r="AA86" s="222"/>
      <c r="AB86" s="222"/>
      <c r="AC86" s="222"/>
      <c r="AD86" s="222"/>
      <c r="AE86" s="222"/>
    </row>
    <row r="87" spans="1:31" s="225" customFormat="1" ht="16.5" customHeight="1">
      <c r="A87" s="222"/>
      <c r="B87" s="223"/>
      <c r="C87" s="222"/>
      <c r="D87" s="222"/>
      <c r="E87" s="830" t="str">
        <f>E9</f>
        <v>01 - Stavební práce- neuznatelné náklady</v>
      </c>
      <c r="F87" s="831"/>
      <c r="G87" s="831"/>
      <c r="H87" s="831"/>
      <c r="I87" s="222"/>
      <c r="J87" s="222"/>
      <c r="K87" s="222"/>
      <c r="L87" s="224"/>
      <c r="S87" s="222"/>
      <c r="T87" s="222"/>
      <c r="U87" s="222"/>
      <c r="V87" s="222"/>
      <c r="W87" s="222"/>
      <c r="X87" s="222"/>
      <c r="Y87" s="222"/>
      <c r="Z87" s="222"/>
      <c r="AA87" s="222"/>
      <c r="AB87" s="222"/>
      <c r="AC87" s="222"/>
      <c r="AD87" s="222"/>
      <c r="AE87" s="222"/>
    </row>
    <row r="88" spans="1:31" s="225" customFormat="1" ht="6.95" customHeight="1">
      <c r="A88" s="222"/>
      <c r="B88" s="223"/>
      <c r="C88" s="222"/>
      <c r="D88" s="222"/>
      <c r="E88" s="222"/>
      <c r="F88" s="222"/>
      <c r="G88" s="222"/>
      <c r="H88" s="222"/>
      <c r="I88" s="222"/>
      <c r="J88" s="222"/>
      <c r="K88" s="222"/>
      <c r="L88" s="224"/>
      <c r="S88" s="222"/>
      <c r="T88" s="222"/>
      <c r="U88" s="222"/>
      <c r="V88" s="222"/>
      <c r="W88" s="222"/>
      <c r="X88" s="222"/>
      <c r="Y88" s="222"/>
      <c r="Z88" s="222"/>
      <c r="AA88" s="222"/>
      <c r="AB88" s="222"/>
      <c r="AC88" s="222"/>
      <c r="AD88" s="222"/>
      <c r="AE88" s="222"/>
    </row>
    <row r="89" spans="1:31" s="225" customFormat="1" ht="12" customHeight="1">
      <c r="A89" s="222"/>
      <c r="B89" s="223"/>
      <c r="C89" s="221" t="s">
        <v>18</v>
      </c>
      <c r="D89" s="222"/>
      <c r="E89" s="222"/>
      <c r="F89" s="226" t="str">
        <f>F12</f>
        <v>st.p. 1443, k.ú. Staré Benátky</v>
      </c>
      <c r="G89" s="222"/>
      <c r="H89" s="222"/>
      <c r="I89" s="221" t="s">
        <v>20</v>
      </c>
      <c r="J89" s="227" t="str">
        <f>IF(J12="","",J12)</f>
        <v>8. 10. 2021</v>
      </c>
      <c r="K89" s="222"/>
      <c r="L89" s="224"/>
      <c r="S89" s="222"/>
      <c r="T89" s="222"/>
      <c r="U89" s="222"/>
      <c r="V89" s="222"/>
      <c r="W89" s="222"/>
      <c r="X89" s="222"/>
      <c r="Y89" s="222"/>
      <c r="Z89" s="222"/>
      <c r="AA89" s="222"/>
      <c r="AB89" s="222"/>
      <c r="AC89" s="222"/>
      <c r="AD89" s="222"/>
      <c r="AE89" s="222"/>
    </row>
    <row r="90" spans="1:31" s="225" customFormat="1" ht="6.95" customHeight="1">
      <c r="A90" s="222"/>
      <c r="B90" s="223"/>
      <c r="C90" s="222"/>
      <c r="D90" s="222"/>
      <c r="E90" s="222"/>
      <c r="F90" s="222"/>
      <c r="G90" s="222"/>
      <c r="H90" s="222"/>
      <c r="I90" s="222"/>
      <c r="J90" s="222"/>
      <c r="K90" s="222"/>
      <c r="L90" s="224"/>
      <c r="S90" s="222"/>
      <c r="T90" s="222"/>
      <c r="U90" s="222"/>
      <c r="V90" s="222"/>
      <c r="W90" s="222"/>
      <c r="X90" s="222"/>
      <c r="Y90" s="222"/>
      <c r="Z90" s="222"/>
      <c r="AA90" s="222"/>
      <c r="AB90" s="222"/>
      <c r="AC90" s="222"/>
      <c r="AD90" s="222"/>
      <c r="AE90" s="222"/>
    </row>
    <row r="91" spans="1:31" s="225" customFormat="1" ht="54.4" customHeight="1">
      <c r="A91" s="222"/>
      <c r="B91" s="223"/>
      <c r="C91" s="221" t="s">
        <v>22</v>
      </c>
      <c r="D91" s="222"/>
      <c r="E91" s="222"/>
      <c r="F91" s="226" t="str">
        <f>E15</f>
        <v>VaK Mladá Boleslav, Čechova 1151, Mladá Boleslav</v>
      </c>
      <c r="G91" s="222"/>
      <c r="H91" s="222"/>
      <c r="I91" s="221" t="s">
        <v>30</v>
      </c>
      <c r="J91" s="257" t="str">
        <f>E21</f>
        <v>ŽÁROVKA PROJEKTANTI,Křižíkova 788/2,Hradec Králové</v>
      </c>
      <c r="K91" s="222"/>
      <c r="L91" s="224"/>
      <c r="S91" s="222"/>
      <c r="T91" s="222"/>
      <c r="U91" s="222"/>
      <c r="V91" s="222"/>
      <c r="W91" s="222"/>
      <c r="X91" s="222"/>
      <c r="Y91" s="222"/>
      <c r="Z91" s="222"/>
      <c r="AA91" s="222"/>
      <c r="AB91" s="222"/>
      <c r="AC91" s="222"/>
      <c r="AD91" s="222"/>
      <c r="AE91" s="222"/>
    </row>
    <row r="92" spans="1:31" s="225" customFormat="1" ht="15.2" customHeight="1">
      <c r="A92" s="222"/>
      <c r="B92" s="223"/>
      <c r="C92" s="221" t="s">
        <v>28</v>
      </c>
      <c r="D92" s="222"/>
      <c r="E92" s="222"/>
      <c r="F92" s="226" t="str">
        <f>IF(E18="","",E18)</f>
        <v xml:space="preserve"> </v>
      </c>
      <c r="G92" s="222"/>
      <c r="H92" s="222"/>
      <c r="I92" s="221" t="s">
        <v>35</v>
      </c>
      <c r="J92" s="257" t="str">
        <f>E24</f>
        <v xml:space="preserve"> </v>
      </c>
      <c r="K92" s="222"/>
      <c r="L92" s="224"/>
      <c r="S92" s="222"/>
      <c r="T92" s="222"/>
      <c r="U92" s="222"/>
      <c r="V92" s="222"/>
      <c r="W92" s="222"/>
      <c r="X92" s="222"/>
      <c r="Y92" s="222"/>
      <c r="Z92" s="222"/>
      <c r="AA92" s="222"/>
      <c r="AB92" s="222"/>
      <c r="AC92" s="222"/>
      <c r="AD92" s="222"/>
      <c r="AE92" s="222"/>
    </row>
    <row r="93" spans="1:31" s="225" customFormat="1" ht="10.35" customHeight="1">
      <c r="A93" s="222"/>
      <c r="B93" s="223"/>
      <c r="C93" s="222"/>
      <c r="D93" s="222"/>
      <c r="E93" s="222"/>
      <c r="F93" s="222"/>
      <c r="G93" s="222"/>
      <c r="H93" s="222"/>
      <c r="I93" s="222"/>
      <c r="J93" s="222"/>
      <c r="K93" s="222"/>
      <c r="L93" s="224"/>
      <c r="S93" s="222"/>
      <c r="T93" s="222"/>
      <c r="U93" s="222"/>
      <c r="V93" s="222"/>
      <c r="W93" s="222"/>
      <c r="X93" s="222"/>
      <c r="Y93" s="222"/>
      <c r="Z93" s="222"/>
      <c r="AA93" s="222"/>
      <c r="AB93" s="222"/>
      <c r="AC93" s="222"/>
      <c r="AD93" s="222"/>
      <c r="AE93" s="222"/>
    </row>
    <row r="94" spans="1:31" s="263" customFormat="1" ht="29.25" customHeight="1">
      <c r="A94" s="258"/>
      <c r="B94" s="259"/>
      <c r="C94" s="260" t="s">
        <v>98</v>
      </c>
      <c r="D94" s="258"/>
      <c r="E94" s="258"/>
      <c r="F94" s="258"/>
      <c r="G94" s="258"/>
      <c r="H94" s="258"/>
      <c r="I94" s="258"/>
      <c r="J94" s="261" t="s">
        <v>99</v>
      </c>
      <c r="K94" s="258"/>
      <c r="L94" s="262"/>
      <c r="S94" s="258"/>
      <c r="T94" s="258"/>
      <c r="U94" s="258"/>
      <c r="V94" s="258"/>
      <c r="W94" s="258"/>
      <c r="X94" s="258"/>
      <c r="Y94" s="258"/>
      <c r="Z94" s="258"/>
      <c r="AA94" s="258"/>
      <c r="AB94" s="258"/>
      <c r="AC94" s="258"/>
      <c r="AD94" s="258"/>
      <c r="AE94" s="258"/>
    </row>
    <row r="95" spans="1:31" s="225" customFormat="1" ht="10.35" customHeight="1">
      <c r="A95" s="222"/>
      <c r="B95" s="223"/>
      <c r="C95" s="222"/>
      <c r="D95" s="222"/>
      <c r="E95" s="222"/>
      <c r="F95" s="222"/>
      <c r="G95" s="222"/>
      <c r="H95" s="222"/>
      <c r="I95" s="222"/>
      <c r="J95" s="222"/>
      <c r="K95" s="222"/>
      <c r="L95" s="224"/>
      <c r="S95" s="222"/>
      <c r="T95" s="222"/>
      <c r="U95" s="222"/>
      <c r="V95" s="222"/>
      <c r="W95" s="222"/>
      <c r="X95" s="222"/>
      <c r="Y95" s="222"/>
      <c r="Z95" s="222"/>
      <c r="AA95" s="222"/>
      <c r="AB95" s="222"/>
      <c r="AC95" s="222"/>
      <c r="AD95" s="222"/>
      <c r="AE95" s="222"/>
    </row>
    <row r="96" spans="1:47" s="225" customFormat="1" ht="22.9" customHeight="1">
      <c r="A96" s="222"/>
      <c r="B96" s="223"/>
      <c r="C96" s="264" t="s">
        <v>100</v>
      </c>
      <c r="D96" s="222"/>
      <c r="E96" s="222"/>
      <c r="F96" s="222"/>
      <c r="G96" s="222"/>
      <c r="H96" s="222"/>
      <c r="I96" s="222"/>
      <c r="J96" s="233">
        <f>SUM(J97,J107)</f>
        <v>0</v>
      </c>
      <c r="K96" s="222"/>
      <c r="L96" s="224"/>
      <c r="S96" s="222"/>
      <c r="T96" s="222"/>
      <c r="U96" s="222"/>
      <c r="V96" s="222"/>
      <c r="W96" s="222"/>
      <c r="X96" s="222"/>
      <c r="Y96" s="222"/>
      <c r="Z96" s="222"/>
      <c r="AA96" s="222"/>
      <c r="AB96" s="222"/>
      <c r="AC96" s="222"/>
      <c r="AD96" s="222"/>
      <c r="AE96" s="222"/>
      <c r="AU96" s="214" t="s">
        <v>101</v>
      </c>
    </row>
    <row r="97" spans="2:12" s="266" customFormat="1" ht="24.95" customHeight="1">
      <c r="B97" s="265"/>
      <c r="D97" s="267" t="s">
        <v>102</v>
      </c>
      <c r="E97" s="268"/>
      <c r="F97" s="268"/>
      <c r="G97" s="268"/>
      <c r="H97" s="268"/>
      <c r="I97" s="268"/>
      <c r="J97" s="269">
        <f>SUM(J98:J106)</f>
        <v>0</v>
      </c>
      <c r="L97" s="270"/>
    </row>
    <row r="98" spans="2:12" s="272" customFormat="1" ht="19.9" customHeight="1">
      <c r="B98" s="271"/>
      <c r="D98" s="273" t="s">
        <v>103</v>
      </c>
      <c r="E98" s="274"/>
      <c r="F98" s="274"/>
      <c r="G98" s="274"/>
      <c r="H98" s="274"/>
      <c r="I98" s="274"/>
      <c r="J98" s="275">
        <f>J148</f>
        <v>0</v>
      </c>
      <c r="L98" s="276"/>
    </row>
    <row r="99" spans="2:12" s="272" customFormat="1" ht="19.9" customHeight="1">
      <c r="B99" s="271"/>
      <c r="D99" s="273" t="s">
        <v>104</v>
      </c>
      <c r="E99" s="274"/>
      <c r="F99" s="274"/>
      <c r="G99" s="274"/>
      <c r="H99" s="274"/>
      <c r="I99" s="274"/>
      <c r="J99" s="275">
        <f>J240</f>
        <v>0</v>
      </c>
      <c r="L99" s="276"/>
    </row>
    <row r="100" spans="2:12" s="272" customFormat="1" ht="19.9" customHeight="1">
      <c r="B100" s="271"/>
      <c r="D100" s="273" t="s">
        <v>105</v>
      </c>
      <c r="E100" s="274"/>
      <c r="F100" s="274"/>
      <c r="G100" s="274"/>
      <c r="H100" s="274"/>
      <c r="I100" s="274"/>
      <c r="J100" s="275">
        <f>J279</f>
        <v>0</v>
      </c>
      <c r="L100" s="276"/>
    </row>
    <row r="101" spans="2:12" s="272" customFormat="1" ht="19.9" customHeight="1">
      <c r="B101" s="271"/>
      <c r="D101" s="273" t="s">
        <v>106</v>
      </c>
      <c r="E101" s="274"/>
      <c r="F101" s="274"/>
      <c r="G101" s="274"/>
      <c r="H101" s="274"/>
      <c r="I101" s="274"/>
      <c r="J101" s="275">
        <f>J434</f>
        <v>0</v>
      </c>
      <c r="L101" s="276"/>
    </row>
    <row r="102" spans="2:12" s="272" customFormat="1" ht="19.9" customHeight="1">
      <c r="B102" s="271"/>
      <c r="D102" s="273" t="s">
        <v>107</v>
      </c>
      <c r="E102" s="274"/>
      <c r="F102" s="274"/>
      <c r="G102" s="274"/>
      <c r="H102" s="274"/>
      <c r="I102" s="274"/>
      <c r="J102" s="275">
        <f>J467</f>
        <v>0</v>
      </c>
      <c r="L102" s="276"/>
    </row>
    <row r="103" spans="2:12" s="272" customFormat="1" ht="19.9" customHeight="1">
      <c r="B103" s="271"/>
      <c r="D103" s="273" t="s">
        <v>108</v>
      </c>
      <c r="E103" s="274"/>
      <c r="F103" s="274"/>
      <c r="G103" s="274"/>
      <c r="H103" s="274"/>
      <c r="I103" s="274"/>
      <c r="J103" s="275">
        <f>J521</f>
        <v>0</v>
      </c>
      <c r="L103" s="276"/>
    </row>
    <row r="104" spans="2:12" s="272" customFormat="1" ht="19.9" customHeight="1">
      <c r="B104" s="271"/>
      <c r="D104" s="273" t="s">
        <v>109</v>
      </c>
      <c r="E104" s="274"/>
      <c r="F104" s="274"/>
      <c r="G104" s="274"/>
      <c r="H104" s="274"/>
      <c r="I104" s="274"/>
      <c r="J104" s="275">
        <f>J806</f>
        <v>0</v>
      </c>
      <c r="L104" s="276"/>
    </row>
    <row r="105" spans="2:12" s="272" customFormat="1" ht="19.9" customHeight="1">
      <c r="B105" s="271"/>
      <c r="D105" s="273" t="s">
        <v>110</v>
      </c>
      <c r="E105" s="274"/>
      <c r="F105" s="274"/>
      <c r="G105" s="274"/>
      <c r="H105" s="274"/>
      <c r="I105" s="274"/>
      <c r="J105" s="275">
        <f>J1001</f>
        <v>0</v>
      </c>
      <c r="L105" s="276"/>
    </row>
    <row r="106" spans="2:12" s="272" customFormat="1" ht="19.9" customHeight="1">
      <c r="B106" s="271"/>
      <c r="D106" s="273" t="s">
        <v>111</v>
      </c>
      <c r="E106" s="274"/>
      <c r="F106" s="274"/>
      <c r="G106" s="274"/>
      <c r="H106" s="274"/>
      <c r="I106" s="274"/>
      <c r="J106" s="275">
        <f>J1026</f>
        <v>0</v>
      </c>
      <c r="L106" s="276"/>
    </row>
    <row r="107" spans="2:12" s="266" customFormat="1" ht="24.95" customHeight="1">
      <c r="B107" s="265"/>
      <c r="D107" s="267" t="s">
        <v>112</v>
      </c>
      <c r="E107" s="268"/>
      <c r="F107" s="268"/>
      <c r="G107" s="268"/>
      <c r="H107" s="268"/>
      <c r="I107" s="268"/>
      <c r="J107" s="269">
        <f>SUM(J108:J126)</f>
        <v>0</v>
      </c>
      <c r="L107" s="270"/>
    </row>
    <row r="108" spans="2:12" s="272" customFormat="1" ht="19.9" customHeight="1">
      <c r="B108" s="271"/>
      <c r="D108" s="273" t="s">
        <v>113</v>
      </c>
      <c r="E108" s="274"/>
      <c r="F108" s="274"/>
      <c r="G108" s="274"/>
      <c r="H108" s="274"/>
      <c r="I108" s="274"/>
      <c r="J108" s="275">
        <f>J1029</f>
        <v>0</v>
      </c>
      <c r="L108" s="276"/>
    </row>
    <row r="109" spans="2:12" s="272" customFormat="1" ht="19.9" customHeight="1">
      <c r="B109" s="271"/>
      <c r="D109" s="273" t="s">
        <v>114</v>
      </c>
      <c r="E109" s="274"/>
      <c r="F109" s="274"/>
      <c r="G109" s="274"/>
      <c r="H109" s="274"/>
      <c r="I109" s="274"/>
      <c r="J109" s="275">
        <f>J1062</f>
        <v>0</v>
      </c>
      <c r="L109" s="276"/>
    </row>
    <row r="110" spans="2:12" s="272" customFormat="1" ht="19.9" customHeight="1">
      <c r="B110" s="271"/>
      <c r="D110" s="273" t="s">
        <v>115</v>
      </c>
      <c r="E110" s="274"/>
      <c r="F110" s="274"/>
      <c r="G110" s="274"/>
      <c r="H110" s="274"/>
      <c r="I110" s="274"/>
      <c r="J110" s="275">
        <f>J1104</f>
        <v>0</v>
      </c>
      <c r="L110" s="276"/>
    </row>
    <row r="111" spans="2:12" s="272" customFormat="1" ht="19.9" customHeight="1">
      <c r="B111" s="271"/>
      <c r="D111" s="273" t="s">
        <v>116</v>
      </c>
      <c r="E111" s="274"/>
      <c r="F111" s="274"/>
      <c r="G111" s="274"/>
      <c r="H111" s="274"/>
      <c r="I111" s="274"/>
      <c r="J111" s="275">
        <f>J1214</f>
        <v>0</v>
      </c>
      <c r="L111" s="276"/>
    </row>
    <row r="112" spans="2:12" s="272" customFormat="1" ht="19.9" customHeight="1">
      <c r="B112" s="271"/>
      <c r="D112" s="273" t="s">
        <v>117</v>
      </c>
      <c r="E112" s="274"/>
      <c r="F112" s="274"/>
      <c r="G112" s="274"/>
      <c r="H112" s="274"/>
      <c r="I112" s="274"/>
      <c r="J112" s="275">
        <f>J1243</f>
        <v>0</v>
      </c>
      <c r="L112" s="276"/>
    </row>
    <row r="113" spans="2:12" s="272" customFormat="1" ht="19.9" customHeight="1">
      <c r="B113" s="271"/>
      <c r="D113" s="273" t="s">
        <v>118</v>
      </c>
      <c r="E113" s="274"/>
      <c r="F113" s="274"/>
      <c r="G113" s="274"/>
      <c r="H113" s="274"/>
      <c r="I113" s="274"/>
      <c r="J113" s="275">
        <f>J1249</f>
        <v>0</v>
      </c>
      <c r="L113" s="276"/>
    </row>
    <row r="114" spans="2:12" s="272" customFormat="1" ht="19.9" customHeight="1">
      <c r="B114" s="271"/>
      <c r="D114" s="273" t="s">
        <v>119</v>
      </c>
      <c r="E114" s="274"/>
      <c r="F114" s="274"/>
      <c r="G114" s="274"/>
      <c r="H114" s="274"/>
      <c r="I114" s="274"/>
      <c r="J114" s="275">
        <f>J1400</f>
        <v>0</v>
      </c>
      <c r="L114" s="276"/>
    </row>
    <row r="115" spans="2:12" s="272" customFormat="1" ht="19.9" customHeight="1">
      <c r="B115" s="271"/>
      <c r="D115" s="273" t="s">
        <v>120</v>
      </c>
      <c r="E115" s="274"/>
      <c r="F115" s="274"/>
      <c r="G115" s="274"/>
      <c r="H115" s="274"/>
      <c r="I115" s="274"/>
      <c r="J115" s="275">
        <f>J1439</f>
        <v>0</v>
      </c>
      <c r="L115" s="276"/>
    </row>
    <row r="116" spans="2:12" s="272" customFormat="1" ht="19.9" customHeight="1">
      <c r="B116" s="271"/>
      <c r="D116" s="273" t="s">
        <v>121</v>
      </c>
      <c r="E116" s="274"/>
      <c r="F116" s="274"/>
      <c r="G116" s="274"/>
      <c r="H116" s="274"/>
      <c r="I116" s="274"/>
      <c r="J116" s="275">
        <f>J1492</f>
        <v>0</v>
      </c>
      <c r="L116" s="276"/>
    </row>
    <row r="117" spans="2:12" s="272" customFormat="1" ht="19.9" customHeight="1">
      <c r="B117" s="271"/>
      <c r="D117" s="273" t="s">
        <v>3622</v>
      </c>
      <c r="E117" s="274"/>
      <c r="F117" s="274"/>
      <c r="G117" s="274"/>
      <c r="H117" s="274"/>
      <c r="I117" s="274"/>
      <c r="J117" s="275">
        <f>J1511</f>
        <v>0</v>
      </c>
      <c r="L117" s="276"/>
    </row>
    <row r="118" spans="2:12" s="272" customFormat="1" ht="19.9" customHeight="1">
      <c r="B118" s="271"/>
      <c r="D118" s="273" t="s">
        <v>122</v>
      </c>
      <c r="E118" s="274"/>
      <c r="F118" s="274"/>
      <c r="G118" s="274"/>
      <c r="H118" s="274"/>
      <c r="I118" s="274"/>
      <c r="J118" s="275">
        <f>J1551</f>
        <v>0</v>
      </c>
      <c r="L118" s="276"/>
    </row>
    <row r="119" spans="2:12" s="272" customFormat="1" ht="19.9" customHeight="1">
      <c r="B119" s="271"/>
      <c r="D119" s="273" t="s">
        <v>123</v>
      </c>
      <c r="E119" s="274"/>
      <c r="F119" s="274"/>
      <c r="G119" s="274"/>
      <c r="H119" s="274"/>
      <c r="I119" s="274"/>
      <c r="J119" s="275">
        <f>J1605</f>
        <v>0</v>
      </c>
      <c r="L119" s="276"/>
    </row>
    <row r="120" spans="2:12" s="272" customFormat="1" ht="19.9" customHeight="1">
      <c r="B120" s="271"/>
      <c r="D120" s="273" t="s">
        <v>124</v>
      </c>
      <c r="E120" s="274"/>
      <c r="F120" s="274"/>
      <c r="G120" s="274"/>
      <c r="H120" s="274"/>
      <c r="I120" s="274"/>
      <c r="J120" s="275">
        <f>J1673</f>
        <v>0</v>
      </c>
      <c r="L120" s="276"/>
    </row>
    <row r="121" spans="2:12" s="272" customFormat="1" ht="19.9" customHeight="1">
      <c r="B121" s="271"/>
      <c r="D121" s="273" t="s">
        <v>125</v>
      </c>
      <c r="E121" s="274"/>
      <c r="F121" s="274"/>
      <c r="G121" s="274"/>
      <c r="H121" s="274"/>
      <c r="I121" s="274"/>
      <c r="J121" s="275">
        <f>J1768</f>
        <v>0</v>
      </c>
      <c r="L121" s="276"/>
    </row>
    <row r="122" spans="2:12" s="272" customFormat="1" ht="19.9" customHeight="1">
      <c r="B122" s="271"/>
      <c r="D122" s="273" t="s">
        <v>126</v>
      </c>
      <c r="E122" s="274"/>
      <c r="F122" s="274"/>
      <c r="G122" s="274"/>
      <c r="H122" s="274"/>
      <c r="I122" s="274"/>
      <c r="J122" s="275">
        <f>J1773</f>
        <v>0</v>
      </c>
      <c r="L122" s="276"/>
    </row>
    <row r="123" spans="2:12" s="272" customFormat="1" ht="19.9" customHeight="1">
      <c r="B123" s="271"/>
      <c r="D123" s="273" t="s">
        <v>127</v>
      </c>
      <c r="E123" s="274"/>
      <c r="F123" s="274"/>
      <c r="G123" s="274"/>
      <c r="H123" s="274"/>
      <c r="I123" s="274"/>
      <c r="J123" s="275">
        <f>J1842</f>
        <v>0</v>
      </c>
      <c r="L123" s="276"/>
    </row>
    <row r="124" spans="2:12" s="272" customFormat="1" ht="19.9" customHeight="1">
      <c r="B124" s="271"/>
      <c r="D124" s="273" t="s">
        <v>128</v>
      </c>
      <c r="E124" s="274"/>
      <c r="F124" s="274"/>
      <c r="G124" s="274"/>
      <c r="H124" s="274"/>
      <c r="I124" s="274"/>
      <c r="J124" s="275">
        <f>J1871</f>
        <v>0</v>
      </c>
      <c r="L124" s="276"/>
    </row>
    <row r="125" spans="2:12" s="272" customFormat="1" ht="19.9" customHeight="1">
      <c r="B125" s="271"/>
      <c r="D125" s="273" t="s">
        <v>129</v>
      </c>
      <c r="E125" s="274"/>
      <c r="F125" s="274"/>
      <c r="G125" s="274"/>
      <c r="H125" s="274"/>
      <c r="I125" s="274"/>
      <c r="J125" s="275">
        <f>J1927</f>
        <v>0</v>
      </c>
      <c r="L125" s="276"/>
    </row>
    <row r="126" spans="2:12" s="272" customFormat="1" ht="19.9" customHeight="1">
      <c r="B126" s="271"/>
      <c r="D126" s="273" t="s">
        <v>130</v>
      </c>
      <c r="E126" s="274"/>
      <c r="F126" s="274"/>
      <c r="G126" s="274"/>
      <c r="H126" s="274"/>
      <c r="I126" s="274"/>
      <c r="J126" s="275">
        <f>J2016</f>
        <v>0</v>
      </c>
      <c r="L126" s="276"/>
    </row>
    <row r="127" spans="1:31" s="225" customFormat="1" ht="21.75" customHeight="1">
      <c r="A127" s="222"/>
      <c r="B127" s="223"/>
      <c r="C127" s="222"/>
      <c r="D127" s="222"/>
      <c r="E127" s="222"/>
      <c r="F127" s="222"/>
      <c r="G127" s="222"/>
      <c r="H127" s="222"/>
      <c r="I127" s="222"/>
      <c r="J127" s="222"/>
      <c r="K127" s="222"/>
      <c r="L127" s="224"/>
      <c r="S127" s="222"/>
      <c r="T127" s="222"/>
      <c r="U127" s="222"/>
      <c r="V127" s="222"/>
      <c r="W127" s="222"/>
      <c r="X127" s="222"/>
      <c r="Y127" s="222"/>
      <c r="Z127" s="222"/>
      <c r="AA127" s="222"/>
      <c r="AB127" s="222"/>
      <c r="AC127" s="222"/>
      <c r="AD127" s="222"/>
      <c r="AE127" s="222"/>
    </row>
    <row r="128" spans="1:31" s="225" customFormat="1" ht="6.95" customHeight="1">
      <c r="A128" s="222"/>
      <c r="B128" s="253"/>
      <c r="C128" s="254"/>
      <c r="D128" s="254"/>
      <c r="E128" s="254"/>
      <c r="F128" s="254"/>
      <c r="G128" s="254"/>
      <c r="H128" s="254"/>
      <c r="I128" s="254"/>
      <c r="J128" s="254"/>
      <c r="K128" s="254"/>
      <c r="L128" s="224"/>
      <c r="S128" s="222"/>
      <c r="T128" s="222"/>
      <c r="U128" s="222"/>
      <c r="V128" s="222"/>
      <c r="W128" s="222"/>
      <c r="X128" s="222"/>
      <c r="Y128" s="222"/>
      <c r="Z128" s="222"/>
      <c r="AA128" s="222"/>
      <c r="AB128" s="222"/>
      <c r="AC128" s="222"/>
      <c r="AD128" s="222"/>
      <c r="AE128" s="222"/>
    </row>
    <row r="132" spans="1:31" s="225" customFormat="1" ht="6.95" customHeight="1">
      <c r="A132" s="222"/>
      <c r="B132" s="255"/>
      <c r="C132" s="256"/>
      <c r="D132" s="256"/>
      <c r="E132" s="256"/>
      <c r="F132" s="256"/>
      <c r="G132" s="256"/>
      <c r="H132" s="256"/>
      <c r="I132" s="256"/>
      <c r="J132" s="256"/>
      <c r="K132" s="256"/>
      <c r="L132" s="224"/>
      <c r="S132" s="222"/>
      <c r="T132" s="222"/>
      <c r="U132" s="222"/>
      <c r="V132" s="222"/>
      <c r="W132" s="222"/>
      <c r="X132" s="222"/>
      <c r="Y132" s="222"/>
      <c r="Z132" s="222"/>
      <c r="AA132" s="222"/>
      <c r="AB132" s="222"/>
      <c r="AC132" s="222"/>
      <c r="AD132" s="222"/>
      <c r="AE132" s="222"/>
    </row>
    <row r="133" spans="1:31" s="225" customFormat="1" ht="24.95" customHeight="1">
      <c r="A133" s="222"/>
      <c r="B133" s="223"/>
      <c r="C133" s="219" t="s">
        <v>131</v>
      </c>
      <c r="D133" s="222"/>
      <c r="E133" s="222"/>
      <c r="F133" s="222"/>
      <c r="G133" s="222"/>
      <c r="H133" s="222"/>
      <c r="I133" s="222"/>
      <c r="J133" s="222"/>
      <c r="K133" s="222"/>
      <c r="L133" s="224"/>
      <c r="S133" s="222"/>
      <c r="T133" s="222"/>
      <c r="U133" s="222"/>
      <c r="V133" s="222"/>
      <c r="W133" s="222"/>
      <c r="X133" s="222"/>
      <c r="Y133" s="222"/>
      <c r="Z133" s="222"/>
      <c r="AA133" s="222"/>
      <c r="AB133" s="222"/>
      <c r="AC133" s="222"/>
      <c r="AD133" s="222"/>
      <c r="AE133" s="222"/>
    </row>
    <row r="134" spans="1:31" s="225" customFormat="1" ht="6.95" customHeight="1">
      <c r="A134" s="222"/>
      <c r="B134" s="223"/>
      <c r="C134" s="222"/>
      <c r="D134" s="222"/>
      <c r="E134" s="222"/>
      <c r="F134" s="222"/>
      <c r="G134" s="222"/>
      <c r="H134" s="222"/>
      <c r="I134" s="222"/>
      <c r="J134" s="222"/>
      <c r="K134" s="222"/>
      <c r="L134" s="224"/>
      <c r="S134" s="222"/>
      <c r="T134" s="222"/>
      <c r="U134" s="222"/>
      <c r="V134" s="222"/>
      <c r="W134" s="222"/>
      <c r="X134" s="222"/>
      <c r="Y134" s="222"/>
      <c r="Z134" s="222"/>
      <c r="AA134" s="222"/>
      <c r="AB134" s="222"/>
      <c r="AC134" s="222"/>
      <c r="AD134" s="222"/>
      <c r="AE134" s="222"/>
    </row>
    <row r="135" spans="1:31" s="225" customFormat="1" ht="12" customHeight="1">
      <c r="A135" s="222"/>
      <c r="B135" s="223"/>
      <c r="C135" s="221" t="s">
        <v>14</v>
      </c>
      <c r="D135" s="222"/>
      <c r="E135" s="222"/>
      <c r="F135" s="222"/>
      <c r="G135" s="222"/>
      <c r="H135" s="222"/>
      <c r="I135" s="222"/>
      <c r="J135" s="222"/>
      <c r="K135" s="222"/>
      <c r="L135" s="224"/>
      <c r="S135" s="222"/>
      <c r="T135" s="222"/>
      <c r="U135" s="222"/>
      <c r="V135" s="222"/>
      <c r="W135" s="222"/>
      <c r="X135" s="222"/>
      <c r="Y135" s="222"/>
      <c r="Z135" s="222"/>
      <c r="AA135" s="222"/>
      <c r="AB135" s="222"/>
      <c r="AC135" s="222"/>
      <c r="AD135" s="222"/>
      <c r="AE135" s="222"/>
    </row>
    <row r="136" spans="1:31" s="225" customFormat="1" ht="16.5" customHeight="1">
      <c r="A136" s="222"/>
      <c r="B136" s="223"/>
      <c r="C136" s="222"/>
      <c r="D136" s="222"/>
      <c r="E136" s="832" t="str">
        <f>E7</f>
        <v>Středisko Okrouhlík - nástavba a stavební úpravy</v>
      </c>
      <c r="F136" s="833"/>
      <c r="G136" s="833"/>
      <c r="H136" s="833"/>
      <c r="I136" s="222"/>
      <c r="J136" s="222"/>
      <c r="K136" s="222"/>
      <c r="L136" s="224"/>
      <c r="S136" s="222"/>
      <c r="T136" s="222"/>
      <c r="U136" s="222"/>
      <c r="V136" s="222"/>
      <c r="W136" s="222"/>
      <c r="X136" s="222"/>
      <c r="Y136" s="222"/>
      <c r="Z136" s="222"/>
      <c r="AA136" s="222"/>
      <c r="AB136" s="222"/>
      <c r="AC136" s="222"/>
      <c r="AD136" s="222"/>
      <c r="AE136" s="222"/>
    </row>
    <row r="137" spans="1:31" s="225" customFormat="1" ht="12" customHeight="1">
      <c r="A137" s="222"/>
      <c r="B137" s="223"/>
      <c r="C137" s="221" t="s">
        <v>95</v>
      </c>
      <c r="D137" s="222"/>
      <c r="E137" s="222"/>
      <c r="F137" s="222"/>
      <c r="G137" s="222"/>
      <c r="H137" s="222"/>
      <c r="I137" s="222"/>
      <c r="J137" s="222"/>
      <c r="K137" s="222"/>
      <c r="L137" s="224"/>
      <c r="S137" s="222"/>
      <c r="T137" s="222"/>
      <c r="U137" s="222"/>
      <c r="V137" s="222"/>
      <c r="W137" s="222"/>
      <c r="X137" s="222"/>
      <c r="Y137" s="222"/>
      <c r="Z137" s="222"/>
      <c r="AA137" s="222"/>
      <c r="AB137" s="222"/>
      <c r="AC137" s="222"/>
      <c r="AD137" s="222"/>
      <c r="AE137" s="222"/>
    </row>
    <row r="138" spans="1:31" s="225" customFormat="1" ht="16.5" customHeight="1">
      <c r="A138" s="222"/>
      <c r="B138" s="223"/>
      <c r="C138" s="222"/>
      <c r="D138" s="222"/>
      <c r="E138" s="830" t="str">
        <f>E9</f>
        <v>01 - Stavební práce- neuznatelné náklady</v>
      </c>
      <c r="F138" s="831"/>
      <c r="G138" s="831"/>
      <c r="H138" s="831"/>
      <c r="I138" s="222"/>
      <c r="J138" s="222"/>
      <c r="K138" s="222"/>
      <c r="L138" s="224"/>
      <c r="S138" s="222"/>
      <c r="T138" s="222"/>
      <c r="U138" s="222"/>
      <c r="V138" s="222"/>
      <c r="W138" s="222"/>
      <c r="X138" s="222"/>
      <c r="Y138" s="222"/>
      <c r="Z138" s="222"/>
      <c r="AA138" s="222"/>
      <c r="AB138" s="222"/>
      <c r="AC138" s="222"/>
      <c r="AD138" s="222"/>
      <c r="AE138" s="222"/>
    </row>
    <row r="139" spans="1:31" s="225" customFormat="1" ht="6.95" customHeight="1">
      <c r="A139" s="222"/>
      <c r="B139" s="223"/>
      <c r="C139" s="222"/>
      <c r="D139" s="222"/>
      <c r="E139" s="222"/>
      <c r="F139" s="222"/>
      <c r="G139" s="222"/>
      <c r="H139" s="222"/>
      <c r="I139" s="222"/>
      <c r="J139" s="222"/>
      <c r="K139" s="222"/>
      <c r="L139" s="224"/>
      <c r="S139" s="222"/>
      <c r="T139" s="222"/>
      <c r="U139" s="222"/>
      <c r="V139" s="222"/>
      <c r="W139" s="222"/>
      <c r="X139" s="222"/>
      <c r="Y139" s="222"/>
      <c r="Z139" s="222"/>
      <c r="AA139" s="222"/>
      <c r="AB139" s="222"/>
      <c r="AC139" s="222"/>
      <c r="AD139" s="222"/>
      <c r="AE139" s="222"/>
    </row>
    <row r="140" spans="1:31" s="225" customFormat="1" ht="12" customHeight="1">
      <c r="A140" s="222"/>
      <c r="B140" s="223"/>
      <c r="C140" s="221" t="s">
        <v>18</v>
      </c>
      <c r="D140" s="222"/>
      <c r="E140" s="222"/>
      <c r="F140" s="226" t="str">
        <f>F12</f>
        <v>st.p. 1443, k.ú. Staré Benátky</v>
      </c>
      <c r="G140" s="222"/>
      <c r="H140" s="222"/>
      <c r="I140" s="221" t="s">
        <v>20</v>
      </c>
      <c r="J140" s="227" t="str">
        <f>IF(J12="","",J12)</f>
        <v>8. 10. 2021</v>
      </c>
      <c r="K140" s="222"/>
      <c r="L140" s="224"/>
      <c r="S140" s="222"/>
      <c r="T140" s="222"/>
      <c r="U140" s="222"/>
      <c r="V140" s="222"/>
      <c r="W140" s="222"/>
      <c r="X140" s="222"/>
      <c r="Y140" s="222"/>
      <c r="Z140" s="222"/>
      <c r="AA140" s="222"/>
      <c r="AB140" s="222"/>
      <c r="AC140" s="222"/>
      <c r="AD140" s="222"/>
      <c r="AE140" s="222"/>
    </row>
    <row r="141" spans="1:31" s="225" customFormat="1" ht="6.95" customHeight="1">
      <c r="A141" s="222"/>
      <c r="B141" s="223"/>
      <c r="C141" s="222"/>
      <c r="D141" s="222"/>
      <c r="E141" s="222"/>
      <c r="F141" s="222"/>
      <c r="G141" s="222"/>
      <c r="H141" s="222"/>
      <c r="I141" s="222"/>
      <c r="J141" s="222"/>
      <c r="K141" s="222"/>
      <c r="L141" s="224"/>
      <c r="S141" s="222"/>
      <c r="T141" s="222"/>
      <c r="U141" s="222"/>
      <c r="V141" s="222"/>
      <c r="W141" s="222"/>
      <c r="X141" s="222"/>
      <c r="Y141" s="222"/>
      <c r="Z141" s="222"/>
      <c r="AA141" s="222"/>
      <c r="AB141" s="222"/>
      <c r="AC141" s="222"/>
      <c r="AD141" s="222"/>
      <c r="AE141" s="222"/>
    </row>
    <row r="142" spans="1:31" s="225" customFormat="1" ht="54.4" customHeight="1">
      <c r="A142" s="222"/>
      <c r="B142" s="223"/>
      <c r="C142" s="221" t="s">
        <v>22</v>
      </c>
      <c r="D142" s="222"/>
      <c r="E142" s="222"/>
      <c r="F142" s="226" t="str">
        <f>E15</f>
        <v>VaK Mladá Boleslav, Čechova 1151, Mladá Boleslav</v>
      </c>
      <c r="G142" s="222"/>
      <c r="H142" s="222"/>
      <c r="I142" s="221" t="s">
        <v>30</v>
      </c>
      <c r="J142" s="257" t="str">
        <f>E21</f>
        <v>ŽÁROVKA PROJEKTANTI,Křižíkova 788/2,Hradec Králové</v>
      </c>
      <c r="K142" s="222"/>
      <c r="L142" s="224"/>
      <c r="S142" s="222"/>
      <c r="T142" s="222"/>
      <c r="U142" s="222"/>
      <c r="V142" s="222"/>
      <c r="W142" s="222"/>
      <c r="X142" s="222"/>
      <c r="Y142" s="222"/>
      <c r="Z142" s="222"/>
      <c r="AA142" s="222"/>
      <c r="AB142" s="222"/>
      <c r="AC142" s="222"/>
      <c r="AD142" s="222"/>
      <c r="AE142" s="222"/>
    </row>
    <row r="143" spans="1:31" s="225" customFormat="1" ht="15.2" customHeight="1">
      <c r="A143" s="222"/>
      <c r="B143" s="223"/>
      <c r="C143" s="221" t="s">
        <v>28</v>
      </c>
      <c r="D143" s="222"/>
      <c r="E143" s="222"/>
      <c r="F143" s="226" t="str">
        <f>IF(E18="","",E18)</f>
        <v xml:space="preserve"> </v>
      </c>
      <c r="G143" s="222"/>
      <c r="H143" s="222"/>
      <c r="I143" s="221" t="s">
        <v>35</v>
      </c>
      <c r="J143" s="257" t="str">
        <f>E24</f>
        <v xml:space="preserve"> </v>
      </c>
      <c r="K143" s="222"/>
      <c r="L143" s="224"/>
      <c r="S143" s="222"/>
      <c r="T143" s="222"/>
      <c r="U143" s="222"/>
      <c r="V143" s="222"/>
      <c r="W143" s="222"/>
      <c r="X143" s="222"/>
      <c r="Y143" s="222"/>
      <c r="Z143" s="222"/>
      <c r="AA143" s="222"/>
      <c r="AB143" s="222"/>
      <c r="AC143" s="222"/>
      <c r="AD143" s="222"/>
      <c r="AE143" s="222"/>
    </row>
    <row r="144" spans="1:31" s="225" customFormat="1" ht="10.35" customHeight="1">
      <c r="A144" s="222"/>
      <c r="B144" s="223"/>
      <c r="C144" s="222"/>
      <c r="D144" s="222"/>
      <c r="E144" s="222"/>
      <c r="F144" s="222"/>
      <c r="G144" s="222"/>
      <c r="H144" s="222"/>
      <c r="I144" s="222"/>
      <c r="J144" s="222"/>
      <c r="K144" s="222"/>
      <c r="L144" s="224"/>
      <c r="S144" s="222"/>
      <c r="T144" s="222"/>
      <c r="U144" s="222"/>
      <c r="V144" s="222"/>
      <c r="W144" s="222"/>
      <c r="X144" s="222"/>
      <c r="Y144" s="222"/>
      <c r="Z144" s="222"/>
      <c r="AA144" s="222"/>
      <c r="AB144" s="222"/>
      <c r="AC144" s="222"/>
      <c r="AD144" s="222"/>
      <c r="AE144" s="222"/>
    </row>
    <row r="145" spans="1:31" s="286" customFormat="1" ht="29.25" customHeight="1">
      <c r="A145" s="277"/>
      <c r="B145" s="278"/>
      <c r="C145" s="279" t="s">
        <v>132</v>
      </c>
      <c r="D145" s="280" t="s">
        <v>61</v>
      </c>
      <c r="E145" s="280" t="s">
        <v>58</v>
      </c>
      <c r="F145" s="280" t="s">
        <v>59</v>
      </c>
      <c r="G145" s="280" t="s">
        <v>133</v>
      </c>
      <c r="H145" s="280" t="s">
        <v>134</v>
      </c>
      <c r="I145" s="280" t="s">
        <v>135</v>
      </c>
      <c r="J145" s="280" t="s">
        <v>99</v>
      </c>
      <c r="K145" s="281"/>
      <c r="L145" s="282"/>
      <c r="M145" s="283" t="s">
        <v>1</v>
      </c>
      <c r="N145" s="284" t="s">
        <v>41</v>
      </c>
      <c r="O145" s="284" t="s">
        <v>137</v>
      </c>
      <c r="P145" s="284" t="s">
        <v>138</v>
      </c>
      <c r="Q145" s="284" t="s">
        <v>139</v>
      </c>
      <c r="R145" s="284" t="s">
        <v>140</v>
      </c>
      <c r="S145" s="284" t="s">
        <v>141</v>
      </c>
      <c r="T145" s="285" t="s">
        <v>142</v>
      </c>
      <c r="U145" s="277"/>
      <c r="V145" s="277"/>
      <c r="W145" s="277"/>
      <c r="X145" s="277"/>
      <c r="Y145" s="277"/>
      <c r="Z145" s="277"/>
      <c r="AA145" s="277"/>
      <c r="AB145" s="277"/>
      <c r="AC145" s="277"/>
      <c r="AD145" s="277"/>
      <c r="AE145" s="277"/>
    </row>
    <row r="146" spans="1:63" s="225" customFormat="1" ht="22.9" customHeight="1">
      <c r="A146" s="222"/>
      <c r="B146" s="223"/>
      <c r="C146" s="287" t="s">
        <v>143</v>
      </c>
      <c r="D146" s="222"/>
      <c r="E146" s="222"/>
      <c r="F146" s="222"/>
      <c r="G146" s="222"/>
      <c r="H146" s="222"/>
      <c r="I146" s="222"/>
      <c r="J146" s="288"/>
      <c r="K146" s="222"/>
      <c r="L146" s="229"/>
      <c r="M146" s="289"/>
      <c r="N146" s="290"/>
      <c r="O146" s="231"/>
      <c r="P146" s="291" t="e">
        <f>P147+P1028+#REF!+#REF!</f>
        <v>#REF!</v>
      </c>
      <c r="Q146" s="231"/>
      <c r="R146" s="292"/>
      <c r="S146" s="293"/>
      <c r="T146" s="294"/>
      <c r="U146" s="295"/>
      <c r="V146" s="222"/>
      <c r="W146" s="222"/>
      <c r="X146" s="222"/>
      <c r="Y146" s="222"/>
      <c r="Z146" s="222"/>
      <c r="AA146" s="222"/>
      <c r="AB146" s="222"/>
      <c r="AC146" s="222"/>
      <c r="AD146" s="222"/>
      <c r="AE146" s="222"/>
      <c r="AT146" s="214" t="s">
        <v>75</v>
      </c>
      <c r="AU146" s="214" t="s">
        <v>101</v>
      </c>
      <c r="BK146" s="296" t="e">
        <f>BK147+BK1028+#REF!+#REF!</f>
        <v>#REF!</v>
      </c>
    </row>
    <row r="147" spans="2:63" s="297" customFormat="1" ht="25.9" customHeight="1">
      <c r="B147" s="298"/>
      <c r="D147" s="299" t="s">
        <v>75</v>
      </c>
      <c r="E147" s="300" t="s">
        <v>144</v>
      </c>
      <c r="F147" s="300" t="s">
        <v>145</v>
      </c>
      <c r="J147" s="301"/>
      <c r="L147" s="302"/>
      <c r="M147" s="303"/>
      <c r="N147" s="304"/>
      <c r="O147" s="304"/>
      <c r="P147" s="305" t="e">
        <f>P148+P240+P279+P434+P467+P521+#REF!+P806+P1001+P1026</f>
        <v>#REF!</v>
      </c>
      <c r="Q147" s="304"/>
      <c r="R147" s="306">
        <f>R148+R240+R279+R434+R467+R521+R806+R1001</f>
        <v>867.9034521596783</v>
      </c>
      <c r="S147" s="304"/>
      <c r="T147" s="307">
        <f>T148+T240+T279+T434+T467+T521+T806+T1001</f>
        <v>168.8364591</v>
      </c>
      <c r="AR147" s="299" t="s">
        <v>81</v>
      </c>
      <c r="AT147" s="308" t="s">
        <v>75</v>
      </c>
      <c r="AU147" s="308" t="s">
        <v>76</v>
      </c>
      <c r="AY147" s="299" t="s">
        <v>146</v>
      </c>
      <c r="BK147" s="309" t="e">
        <f>BK148+BK240+BK279+BK434+BK467+BK521+#REF!+BK806+BK1001+BK1026</f>
        <v>#REF!</v>
      </c>
    </row>
    <row r="148" spans="2:63" s="297" customFormat="1" ht="22.9" customHeight="1">
      <c r="B148" s="298"/>
      <c r="D148" s="299" t="s">
        <v>75</v>
      </c>
      <c r="E148" s="310" t="s">
        <v>81</v>
      </c>
      <c r="F148" s="310" t="s">
        <v>147</v>
      </c>
      <c r="J148" s="311">
        <f>SUM(J149:J234)</f>
        <v>0</v>
      </c>
      <c r="L148" s="312"/>
      <c r="M148" s="303"/>
      <c r="N148" s="304"/>
      <c r="O148" s="304"/>
      <c r="P148" s="305">
        <f>SUM(P152:P239)</f>
        <v>647.0633841200001</v>
      </c>
      <c r="Q148" s="304"/>
      <c r="R148" s="305">
        <f>SUM(R152:R239)</f>
        <v>0.0017780000000000003</v>
      </c>
      <c r="S148" s="304"/>
      <c r="T148" s="313">
        <f>SUM(T152:T239)</f>
        <v>0</v>
      </c>
      <c r="AR148" s="299" t="s">
        <v>81</v>
      </c>
      <c r="AT148" s="308" t="s">
        <v>75</v>
      </c>
      <c r="AU148" s="308" t="s">
        <v>81</v>
      </c>
      <c r="AY148" s="299" t="s">
        <v>146</v>
      </c>
      <c r="BK148" s="309">
        <f>SUM(BK152:BK239)</f>
        <v>0</v>
      </c>
    </row>
    <row r="149" spans="1:65" s="225" customFormat="1" ht="24.2" customHeight="1">
      <c r="A149" s="222"/>
      <c r="B149" s="223"/>
      <c r="C149" s="314" t="s">
        <v>81</v>
      </c>
      <c r="D149" s="314" t="s">
        <v>148</v>
      </c>
      <c r="E149" s="315" t="s">
        <v>2832</v>
      </c>
      <c r="F149" s="316" t="s">
        <v>2833</v>
      </c>
      <c r="G149" s="317" t="s">
        <v>162</v>
      </c>
      <c r="H149" s="318">
        <f>H151</f>
        <v>25.514999999999997</v>
      </c>
      <c r="I149" s="79"/>
      <c r="J149" s="319">
        <f>ROUND(I149*H149,2)</f>
        <v>0</v>
      </c>
      <c r="K149" s="316"/>
      <c r="L149" s="229"/>
      <c r="M149" s="320" t="s">
        <v>1</v>
      </c>
      <c r="N149" s="321" t="s">
        <v>42</v>
      </c>
      <c r="O149" s="322">
        <v>0.534</v>
      </c>
      <c r="P149" s="322">
        <f>O149*H149</f>
        <v>13.62501</v>
      </c>
      <c r="Q149" s="322">
        <v>0</v>
      </c>
      <c r="R149" s="322">
        <f>Q149*H149</f>
        <v>0</v>
      </c>
      <c r="S149" s="322">
        <v>0</v>
      </c>
      <c r="T149" s="323">
        <f>S149*H149</f>
        <v>0</v>
      </c>
      <c r="U149" s="222"/>
      <c r="V149" s="222"/>
      <c r="W149" s="222"/>
      <c r="X149" s="222"/>
      <c r="Y149" s="222"/>
      <c r="Z149" s="222"/>
      <c r="AA149" s="222"/>
      <c r="AB149" s="222"/>
      <c r="AC149" s="222"/>
      <c r="AD149" s="222"/>
      <c r="AE149" s="222"/>
      <c r="AR149" s="324" t="s">
        <v>153</v>
      </c>
      <c r="AT149" s="324" t="s">
        <v>148</v>
      </c>
      <c r="AU149" s="324" t="s">
        <v>83</v>
      </c>
      <c r="AY149" s="214" t="s">
        <v>146</v>
      </c>
      <c r="BE149" s="325">
        <f>IF(N149="základní",J149,0)</f>
        <v>0</v>
      </c>
      <c r="BF149" s="325">
        <f>IF(N149="snížená",J149,0)</f>
        <v>0</v>
      </c>
      <c r="BG149" s="325">
        <f>IF(N149="zákl. přenesená",J149,0)</f>
        <v>0</v>
      </c>
      <c r="BH149" s="325">
        <f>IF(N149="sníž. přenesená",J149,0)</f>
        <v>0</v>
      </c>
      <c r="BI149" s="325">
        <f>IF(N149="nulová",J149,0)</f>
        <v>0</v>
      </c>
      <c r="BJ149" s="214" t="s">
        <v>81</v>
      </c>
      <c r="BK149" s="325">
        <f>ROUND(I149*H149,2)</f>
        <v>0</v>
      </c>
      <c r="BL149" s="214" t="s">
        <v>153</v>
      </c>
      <c r="BM149" s="324" t="s">
        <v>154</v>
      </c>
    </row>
    <row r="150" spans="2:51" s="326" customFormat="1" ht="12">
      <c r="B150" s="327"/>
      <c r="D150" s="328" t="s">
        <v>155</v>
      </c>
      <c r="E150" s="329" t="s">
        <v>1</v>
      </c>
      <c r="F150" s="330" t="s">
        <v>2834</v>
      </c>
      <c r="H150" s="329" t="s">
        <v>1</v>
      </c>
      <c r="I150" s="497"/>
      <c r="L150" s="331"/>
      <c r="M150" s="332"/>
      <c r="N150" s="333"/>
      <c r="O150" s="333"/>
      <c r="P150" s="333"/>
      <c r="Q150" s="333"/>
      <c r="R150" s="333"/>
      <c r="S150" s="333"/>
      <c r="T150" s="334"/>
      <c r="AT150" s="329" t="s">
        <v>155</v>
      </c>
      <c r="AU150" s="329" t="s">
        <v>83</v>
      </c>
      <c r="AV150" s="326" t="s">
        <v>81</v>
      </c>
      <c r="AW150" s="326" t="s">
        <v>34</v>
      </c>
      <c r="AX150" s="326" t="s">
        <v>76</v>
      </c>
      <c r="AY150" s="329" t="s">
        <v>146</v>
      </c>
    </row>
    <row r="151" spans="2:51" s="335" customFormat="1" ht="12">
      <c r="B151" s="336"/>
      <c r="D151" s="328" t="s">
        <v>155</v>
      </c>
      <c r="E151" s="337" t="s">
        <v>1</v>
      </c>
      <c r="F151" s="338" t="s">
        <v>2838</v>
      </c>
      <c r="H151" s="339">
        <f>13.5*6.3*0.3</f>
        <v>25.514999999999997</v>
      </c>
      <c r="I151" s="498"/>
      <c r="L151" s="340"/>
      <c r="M151" s="341"/>
      <c r="N151" s="342"/>
      <c r="O151" s="342"/>
      <c r="P151" s="342"/>
      <c r="Q151" s="342"/>
      <c r="R151" s="342"/>
      <c r="S151" s="342"/>
      <c r="T151" s="343"/>
      <c r="AT151" s="337" t="s">
        <v>155</v>
      </c>
      <c r="AU151" s="337" t="s">
        <v>83</v>
      </c>
      <c r="AV151" s="335" t="s">
        <v>83</v>
      </c>
      <c r="AW151" s="335" t="s">
        <v>34</v>
      </c>
      <c r="AX151" s="335" t="s">
        <v>81</v>
      </c>
      <c r="AY151" s="337" t="s">
        <v>146</v>
      </c>
    </row>
    <row r="152" spans="1:65" s="225" customFormat="1" ht="24.2" customHeight="1">
      <c r="A152" s="222"/>
      <c r="B152" s="223"/>
      <c r="C152" s="314">
        <v>2</v>
      </c>
      <c r="D152" s="314" t="s">
        <v>148</v>
      </c>
      <c r="E152" s="315" t="s">
        <v>149</v>
      </c>
      <c r="F152" s="344" t="s">
        <v>150</v>
      </c>
      <c r="G152" s="317" t="s">
        <v>151</v>
      </c>
      <c r="H152" s="318">
        <f>H161</f>
        <v>133.235</v>
      </c>
      <c r="I152" s="79"/>
      <c r="J152" s="319">
        <f>ROUND(I152*H152,2)</f>
        <v>0</v>
      </c>
      <c r="K152" s="316"/>
      <c r="L152" s="229"/>
      <c r="M152" s="320" t="s">
        <v>1</v>
      </c>
      <c r="N152" s="321" t="s">
        <v>42</v>
      </c>
      <c r="O152" s="322">
        <v>0.534</v>
      </c>
      <c r="P152" s="322">
        <f>O152*H152</f>
        <v>71.14749</v>
      </c>
      <c r="Q152" s="322">
        <v>0</v>
      </c>
      <c r="R152" s="322">
        <f>Q152*H152</f>
        <v>0</v>
      </c>
      <c r="S152" s="322">
        <v>0</v>
      </c>
      <c r="T152" s="323">
        <f>S152*H152</f>
        <v>0</v>
      </c>
      <c r="U152" s="222"/>
      <c r="V152" s="222"/>
      <c r="W152" s="222"/>
      <c r="X152" s="222"/>
      <c r="Y152" s="222"/>
      <c r="Z152" s="222"/>
      <c r="AA152" s="222"/>
      <c r="AB152" s="222"/>
      <c r="AC152" s="222"/>
      <c r="AD152" s="222"/>
      <c r="AE152" s="222"/>
      <c r="AR152" s="324" t="s">
        <v>153</v>
      </c>
      <c r="AT152" s="324" t="s">
        <v>148</v>
      </c>
      <c r="AU152" s="324" t="s">
        <v>83</v>
      </c>
      <c r="AY152" s="214" t="s">
        <v>146</v>
      </c>
      <c r="BE152" s="325">
        <f>IF(N152="základní",J152,0)</f>
        <v>0</v>
      </c>
      <c r="BF152" s="325">
        <f>IF(N152="snížená",J152,0)</f>
        <v>0</v>
      </c>
      <c r="BG152" s="325">
        <f>IF(N152="zákl. přenesená",J152,0)</f>
        <v>0</v>
      </c>
      <c r="BH152" s="325">
        <f>IF(N152="sníž. přenesená",J152,0)</f>
        <v>0</v>
      </c>
      <c r="BI152" s="325">
        <f>IF(N152="nulová",J152,0)</f>
        <v>0</v>
      </c>
      <c r="BJ152" s="214" t="s">
        <v>81</v>
      </c>
      <c r="BK152" s="325">
        <f>ROUND(I152*H152,2)</f>
        <v>0</v>
      </c>
      <c r="BL152" s="214" t="s">
        <v>153</v>
      </c>
      <c r="BM152" s="324" t="s">
        <v>154</v>
      </c>
    </row>
    <row r="153" spans="2:51" s="326" customFormat="1" ht="12">
      <c r="B153" s="327"/>
      <c r="D153" s="328" t="s">
        <v>155</v>
      </c>
      <c r="E153" s="329" t="s">
        <v>1</v>
      </c>
      <c r="F153" s="345" t="s">
        <v>2648</v>
      </c>
      <c r="H153" s="329" t="s">
        <v>1</v>
      </c>
      <c r="I153" s="497"/>
      <c r="L153" s="331"/>
      <c r="M153" s="332"/>
      <c r="N153" s="333"/>
      <c r="O153" s="333"/>
      <c r="P153" s="333"/>
      <c r="Q153" s="333"/>
      <c r="R153" s="333"/>
      <c r="S153" s="333"/>
      <c r="T153" s="334"/>
      <c r="AT153" s="329" t="s">
        <v>155</v>
      </c>
      <c r="AU153" s="329" t="s">
        <v>83</v>
      </c>
      <c r="AV153" s="326" t="s">
        <v>81</v>
      </c>
      <c r="AW153" s="326" t="s">
        <v>34</v>
      </c>
      <c r="AX153" s="326" t="s">
        <v>76</v>
      </c>
      <c r="AY153" s="329" t="s">
        <v>146</v>
      </c>
    </row>
    <row r="154" spans="2:51" s="335" customFormat="1" ht="12">
      <c r="B154" s="336"/>
      <c r="D154" s="328" t="s">
        <v>155</v>
      </c>
      <c r="E154" s="337" t="s">
        <v>1</v>
      </c>
      <c r="F154" s="338" t="s">
        <v>3927</v>
      </c>
      <c r="H154" s="339">
        <f>(22.95-2+14.15-2.46)*1+8.5*6.95</f>
        <v>91.715</v>
      </c>
      <c r="I154" s="498"/>
      <c r="L154" s="340"/>
      <c r="M154" s="341"/>
      <c r="N154" s="342"/>
      <c r="O154" s="342"/>
      <c r="P154" s="342"/>
      <c r="Q154" s="342"/>
      <c r="R154" s="342"/>
      <c r="S154" s="342"/>
      <c r="T154" s="343"/>
      <c r="AT154" s="337" t="s">
        <v>155</v>
      </c>
      <c r="AU154" s="337" t="s">
        <v>83</v>
      </c>
      <c r="AV154" s="335" t="s">
        <v>83</v>
      </c>
      <c r="AW154" s="335" t="s">
        <v>34</v>
      </c>
      <c r="AX154" s="335" t="s">
        <v>76</v>
      </c>
      <c r="AY154" s="337" t="s">
        <v>146</v>
      </c>
    </row>
    <row r="155" spans="2:51" s="326" customFormat="1" ht="12">
      <c r="B155" s="327"/>
      <c r="D155" s="328" t="s">
        <v>155</v>
      </c>
      <c r="E155" s="329" t="s">
        <v>1</v>
      </c>
      <c r="F155" s="345" t="s">
        <v>2649</v>
      </c>
      <c r="H155" s="329" t="s">
        <v>1</v>
      </c>
      <c r="I155" s="497"/>
      <c r="L155" s="331"/>
      <c r="M155" s="332"/>
      <c r="N155" s="333"/>
      <c r="O155" s="333"/>
      <c r="P155" s="333"/>
      <c r="Q155" s="333"/>
      <c r="R155" s="333"/>
      <c r="S155" s="333"/>
      <c r="T155" s="334"/>
      <c r="AT155" s="329" t="s">
        <v>155</v>
      </c>
      <c r="AU155" s="329" t="s">
        <v>83</v>
      </c>
      <c r="AV155" s="326" t="s">
        <v>81</v>
      </c>
      <c r="AW155" s="326" t="s">
        <v>34</v>
      </c>
      <c r="AX155" s="326" t="s">
        <v>76</v>
      </c>
      <c r="AY155" s="329" t="s">
        <v>146</v>
      </c>
    </row>
    <row r="156" spans="2:51" s="335" customFormat="1" ht="12">
      <c r="B156" s="336"/>
      <c r="D156" s="328" t="s">
        <v>155</v>
      </c>
      <c r="E156" s="337" t="s">
        <v>1</v>
      </c>
      <c r="F156" s="346" t="s">
        <v>156</v>
      </c>
      <c r="H156" s="339">
        <v>27</v>
      </c>
      <c r="I156" s="498"/>
      <c r="L156" s="340"/>
      <c r="M156" s="341"/>
      <c r="N156" s="342"/>
      <c r="O156" s="342"/>
      <c r="P156" s="342"/>
      <c r="Q156" s="342"/>
      <c r="R156" s="342"/>
      <c r="S156" s="342"/>
      <c r="T156" s="343"/>
      <c r="AT156" s="337" t="s">
        <v>155</v>
      </c>
      <c r="AU156" s="337" t="s">
        <v>83</v>
      </c>
      <c r="AV156" s="335" t="s">
        <v>83</v>
      </c>
      <c r="AW156" s="335" t="s">
        <v>34</v>
      </c>
      <c r="AX156" s="335" t="s">
        <v>76</v>
      </c>
      <c r="AY156" s="337" t="s">
        <v>146</v>
      </c>
    </row>
    <row r="157" spans="2:51" s="326" customFormat="1" ht="12">
      <c r="B157" s="327"/>
      <c r="D157" s="328" t="s">
        <v>155</v>
      </c>
      <c r="E157" s="329" t="s">
        <v>1</v>
      </c>
      <c r="F157" s="345" t="s">
        <v>3318</v>
      </c>
      <c r="H157" s="329" t="s">
        <v>1</v>
      </c>
      <c r="I157" s="497"/>
      <c r="L157" s="331"/>
      <c r="M157" s="332"/>
      <c r="N157" s="333"/>
      <c r="O157" s="333"/>
      <c r="P157" s="333"/>
      <c r="Q157" s="333"/>
      <c r="R157" s="333"/>
      <c r="S157" s="333"/>
      <c r="T157" s="334"/>
      <c r="AT157" s="329" t="s">
        <v>155</v>
      </c>
      <c r="AU157" s="329" t="s">
        <v>83</v>
      </c>
      <c r="AV157" s="326" t="s">
        <v>81</v>
      </c>
      <c r="AW157" s="326" t="s">
        <v>34</v>
      </c>
      <c r="AX157" s="326" t="s">
        <v>76</v>
      </c>
      <c r="AY157" s="329" t="s">
        <v>146</v>
      </c>
    </row>
    <row r="158" spans="2:51" s="335" customFormat="1" ht="12">
      <c r="B158" s="336"/>
      <c r="D158" s="328" t="s">
        <v>155</v>
      </c>
      <c r="E158" s="337" t="s">
        <v>1</v>
      </c>
      <c r="F158" s="346" t="s">
        <v>3928</v>
      </c>
      <c r="H158" s="339">
        <f>6*(2.72-0.3)</f>
        <v>14.520000000000003</v>
      </c>
      <c r="I158" s="498"/>
      <c r="L158" s="340"/>
      <c r="M158" s="341"/>
      <c r="N158" s="342"/>
      <c r="O158" s="342"/>
      <c r="P158" s="342"/>
      <c r="Q158" s="342"/>
      <c r="R158" s="342"/>
      <c r="S158" s="342"/>
      <c r="T158" s="343"/>
      <c r="AT158" s="337" t="s">
        <v>155</v>
      </c>
      <c r="AU158" s="337" t="s">
        <v>83</v>
      </c>
      <c r="AV158" s="335" t="s">
        <v>83</v>
      </c>
      <c r="AW158" s="335" t="s">
        <v>34</v>
      </c>
      <c r="AX158" s="335" t="s">
        <v>76</v>
      </c>
      <c r="AY158" s="337" t="s">
        <v>146</v>
      </c>
    </row>
    <row r="159" spans="2:51" s="326" customFormat="1" ht="12">
      <c r="B159" s="327"/>
      <c r="D159" s="328" t="s">
        <v>155</v>
      </c>
      <c r="E159" s="329" t="s">
        <v>1</v>
      </c>
      <c r="F159" s="345" t="s">
        <v>3318</v>
      </c>
      <c r="H159" s="329" t="s">
        <v>1</v>
      </c>
      <c r="I159" s="497"/>
      <c r="L159" s="331"/>
      <c r="M159" s="332"/>
      <c r="N159" s="333"/>
      <c r="O159" s="333"/>
      <c r="P159" s="333"/>
      <c r="Q159" s="333"/>
      <c r="R159" s="333"/>
      <c r="S159" s="333"/>
      <c r="T159" s="334"/>
      <c r="AT159" s="329" t="s">
        <v>155</v>
      </c>
      <c r="AU159" s="329" t="s">
        <v>83</v>
      </c>
      <c r="AV159" s="326" t="s">
        <v>81</v>
      </c>
      <c r="AW159" s="326" t="s">
        <v>34</v>
      </c>
      <c r="AX159" s="326" t="s">
        <v>76</v>
      </c>
      <c r="AY159" s="329" t="s">
        <v>146</v>
      </c>
    </row>
    <row r="160" spans="2:51" s="335" customFormat="1" ht="12">
      <c r="B160" s="336"/>
      <c r="D160" s="328" t="s">
        <v>155</v>
      </c>
      <c r="E160" s="337" t="s">
        <v>1</v>
      </c>
      <c r="F160" s="346" t="s">
        <v>3928</v>
      </c>
      <c r="H160" s="339">
        <f>6*(2.72-0.3)</f>
        <v>14.520000000000003</v>
      </c>
      <c r="I160" s="498"/>
      <c r="L160" s="340"/>
      <c r="M160" s="341"/>
      <c r="N160" s="342"/>
      <c r="O160" s="342"/>
      <c r="P160" s="342"/>
      <c r="Q160" s="342"/>
      <c r="R160" s="342"/>
      <c r="S160" s="342"/>
      <c r="T160" s="343"/>
      <c r="AT160" s="337" t="s">
        <v>155</v>
      </c>
      <c r="AU160" s="337" t="s">
        <v>83</v>
      </c>
      <c r="AV160" s="335" t="s">
        <v>83</v>
      </c>
      <c r="AW160" s="335" t="s">
        <v>34</v>
      </c>
      <c r="AX160" s="335" t="s">
        <v>76</v>
      </c>
      <c r="AY160" s="337" t="s">
        <v>146</v>
      </c>
    </row>
    <row r="161" spans="2:51" s="347" customFormat="1" ht="12">
      <c r="B161" s="348"/>
      <c r="D161" s="328" t="s">
        <v>155</v>
      </c>
      <c r="E161" s="349" t="s">
        <v>1</v>
      </c>
      <c r="F161" s="350" t="s">
        <v>157</v>
      </c>
      <c r="H161" s="351">
        <f>SUM(H154:H158)</f>
        <v>133.235</v>
      </c>
      <c r="I161" s="499"/>
      <c r="L161" s="352"/>
      <c r="M161" s="353"/>
      <c r="N161" s="354"/>
      <c r="O161" s="354"/>
      <c r="P161" s="354"/>
      <c r="Q161" s="354"/>
      <c r="R161" s="354"/>
      <c r="S161" s="354"/>
      <c r="T161" s="355"/>
      <c r="AT161" s="349" t="s">
        <v>155</v>
      </c>
      <c r="AU161" s="349" t="s">
        <v>83</v>
      </c>
      <c r="AV161" s="347" t="s">
        <v>153</v>
      </c>
      <c r="AW161" s="347" t="s">
        <v>34</v>
      </c>
      <c r="AX161" s="347" t="s">
        <v>81</v>
      </c>
      <c r="AY161" s="349" t="s">
        <v>146</v>
      </c>
    </row>
    <row r="162" spans="1:65" s="225" customFormat="1" ht="24.2" customHeight="1">
      <c r="A162" s="222"/>
      <c r="B162" s="223"/>
      <c r="C162" s="314">
        <v>3</v>
      </c>
      <c r="D162" s="314" t="s">
        <v>148</v>
      </c>
      <c r="E162" s="315" t="s">
        <v>160</v>
      </c>
      <c r="F162" s="316" t="s">
        <v>161</v>
      </c>
      <c r="G162" s="317" t="s">
        <v>162</v>
      </c>
      <c r="H162" s="318">
        <f>H177</f>
        <v>66.756</v>
      </c>
      <c r="I162" s="79"/>
      <c r="J162" s="319">
        <f>ROUND(I162*H162,2)</f>
        <v>0</v>
      </c>
      <c r="K162" s="316"/>
      <c r="L162" s="229"/>
      <c r="M162" s="320" t="s">
        <v>1</v>
      </c>
      <c r="N162" s="321" t="s">
        <v>42</v>
      </c>
      <c r="O162" s="322">
        <v>4.493</v>
      </c>
      <c r="P162" s="322">
        <f>O162*H162</f>
        <v>299.934708</v>
      </c>
      <c r="Q162" s="322">
        <v>0</v>
      </c>
      <c r="R162" s="322">
        <f>Q162*H162</f>
        <v>0</v>
      </c>
      <c r="S162" s="322">
        <v>0</v>
      </c>
      <c r="T162" s="323">
        <f>S162*H162</f>
        <v>0</v>
      </c>
      <c r="U162" s="222"/>
      <c r="V162" s="222"/>
      <c r="W162" s="222"/>
      <c r="X162" s="222"/>
      <c r="Y162" s="222"/>
      <c r="Z162" s="222"/>
      <c r="AA162" s="222"/>
      <c r="AB162" s="222"/>
      <c r="AC162" s="222"/>
      <c r="AD162" s="222"/>
      <c r="AE162" s="222"/>
      <c r="AR162" s="324" t="s">
        <v>153</v>
      </c>
      <c r="AT162" s="324" t="s">
        <v>148</v>
      </c>
      <c r="AU162" s="324" t="s">
        <v>83</v>
      </c>
      <c r="AY162" s="214" t="s">
        <v>146</v>
      </c>
      <c r="BE162" s="325">
        <f>IF(N162="základní",J162,0)</f>
        <v>0</v>
      </c>
      <c r="BF162" s="325">
        <f>IF(N162="snížená",J162,0)</f>
        <v>0</v>
      </c>
      <c r="BG162" s="325">
        <f>IF(N162="zákl. přenesená",J162,0)</f>
        <v>0</v>
      </c>
      <c r="BH162" s="325">
        <f>IF(N162="sníž. přenesená",J162,0)</f>
        <v>0</v>
      </c>
      <c r="BI162" s="325">
        <f>IF(N162="nulová",J162,0)</f>
        <v>0</v>
      </c>
      <c r="BJ162" s="214" t="s">
        <v>81</v>
      </c>
      <c r="BK162" s="325">
        <f>ROUND(I162*H162,2)</f>
        <v>0</v>
      </c>
      <c r="BL162" s="214" t="s">
        <v>153</v>
      </c>
      <c r="BM162" s="324" t="s">
        <v>163</v>
      </c>
    </row>
    <row r="163" spans="2:51" s="326" customFormat="1" ht="12">
      <c r="B163" s="327"/>
      <c r="D163" s="328" t="s">
        <v>155</v>
      </c>
      <c r="E163" s="329" t="s">
        <v>1</v>
      </c>
      <c r="F163" s="330" t="s">
        <v>164</v>
      </c>
      <c r="H163" s="329" t="s">
        <v>1</v>
      </c>
      <c r="I163" s="497"/>
      <c r="L163" s="331"/>
      <c r="M163" s="332"/>
      <c r="N163" s="333"/>
      <c r="O163" s="333"/>
      <c r="P163" s="333"/>
      <c r="Q163" s="333"/>
      <c r="R163" s="333"/>
      <c r="S163" s="333"/>
      <c r="T163" s="334"/>
      <c r="AT163" s="329" t="s">
        <v>155</v>
      </c>
      <c r="AU163" s="329" t="s">
        <v>83</v>
      </c>
      <c r="AV163" s="326" t="s">
        <v>81</v>
      </c>
      <c r="AW163" s="326" t="s">
        <v>34</v>
      </c>
      <c r="AX163" s="326" t="s">
        <v>76</v>
      </c>
      <c r="AY163" s="329" t="s">
        <v>146</v>
      </c>
    </row>
    <row r="164" spans="2:51" s="326" customFormat="1" ht="12">
      <c r="B164" s="327"/>
      <c r="D164" s="328" t="s">
        <v>155</v>
      </c>
      <c r="E164" s="329" t="s">
        <v>1</v>
      </c>
      <c r="F164" s="330" t="s">
        <v>165</v>
      </c>
      <c r="H164" s="329" t="s">
        <v>1</v>
      </c>
      <c r="I164" s="497"/>
      <c r="L164" s="331"/>
      <c r="M164" s="332"/>
      <c r="N164" s="333"/>
      <c r="O164" s="333"/>
      <c r="P164" s="333"/>
      <c r="Q164" s="333"/>
      <c r="R164" s="333"/>
      <c r="S164" s="333"/>
      <c r="T164" s="334"/>
      <c r="AT164" s="329" t="s">
        <v>155</v>
      </c>
      <c r="AU164" s="329" t="s">
        <v>83</v>
      </c>
      <c r="AV164" s="326" t="s">
        <v>81</v>
      </c>
      <c r="AW164" s="326" t="s">
        <v>34</v>
      </c>
      <c r="AX164" s="326" t="s">
        <v>76</v>
      </c>
      <c r="AY164" s="329" t="s">
        <v>146</v>
      </c>
    </row>
    <row r="165" spans="2:51" s="335" customFormat="1" ht="12">
      <c r="B165" s="336"/>
      <c r="D165" s="328" t="s">
        <v>155</v>
      </c>
      <c r="E165" s="337" t="s">
        <v>1</v>
      </c>
      <c r="F165" s="338" t="s">
        <v>2652</v>
      </c>
      <c r="H165" s="339">
        <v>21.92</v>
      </c>
      <c r="I165" s="498"/>
      <c r="L165" s="340"/>
      <c r="M165" s="341"/>
      <c r="N165" s="342"/>
      <c r="O165" s="342"/>
      <c r="P165" s="342"/>
      <c r="Q165" s="342"/>
      <c r="R165" s="342"/>
      <c r="S165" s="342"/>
      <c r="T165" s="343"/>
      <c r="AT165" s="337" t="s">
        <v>155</v>
      </c>
      <c r="AU165" s="337" t="s">
        <v>83</v>
      </c>
      <c r="AV165" s="335" t="s">
        <v>83</v>
      </c>
      <c r="AW165" s="335" t="s">
        <v>34</v>
      </c>
      <c r="AX165" s="335" t="s">
        <v>76</v>
      </c>
      <c r="AY165" s="337" t="s">
        <v>146</v>
      </c>
    </row>
    <row r="166" spans="2:51" s="326" customFormat="1" ht="12">
      <c r="B166" s="327"/>
      <c r="D166" s="328" t="s">
        <v>155</v>
      </c>
      <c r="E166" s="329" t="s">
        <v>1</v>
      </c>
      <c r="F166" s="330" t="s">
        <v>167</v>
      </c>
      <c r="H166" s="329" t="s">
        <v>1</v>
      </c>
      <c r="I166" s="497"/>
      <c r="L166" s="331"/>
      <c r="M166" s="332"/>
      <c r="N166" s="333"/>
      <c r="O166" s="333"/>
      <c r="P166" s="333"/>
      <c r="Q166" s="333"/>
      <c r="R166" s="333"/>
      <c r="S166" s="333"/>
      <c r="T166" s="334"/>
      <c r="AT166" s="329" t="s">
        <v>155</v>
      </c>
      <c r="AU166" s="329" t="s">
        <v>83</v>
      </c>
      <c r="AV166" s="326" t="s">
        <v>81</v>
      </c>
      <c r="AW166" s="326" t="s">
        <v>34</v>
      </c>
      <c r="AX166" s="326" t="s">
        <v>76</v>
      </c>
      <c r="AY166" s="329" t="s">
        <v>146</v>
      </c>
    </row>
    <row r="167" spans="2:51" s="326" customFormat="1" ht="12">
      <c r="B167" s="327"/>
      <c r="D167" s="328" t="s">
        <v>155</v>
      </c>
      <c r="E167" s="329" t="s">
        <v>1</v>
      </c>
      <c r="F167" s="330" t="s">
        <v>168</v>
      </c>
      <c r="H167" s="329" t="s">
        <v>1</v>
      </c>
      <c r="I167" s="497"/>
      <c r="L167" s="331"/>
      <c r="M167" s="332"/>
      <c r="N167" s="333"/>
      <c r="O167" s="333"/>
      <c r="P167" s="333"/>
      <c r="Q167" s="333"/>
      <c r="R167" s="333"/>
      <c r="S167" s="333"/>
      <c r="T167" s="334"/>
      <c r="AT167" s="329" t="s">
        <v>155</v>
      </c>
      <c r="AU167" s="329" t="s">
        <v>83</v>
      </c>
      <c r="AV167" s="326" t="s">
        <v>81</v>
      </c>
      <c r="AW167" s="326" t="s">
        <v>34</v>
      </c>
      <c r="AX167" s="326" t="s">
        <v>76</v>
      </c>
      <c r="AY167" s="329" t="s">
        <v>146</v>
      </c>
    </row>
    <row r="168" spans="2:51" s="335" customFormat="1" ht="12">
      <c r="B168" s="336"/>
      <c r="D168" s="328" t="s">
        <v>155</v>
      </c>
      <c r="E168" s="337" t="s">
        <v>1</v>
      </c>
      <c r="F168" s="338" t="s">
        <v>2760</v>
      </c>
      <c r="H168" s="339">
        <f>0.8*0.5*(35.975+13.25+22.875)</f>
        <v>28.84</v>
      </c>
      <c r="I168" s="498"/>
      <c r="L168" s="340"/>
      <c r="M168" s="341"/>
      <c r="N168" s="342"/>
      <c r="O168" s="342"/>
      <c r="P168" s="342"/>
      <c r="Q168" s="342"/>
      <c r="R168" s="342"/>
      <c r="S168" s="342"/>
      <c r="T168" s="343"/>
      <c r="AT168" s="337" t="s">
        <v>155</v>
      </c>
      <c r="AU168" s="337" t="s">
        <v>83</v>
      </c>
      <c r="AV168" s="335" t="s">
        <v>83</v>
      </c>
      <c r="AW168" s="335" t="s">
        <v>34</v>
      </c>
      <c r="AX168" s="335" t="s">
        <v>76</v>
      </c>
      <c r="AY168" s="337" t="s">
        <v>146</v>
      </c>
    </row>
    <row r="169" spans="2:51" s="326" customFormat="1" ht="12">
      <c r="B169" s="327"/>
      <c r="D169" s="328" t="s">
        <v>155</v>
      </c>
      <c r="E169" s="329" t="s">
        <v>1</v>
      </c>
      <c r="F169" s="330" t="s">
        <v>169</v>
      </c>
      <c r="H169" s="329" t="s">
        <v>1</v>
      </c>
      <c r="I169" s="497"/>
      <c r="L169" s="331"/>
      <c r="M169" s="332"/>
      <c r="N169" s="333"/>
      <c r="O169" s="333"/>
      <c r="P169" s="333"/>
      <c r="Q169" s="333"/>
      <c r="R169" s="333"/>
      <c r="S169" s="333"/>
      <c r="T169" s="334"/>
      <c r="AT169" s="329" t="s">
        <v>155</v>
      </c>
      <c r="AU169" s="329" t="s">
        <v>83</v>
      </c>
      <c r="AV169" s="326" t="s">
        <v>81</v>
      </c>
      <c r="AW169" s="326" t="s">
        <v>34</v>
      </c>
      <c r="AX169" s="326" t="s">
        <v>76</v>
      </c>
      <c r="AY169" s="329" t="s">
        <v>146</v>
      </c>
    </row>
    <row r="170" spans="2:51" s="335" customFormat="1" ht="12">
      <c r="B170" s="336"/>
      <c r="D170" s="328" t="s">
        <v>155</v>
      </c>
      <c r="E170" s="337" t="s">
        <v>1</v>
      </c>
      <c r="F170" s="338" t="s">
        <v>2651</v>
      </c>
      <c r="H170" s="339">
        <f>2.46*(1.955+0.28)*(1.2-0.2)</f>
        <v>5.498100000000001</v>
      </c>
      <c r="I170" s="498"/>
      <c r="L170" s="340"/>
      <c r="M170" s="341"/>
      <c r="N170" s="342"/>
      <c r="O170" s="342"/>
      <c r="P170" s="342"/>
      <c r="Q170" s="342"/>
      <c r="R170" s="342"/>
      <c r="S170" s="342"/>
      <c r="T170" s="343"/>
      <c r="AT170" s="337" t="s">
        <v>155</v>
      </c>
      <c r="AU170" s="337" t="s">
        <v>83</v>
      </c>
      <c r="AV170" s="335" t="s">
        <v>83</v>
      </c>
      <c r="AW170" s="335" t="s">
        <v>34</v>
      </c>
      <c r="AX170" s="335" t="s">
        <v>76</v>
      </c>
      <c r="AY170" s="337" t="s">
        <v>146</v>
      </c>
    </row>
    <row r="171" spans="2:51" s="326" customFormat="1" ht="12">
      <c r="B171" s="327"/>
      <c r="D171" s="328" t="s">
        <v>155</v>
      </c>
      <c r="E171" s="329" t="s">
        <v>1</v>
      </c>
      <c r="F171" s="330" t="s">
        <v>2765</v>
      </c>
      <c r="H171" s="329" t="s">
        <v>1</v>
      </c>
      <c r="I171" s="497"/>
      <c r="L171" s="331"/>
      <c r="M171" s="332"/>
      <c r="N171" s="333"/>
      <c r="O171" s="333"/>
      <c r="P171" s="333"/>
      <c r="Q171" s="333"/>
      <c r="R171" s="333"/>
      <c r="S171" s="333"/>
      <c r="T171" s="334"/>
      <c r="AT171" s="329" t="s">
        <v>155</v>
      </c>
      <c r="AU171" s="329" t="s">
        <v>83</v>
      </c>
      <c r="AV171" s="326" t="s">
        <v>81</v>
      </c>
      <c r="AW171" s="326" t="s">
        <v>34</v>
      </c>
      <c r="AX171" s="326" t="s">
        <v>76</v>
      </c>
      <c r="AY171" s="329" t="s">
        <v>146</v>
      </c>
    </row>
    <row r="172" spans="2:51" s="335" customFormat="1" ht="12">
      <c r="B172" s="336"/>
      <c r="D172" s="328" t="s">
        <v>155</v>
      </c>
      <c r="E172" s="337" t="s">
        <v>1</v>
      </c>
      <c r="F172" s="338" t="s">
        <v>2764</v>
      </c>
      <c r="H172" s="339">
        <f>(0.6+0.6)*0.68*0.2*4</f>
        <v>0.6528</v>
      </c>
      <c r="I172" s="498"/>
      <c r="L172" s="340"/>
      <c r="M172" s="341"/>
      <c r="N172" s="342"/>
      <c r="O172" s="342"/>
      <c r="P172" s="342"/>
      <c r="Q172" s="342"/>
      <c r="R172" s="342"/>
      <c r="S172" s="342"/>
      <c r="T172" s="343"/>
      <c r="AT172" s="337" t="s">
        <v>155</v>
      </c>
      <c r="AU172" s="337" t="s">
        <v>83</v>
      </c>
      <c r="AV172" s="335" t="s">
        <v>83</v>
      </c>
      <c r="AW172" s="335" t="s">
        <v>34</v>
      </c>
      <c r="AX172" s="335" t="s">
        <v>76</v>
      </c>
      <c r="AY172" s="337" t="s">
        <v>146</v>
      </c>
    </row>
    <row r="173" spans="2:51" s="326" customFormat="1" ht="12">
      <c r="B173" s="327"/>
      <c r="D173" s="328" t="s">
        <v>155</v>
      </c>
      <c r="E173" s="329" t="s">
        <v>1</v>
      </c>
      <c r="F173" s="330" t="s">
        <v>170</v>
      </c>
      <c r="H173" s="329" t="s">
        <v>1</v>
      </c>
      <c r="I173" s="497"/>
      <c r="L173" s="331"/>
      <c r="M173" s="332"/>
      <c r="N173" s="333"/>
      <c r="O173" s="333"/>
      <c r="P173" s="333"/>
      <c r="Q173" s="333"/>
      <c r="R173" s="333"/>
      <c r="S173" s="333"/>
      <c r="T173" s="334"/>
      <c r="AT173" s="329" t="s">
        <v>155</v>
      </c>
      <c r="AU173" s="329" t="s">
        <v>83</v>
      </c>
      <c r="AV173" s="326" t="s">
        <v>81</v>
      </c>
      <c r="AW173" s="326" t="s">
        <v>34</v>
      </c>
      <c r="AX173" s="326" t="s">
        <v>76</v>
      </c>
      <c r="AY173" s="329" t="s">
        <v>146</v>
      </c>
    </row>
    <row r="174" spans="2:51" s="335" customFormat="1" ht="12">
      <c r="B174" s="336"/>
      <c r="D174" s="328" t="s">
        <v>155</v>
      </c>
      <c r="E174" s="337" t="s">
        <v>1</v>
      </c>
      <c r="F174" s="338" t="s">
        <v>2634</v>
      </c>
      <c r="H174" s="339">
        <f>(0.6*0.42+0.6*2.25)*1.3</f>
        <v>2.0826</v>
      </c>
      <c r="I174" s="498"/>
      <c r="L174" s="340"/>
      <c r="M174" s="341"/>
      <c r="N174" s="342"/>
      <c r="O174" s="342"/>
      <c r="P174" s="342"/>
      <c r="Q174" s="342"/>
      <c r="R174" s="342"/>
      <c r="S174" s="342"/>
      <c r="T174" s="343"/>
      <c r="AT174" s="337" t="s">
        <v>155</v>
      </c>
      <c r="AU174" s="337" t="s">
        <v>83</v>
      </c>
      <c r="AV174" s="335" t="s">
        <v>83</v>
      </c>
      <c r="AW174" s="335" t="s">
        <v>34</v>
      </c>
      <c r="AX174" s="335" t="s">
        <v>76</v>
      </c>
      <c r="AY174" s="337" t="s">
        <v>146</v>
      </c>
    </row>
    <row r="175" spans="2:51" s="326" customFormat="1" ht="12">
      <c r="B175" s="327"/>
      <c r="D175" s="328" t="s">
        <v>155</v>
      </c>
      <c r="E175" s="329" t="s">
        <v>1</v>
      </c>
      <c r="F175" s="330" t="s">
        <v>3930</v>
      </c>
      <c r="H175" s="329" t="s">
        <v>1</v>
      </c>
      <c r="I175" s="497"/>
      <c r="L175" s="331"/>
      <c r="M175" s="332"/>
      <c r="N175" s="333"/>
      <c r="O175" s="333"/>
      <c r="P175" s="333"/>
      <c r="Q175" s="333"/>
      <c r="R175" s="333"/>
      <c r="S175" s="333"/>
      <c r="T175" s="334"/>
      <c r="AT175" s="329" t="s">
        <v>155</v>
      </c>
      <c r="AU175" s="329" t="s">
        <v>83</v>
      </c>
      <c r="AV175" s="326" t="s">
        <v>81</v>
      </c>
      <c r="AW175" s="326" t="s">
        <v>34</v>
      </c>
      <c r="AX175" s="326" t="s">
        <v>76</v>
      </c>
      <c r="AY175" s="329" t="s">
        <v>146</v>
      </c>
    </row>
    <row r="176" spans="2:51" s="335" customFormat="1" ht="12">
      <c r="B176" s="336"/>
      <c r="D176" s="328" t="s">
        <v>155</v>
      </c>
      <c r="E176" s="337" t="s">
        <v>1</v>
      </c>
      <c r="F176" s="338" t="s">
        <v>3929</v>
      </c>
      <c r="H176" s="339">
        <f>5.75*1.35</f>
        <v>7.7625</v>
      </c>
      <c r="I176" s="498"/>
      <c r="L176" s="340"/>
      <c r="M176" s="341"/>
      <c r="N176" s="342"/>
      <c r="O176" s="342"/>
      <c r="P176" s="342"/>
      <c r="Q176" s="342"/>
      <c r="R176" s="342"/>
      <c r="S176" s="342"/>
      <c r="T176" s="343"/>
      <c r="AT176" s="337" t="s">
        <v>155</v>
      </c>
      <c r="AU176" s="337" t="s">
        <v>83</v>
      </c>
      <c r="AV176" s="335" t="s">
        <v>83</v>
      </c>
      <c r="AW176" s="335" t="s">
        <v>34</v>
      </c>
      <c r="AX176" s="335" t="s">
        <v>76</v>
      </c>
      <c r="AY176" s="337" t="s">
        <v>146</v>
      </c>
    </row>
    <row r="177" spans="2:51" s="347" customFormat="1" ht="12">
      <c r="B177" s="348"/>
      <c r="D177" s="328" t="s">
        <v>155</v>
      </c>
      <c r="E177" s="349" t="s">
        <v>1</v>
      </c>
      <c r="F177" s="356" t="s">
        <v>157</v>
      </c>
      <c r="H177" s="351">
        <f>SUM(H165:H176)</f>
        <v>66.756</v>
      </c>
      <c r="I177" s="499"/>
      <c r="L177" s="352"/>
      <c r="M177" s="353"/>
      <c r="N177" s="354"/>
      <c r="O177" s="354"/>
      <c r="P177" s="354"/>
      <c r="Q177" s="354"/>
      <c r="R177" s="354"/>
      <c r="S177" s="354"/>
      <c r="T177" s="355"/>
      <c r="AT177" s="349" t="s">
        <v>155</v>
      </c>
      <c r="AU177" s="349" t="s">
        <v>83</v>
      </c>
      <c r="AV177" s="347" t="s">
        <v>153</v>
      </c>
      <c r="AW177" s="347" t="s">
        <v>34</v>
      </c>
      <c r="AX177" s="347" t="s">
        <v>81</v>
      </c>
      <c r="AY177" s="349" t="s">
        <v>146</v>
      </c>
    </row>
    <row r="178" spans="1:65" s="225" customFormat="1" ht="24.2" customHeight="1">
      <c r="A178" s="222"/>
      <c r="B178" s="223"/>
      <c r="C178" s="314">
        <v>4</v>
      </c>
      <c r="D178" s="357" t="s">
        <v>148</v>
      </c>
      <c r="E178" s="315" t="s">
        <v>2666</v>
      </c>
      <c r="F178" s="316" t="s">
        <v>2667</v>
      </c>
      <c r="G178" s="317" t="s">
        <v>162</v>
      </c>
      <c r="H178" s="318">
        <f>H180</f>
        <v>18.711000000000002</v>
      </c>
      <c r="I178" s="79"/>
      <c r="J178" s="319">
        <f>ROUND(I178*H178,2)</f>
        <v>0</v>
      </c>
      <c r="K178" s="316"/>
      <c r="L178" s="229"/>
      <c r="M178" s="320" t="s">
        <v>1</v>
      </c>
      <c r="N178" s="321" t="s">
        <v>42</v>
      </c>
      <c r="O178" s="322">
        <v>0.61</v>
      </c>
      <c r="P178" s="322">
        <f>O178*H178</f>
        <v>11.413710000000002</v>
      </c>
      <c r="Q178" s="322">
        <v>0</v>
      </c>
      <c r="R178" s="322">
        <f>Q178*H178</f>
        <v>0</v>
      </c>
      <c r="S178" s="322">
        <v>0</v>
      </c>
      <c r="T178" s="323">
        <f>S178*H178</f>
        <v>0</v>
      </c>
      <c r="U178" s="222"/>
      <c r="V178" s="222"/>
      <c r="W178" s="222"/>
      <c r="X178" s="222"/>
      <c r="Y178" s="222"/>
      <c r="Z178" s="222"/>
      <c r="AA178" s="222"/>
      <c r="AB178" s="222"/>
      <c r="AC178" s="222"/>
      <c r="AD178" s="222"/>
      <c r="AE178" s="222"/>
      <c r="AR178" s="324" t="s">
        <v>153</v>
      </c>
      <c r="AT178" s="324" t="s">
        <v>148</v>
      </c>
      <c r="AU178" s="324" t="s">
        <v>83</v>
      </c>
      <c r="AY178" s="214" t="s">
        <v>146</v>
      </c>
      <c r="BE178" s="325">
        <f>IF(N178="základní",J178,0)</f>
        <v>0</v>
      </c>
      <c r="BF178" s="325">
        <f>IF(N178="snížená",J178,0)</f>
        <v>0</v>
      </c>
      <c r="BG178" s="325">
        <f>IF(N178="zákl. přenesená",J178,0)</f>
        <v>0</v>
      </c>
      <c r="BH178" s="325">
        <f>IF(N178="sníž. přenesená",J178,0)</f>
        <v>0</v>
      </c>
      <c r="BI178" s="325">
        <f>IF(N178="nulová",J178,0)</f>
        <v>0</v>
      </c>
      <c r="BJ178" s="214" t="s">
        <v>81</v>
      </c>
      <c r="BK178" s="325">
        <f>ROUND(I178*H178,2)</f>
        <v>0</v>
      </c>
      <c r="BL178" s="214" t="s">
        <v>153</v>
      </c>
      <c r="BM178" s="324" t="s">
        <v>2668</v>
      </c>
    </row>
    <row r="179" spans="2:51" s="326" customFormat="1" ht="12">
      <c r="B179" s="327"/>
      <c r="D179" s="328" t="s">
        <v>155</v>
      </c>
      <c r="E179" s="329" t="s">
        <v>1</v>
      </c>
      <c r="F179" s="330" t="s">
        <v>2669</v>
      </c>
      <c r="H179" s="329" t="s">
        <v>1</v>
      </c>
      <c r="I179" s="497"/>
      <c r="L179" s="331"/>
      <c r="M179" s="332"/>
      <c r="N179" s="333"/>
      <c r="O179" s="333"/>
      <c r="P179" s="333"/>
      <c r="Q179" s="333"/>
      <c r="R179" s="333"/>
      <c r="S179" s="333"/>
      <c r="T179" s="334"/>
      <c r="AT179" s="329" t="s">
        <v>155</v>
      </c>
      <c r="AU179" s="329" t="s">
        <v>83</v>
      </c>
      <c r="AV179" s="326" t="s">
        <v>81</v>
      </c>
      <c r="AW179" s="326" t="s">
        <v>34</v>
      </c>
      <c r="AX179" s="326" t="s">
        <v>76</v>
      </c>
      <c r="AY179" s="329" t="s">
        <v>146</v>
      </c>
    </row>
    <row r="180" spans="2:51" s="335" customFormat="1" ht="12">
      <c r="B180" s="336"/>
      <c r="D180" s="328" t="s">
        <v>155</v>
      </c>
      <c r="E180" s="337" t="s">
        <v>1</v>
      </c>
      <c r="F180" s="338" t="s">
        <v>2837</v>
      </c>
      <c r="H180" s="339">
        <f>13.5*6.3*(0.52-0.3)</f>
        <v>18.711000000000002</v>
      </c>
      <c r="I180" s="498"/>
      <c r="L180" s="340"/>
      <c r="M180" s="341"/>
      <c r="N180" s="342"/>
      <c r="O180" s="342"/>
      <c r="P180" s="342"/>
      <c r="Q180" s="342"/>
      <c r="R180" s="342"/>
      <c r="S180" s="342"/>
      <c r="T180" s="343"/>
      <c r="AT180" s="337" t="s">
        <v>155</v>
      </c>
      <c r="AU180" s="337" t="s">
        <v>83</v>
      </c>
      <c r="AV180" s="335" t="s">
        <v>83</v>
      </c>
      <c r="AW180" s="335" t="s">
        <v>34</v>
      </c>
      <c r="AX180" s="335" t="s">
        <v>81</v>
      </c>
      <c r="AY180" s="337" t="s">
        <v>146</v>
      </c>
    </row>
    <row r="181" spans="1:65" s="225" customFormat="1" ht="24.2" customHeight="1">
      <c r="A181" s="222"/>
      <c r="B181" s="223"/>
      <c r="C181" s="314">
        <v>5</v>
      </c>
      <c r="D181" s="314" t="s">
        <v>148</v>
      </c>
      <c r="E181" s="315" t="s">
        <v>172</v>
      </c>
      <c r="F181" s="316" t="s">
        <v>173</v>
      </c>
      <c r="G181" s="317" t="s">
        <v>162</v>
      </c>
      <c r="H181" s="318">
        <f>H186</f>
        <v>14.267000000000003</v>
      </c>
      <c r="I181" s="79"/>
      <c r="J181" s="319">
        <f>ROUND(I181*H181,2)</f>
        <v>0</v>
      </c>
      <c r="K181" s="316"/>
      <c r="L181" s="229"/>
      <c r="M181" s="320" t="s">
        <v>1</v>
      </c>
      <c r="N181" s="321" t="s">
        <v>42</v>
      </c>
      <c r="O181" s="322">
        <v>7.127</v>
      </c>
      <c r="P181" s="322">
        <f>O181*H181</f>
        <v>101.68090900000001</v>
      </c>
      <c r="Q181" s="322">
        <v>0</v>
      </c>
      <c r="R181" s="322">
        <f>Q181*H181</f>
        <v>0</v>
      </c>
      <c r="S181" s="322">
        <v>0</v>
      </c>
      <c r="T181" s="323">
        <f>S181*H181</f>
        <v>0</v>
      </c>
      <c r="U181" s="222"/>
      <c r="V181" s="222"/>
      <c r="W181" s="222"/>
      <c r="X181" s="222"/>
      <c r="Y181" s="222"/>
      <c r="Z181" s="222"/>
      <c r="AA181" s="222"/>
      <c r="AB181" s="222"/>
      <c r="AC181" s="222"/>
      <c r="AD181" s="222"/>
      <c r="AE181" s="222"/>
      <c r="AR181" s="324" t="s">
        <v>153</v>
      </c>
      <c r="AT181" s="324" t="s">
        <v>148</v>
      </c>
      <c r="AU181" s="324" t="s">
        <v>83</v>
      </c>
      <c r="AY181" s="214" t="s">
        <v>146</v>
      </c>
      <c r="BE181" s="325">
        <f>IF(N181="základní",J181,0)</f>
        <v>0</v>
      </c>
      <c r="BF181" s="325">
        <f>IF(N181="snížená",J181,0)</f>
        <v>0</v>
      </c>
      <c r="BG181" s="325">
        <f>IF(N181="zákl. přenesená",J181,0)</f>
        <v>0</v>
      </c>
      <c r="BH181" s="325">
        <f>IF(N181="sníž. přenesená",J181,0)</f>
        <v>0</v>
      </c>
      <c r="BI181" s="325">
        <f>IF(N181="nulová",J181,0)</f>
        <v>0</v>
      </c>
      <c r="BJ181" s="214" t="s">
        <v>81</v>
      </c>
      <c r="BK181" s="325">
        <f>ROUND(I181*H181,2)</f>
        <v>0</v>
      </c>
      <c r="BL181" s="214" t="s">
        <v>153</v>
      </c>
      <c r="BM181" s="324" t="s">
        <v>174</v>
      </c>
    </row>
    <row r="182" spans="2:51" s="326" customFormat="1" ht="12">
      <c r="B182" s="327"/>
      <c r="D182" s="328" t="s">
        <v>155</v>
      </c>
      <c r="E182" s="329" t="s">
        <v>1</v>
      </c>
      <c r="F182" s="330" t="s">
        <v>175</v>
      </c>
      <c r="H182" s="329" t="s">
        <v>1</v>
      </c>
      <c r="I182" s="497"/>
      <c r="L182" s="331"/>
      <c r="M182" s="332"/>
      <c r="N182" s="333"/>
      <c r="O182" s="333"/>
      <c r="P182" s="333"/>
      <c r="Q182" s="333"/>
      <c r="R182" s="333"/>
      <c r="S182" s="333"/>
      <c r="T182" s="334"/>
      <c r="AT182" s="329" t="s">
        <v>155</v>
      </c>
      <c r="AU182" s="329" t="s">
        <v>83</v>
      </c>
      <c r="AV182" s="326" t="s">
        <v>81</v>
      </c>
      <c r="AW182" s="326" t="s">
        <v>34</v>
      </c>
      <c r="AX182" s="326" t="s">
        <v>76</v>
      </c>
      <c r="AY182" s="329" t="s">
        <v>146</v>
      </c>
    </row>
    <row r="183" spans="2:51" s="335" customFormat="1" ht="12">
      <c r="B183" s="336"/>
      <c r="D183" s="328" t="s">
        <v>155</v>
      </c>
      <c r="E183" s="337" t="s">
        <v>1</v>
      </c>
      <c r="F183" s="338" t="s">
        <v>2650</v>
      </c>
      <c r="H183" s="339">
        <f>9.9*0.5*(1-0.19-0.25)</f>
        <v>2.7720000000000002</v>
      </c>
      <c r="I183" s="498"/>
      <c r="L183" s="340"/>
      <c r="M183" s="341"/>
      <c r="N183" s="342"/>
      <c r="O183" s="342"/>
      <c r="P183" s="342"/>
      <c r="Q183" s="342"/>
      <c r="R183" s="342"/>
      <c r="S183" s="342"/>
      <c r="T183" s="343"/>
      <c r="AT183" s="337" t="s">
        <v>155</v>
      </c>
      <c r="AU183" s="337" t="s">
        <v>83</v>
      </c>
      <c r="AV183" s="335" t="s">
        <v>83</v>
      </c>
      <c r="AW183" s="335" t="s">
        <v>34</v>
      </c>
      <c r="AX183" s="335" t="s">
        <v>76</v>
      </c>
      <c r="AY183" s="337" t="s">
        <v>146</v>
      </c>
    </row>
    <row r="184" spans="2:51" s="326" customFormat="1" ht="12">
      <c r="B184" s="327"/>
      <c r="D184" s="328" t="s">
        <v>155</v>
      </c>
      <c r="E184" s="329" t="s">
        <v>1</v>
      </c>
      <c r="F184" s="330" t="s">
        <v>2653</v>
      </c>
      <c r="H184" s="329" t="s">
        <v>1</v>
      </c>
      <c r="I184" s="497"/>
      <c r="L184" s="331"/>
      <c r="M184" s="332"/>
      <c r="N184" s="333"/>
      <c r="O184" s="333"/>
      <c r="P184" s="333"/>
      <c r="Q184" s="333"/>
      <c r="R184" s="333"/>
      <c r="S184" s="333"/>
      <c r="T184" s="334"/>
      <c r="AT184" s="329" t="s">
        <v>155</v>
      </c>
      <c r="AU184" s="329" t="s">
        <v>83</v>
      </c>
      <c r="AV184" s="326" t="s">
        <v>81</v>
      </c>
      <c r="AW184" s="326" t="s">
        <v>34</v>
      </c>
      <c r="AX184" s="326" t="s">
        <v>76</v>
      </c>
      <c r="AY184" s="329" t="s">
        <v>146</v>
      </c>
    </row>
    <row r="185" spans="2:51" s="335" customFormat="1" ht="12">
      <c r="B185" s="336"/>
      <c r="D185" s="328" t="s">
        <v>155</v>
      </c>
      <c r="E185" s="337" t="s">
        <v>1</v>
      </c>
      <c r="F185" s="338" t="s">
        <v>2654</v>
      </c>
      <c r="H185" s="339">
        <f>(8.5*0.8+3.3*1+0.5*0.7)*1.1</f>
        <v>11.495000000000003</v>
      </c>
      <c r="I185" s="498"/>
      <c r="L185" s="340"/>
      <c r="M185" s="341"/>
      <c r="N185" s="342"/>
      <c r="O185" s="342"/>
      <c r="P185" s="342"/>
      <c r="Q185" s="342"/>
      <c r="R185" s="342"/>
      <c r="S185" s="342"/>
      <c r="T185" s="343"/>
      <c r="AT185" s="337" t="s">
        <v>155</v>
      </c>
      <c r="AU185" s="337" t="s">
        <v>83</v>
      </c>
      <c r="AV185" s="335" t="s">
        <v>83</v>
      </c>
      <c r="AW185" s="335" t="s">
        <v>34</v>
      </c>
      <c r="AX185" s="335" t="s">
        <v>76</v>
      </c>
      <c r="AY185" s="337" t="s">
        <v>146</v>
      </c>
    </row>
    <row r="186" spans="2:51" s="347" customFormat="1" ht="12">
      <c r="B186" s="348"/>
      <c r="D186" s="328" t="s">
        <v>155</v>
      </c>
      <c r="E186" s="349" t="s">
        <v>1</v>
      </c>
      <c r="F186" s="356" t="s">
        <v>157</v>
      </c>
      <c r="H186" s="351">
        <f>SUM(H183:H185)</f>
        <v>14.267000000000003</v>
      </c>
      <c r="I186" s="499"/>
      <c r="L186" s="352"/>
      <c r="M186" s="353"/>
      <c r="N186" s="354"/>
      <c r="O186" s="354"/>
      <c r="P186" s="354"/>
      <c r="Q186" s="354"/>
      <c r="R186" s="354"/>
      <c r="S186" s="354"/>
      <c r="T186" s="355"/>
      <c r="AT186" s="349" t="s">
        <v>155</v>
      </c>
      <c r="AU186" s="349" t="s">
        <v>83</v>
      </c>
      <c r="AV186" s="347" t="s">
        <v>153</v>
      </c>
      <c r="AW186" s="347" t="s">
        <v>34</v>
      </c>
      <c r="AX186" s="347" t="s">
        <v>81</v>
      </c>
      <c r="AY186" s="349" t="s">
        <v>146</v>
      </c>
    </row>
    <row r="187" spans="1:65" s="225" customFormat="1" ht="37.9" customHeight="1">
      <c r="A187" s="222"/>
      <c r="B187" s="223"/>
      <c r="C187" s="314">
        <v>6</v>
      </c>
      <c r="D187" s="314" t="s">
        <v>148</v>
      </c>
      <c r="E187" s="315" t="s">
        <v>178</v>
      </c>
      <c r="F187" s="316" t="s">
        <v>179</v>
      </c>
      <c r="G187" s="317" t="s">
        <v>162</v>
      </c>
      <c r="H187" s="318">
        <f>H192</f>
        <v>6.952000000000001</v>
      </c>
      <c r="I187" s="79"/>
      <c r="J187" s="319">
        <f>ROUND(I187*H187,2)</f>
        <v>0</v>
      </c>
      <c r="K187" s="316"/>
      <c r="L187" s="229"/>
      <c r="M187" s="320" t="s">
        <v>1</v>
      </c>
      <c r="N187" s="321" t="s">
        <v>42</v>
      </c>
      <c r="O187" s="322">
        <v>0.411</v>
      </c>
      <c r="P187" s="322">
        <f>O187*H187</f>
        <v>2.857272</v>
      </c>
      <c r="Q187" s="322">
        <v>0</v>
      </c>
      <c r="R187" s="322">
        <f>Q187*H187</f>
        <v>0</v>
      </c>
      <c r="S187" s="322">
        <v>0</v>
      </c>
      <c r="T187" s="323">
        <f>S187*H187</f>
        <v>0</v>
      </c>
      <c r="U187" s="222"/>
      <c r="V187" s="222"/>
      <c r="W187" s="222"/>
      <c r="X187" s="222"/>
      <c r="Y187" s="222"/>
      <c r="Z187" s="222"/>
      <c r="AA187" s="222"/>
      <c r="AB187" s="222"/>
      <c r="AC187" s="222"/>
      <c r="AD187" s="222"/>
      <c r="AE187" s="222"/>
      <c r="AR187" s="324" t="s">
        <v>153</v>
      </c>
      <c r="AT187" s="324" t="s">
        <v>148</v>
      </c>
      <c r="AU187" s="324" t="s">
        <v>83</v>
      </c>
      <c r="AY187" s="214" t="s">
        <v>146</v>
      </c>
      <c r="BE187" s="325">
        <f>IF(N187="základní",J187,0)</f>
        <v>0</v>
      </c>
      <c r="BF187" s="325">
        <f>IF(N187="snížená",J187,0)</f>
        <v>0</v>
      </c>
      <c r="BG187" s="325">
        <f>IF(N187="zákl. přenesená",J187,0)</f>
        <v>0</v>
      </c>
      <c r="BH187" s="325">
        <f>IF(N187="sníž. přenesená",J187,0)</f>
        <v>0</v>
      </c>
      <c r="BI187" s="325">
        <f>IF(N187="nulová",J187,0)</f>
        <v>0</v>
      </c>
      <c r="BJ187" s="214" t="s">
        <v>81</v>
      </c>
      <c r="BK187" s="325">
        <f>ROUND(I187*H187,2)</f>
        <v>0</v>
      </c>
      <c r="BL187" s="214" t="s">
        <v>153</v>
      </c>
      <c r="BM187" s="324" t="s">
        <v>180</v>
      </c>
    </row>
    <row r="188" spans="2:51" s="326" customFormat="1" ht="12">
      <c r="B188" s="327"/>
      <c r="D188" s="328" t="s">
        <v>155</v>
      </c>
      <c r="E188" s="329" t="s">
        <v>1</v>
      </c>
      <c r="F188" s="330" t="s">
        <v>175</v>
      </c>
      <c r="H188" s="329" t="s">
        <v>1</v>
      </c>
      <c r="I188" s="497"/>
      <c r="L188" s="331"/>
      <c r="M188" s="332"/>
      <c r="N188" s="333"/>
      <c r="O188" s="333"/>
      <c r="P188" s="333"/>
      <c r="Q188" s="333"/>
      <c r="R188" s="333"/>
      <c r="S188" s="333"/>
      <c r="T188" s="334"/>
      <c r="AT188" s="329" t="s">
        <v>155</v>
      </c>
      <c r="AU188" s="329" t="s">
        <v>83</v>
      </c>
      <c r="AV188" s="326" t="s">
        <v>81</v>
      </c>
      <c r="AW188" s="326" t="s">
        <v>34</v>
      </c>
      <c r="AX188" s="326" t="s">
        <v>76</v>
      </c>
      <c r="AY188" s="329" t="s">
        <v>146</v>
      </c>
    </row>
    <row r="189" spans="2:51" s="335" customFormat="1" ht="12">
      <c r="B189" s="336"/>
      <c r="D189" s="328" t="s">
        <v>155</v>
      </c>
      <c r="E189" s="337" t="s">
        <v>1</v>
      </c>
      <c r="F189" s="338" t="s">
        <v>2650</v>
      </c>
      <c r="H189" s="339">
        <f>9.9*0.5*(1-0.19-0.25)</f>
        <v>2.7720000000000002</v>
      </c>
      <c r="I189" s="498"/>
      <c r="L189" s="340"/>
      <c r="M189" s="341"/>
      <c r="N189" s="342"/>
      <c r="O189" s="342"/>
      <c r="P189" s="342"/>
      <c r="Q189" s="342"/>
      <c r="R189" s="342"/>
      <c r="S189" s="342"/>
      <c r="T189" s="343"/>
      <c r="AT189" s="337" t="s">
        <v>155</v>
      </c>
      <c r="AU189" s="337" t="s">
        <v>83</v>
      </c>
      <c r="AV189" s="335" t="s">
        <v>83</v>
      </c>
      <c r="AW189" s="335" t="s">
        <v>34</v>
      </c>
      <c r="AX189" s="335" t="s">
        <v>76</v>
      </c>
      <c r="AY189" s="337" t="s">
        <v>146</v>
      </c>
    </row>
    <row r="190" spans="2:51" s="326" customFormat="1" ht="12">
      <c r="B190" s="327"/>
      <c r="D190" s="328" t="s">
        <v>155</v>
      </c>
      <c r="E190" s="329" t="s">
        <v>1</v>
      </c>
      <c r="F190" s="330" t="s">
        <v>2653</v>
      </c>
      <c r="H190" s="329" t="s">
        <v>1</v>
      </c>
      <c r="I190" s="497"/>
      <c r="L190" s="331"/>
      <c r="M190" s="332"/>
      <c r="N190" s="333"/>
      <c r="O190" s="333"/>
      <c r="P190" s="333"/>
      <c r="Q190" s="333"/>
      <c r="R190" s="333"/>
      <c r="S190" s="333"/>
      <c r="T190" s="334"/>
      <c r="AT190" s="329" t="s">
        <v>155</v>
      </c>
      <c r="AU190" s="329" t="s">
        <v>83</v>
      </c>
      <c r="AV190" s="326" t="s">
        <v>81</v>
      </c>
      <c r="AW190" s="326" t="s">
        <v>34</v>
      </c>
      <c r="AX190" s="326" t="s">
        <v>76</v>
      </c>
      <c r="AY190" s="329" t="s">
        <v>146</v>
      </c>
    </row>
    <row r="191" spans="2:51" s="335" customFormat="1" ht="12">
      <c r="B191" s="336"/>
      <c r="D191" s="328" t="s">
        <v>155</v>
      </c>
      <c r="E191" s="337" t="s">
        <v>1</v>
      </c>
      <c r="F191" s="338" t="s">
        <v>2656</v>
      </c>
      <c r="H191" s="339">
        <f>(8.5*0.8+3.3*1+0.5*0.7)*0.4</f>
        <v>4.180000000000001</v>
      </c>
      <c r="I191" s="498"/>
      <c r="L191" s="340"/>
      <c r="M191" s="341"/>
      <c r="N191" s="342"/>
      <c r="O191" s="342"/>
      <c r="P191" s="342"/>
      <c r="Q191" s="342"/>
      <c r="R191" s="342"/>
      <c r="S191" s="342"/>
      <c r="T191" s="343"/>
      <c r="AT191" s="337" t="s">
        <v>155</v>
      </c>
      <c r="AU191" s="337" t="s">
        <v>83</v>
      </c>
      <c r="AV191" s="335" t="s">
        <v>83</v>
      </c>
      <c r="AW191" s="335" t="s">
        <v>34</v>
      </c>
      <c r="AX191" s="335" t="s">
        <v>76</v>
      </c>
      <c r="AY191" s="337" t="s">
        <v>146</v>
      </c>
    </row>
    <row r="192" spans="2:51" s="347" customFormat="1" ht="12">
      <c r="B192" s="348"/>
      <c r="D192" s="328" t="s">
        <v>155</v>
      </c>
      <c r="E192" s="349" t="s">
        <v>1</v>
      </c>
      <c r="F192" s="356" t="s">
        <v>157</v>
      </c>
      <c r="H192" s="351">
        <f>SUM(H189:H191)</f>
        <v>6.952000000000001</v>
      </c>
      <c r="I192" s="499"/>
      <c r="L192" s="352"/>
      <c r="M192" s="353"/>
      <c r="N192" s="354"/>
      <c r="O192" s="354"/>
      <c r="P192" s="354"/>
      <c r="Q192" s="354"/>
      <c r="R192" s="354"/>
      <c r="S192" s="354"/>
      <c r="T192" s="355"/>
      <c r="AT192" s="349" t="s">
        <v>155</v>
      </c>
      <c r="AU192" s="349" t="s">
        <v>83</v>
      </c>
      <c r="AV192" s="347" t="s">
        <v>153</v>
      </c>
      <c r="AW192" s="347" t="s">
        <v>34</v>
      </c>
      <c r="AX192" s="347" t="s">
        <v>81</v>
      </c>
      <c r="AY192" s="349" t="s">
        <v>146</v>
      </c>
    </row>
    <row r="193" spans="1:65" s="225" customFormat="1" ht="37.9" customHeight="1">
      <c r="A193" s="222"/>
      <c r="B193" s="223"/>
      <c r="C193" s="314">
        <v>7</v>
      </c>
      <c r="D193" s="314" t="s">
        <v>148</v>
      </c>
      <c r="E193" s="315" t="s">
        <v>182</v>
      </c>
      <c r="F193" s="316" t="s">
        <v>183</v>
      </c>
      <c r="G193" s="317" t="s">
        <v>162</v>
      </c>
      <c r="H193" s="318">
        <f>H194</f>
        <v>6.952000000000001</v>
      </c>
      <c r="I193" s="79"/>
      <c r="J193" s="319">
        <f>ROUND(I193*H193,2)</f>
        <v>0</v>
      </c>
      <c r="K193" s="316"/>
      <c r="L193" s="229"/>
      <c r="M193" s="320" t="s">
        <v>1</v>
      </c>
      <c r="N193" s="321" t="s">
        <v>42</v>
      </c>
      <c r="O193" s="322">
        <v>0.379</v>
      </c>
      <c r="P193" s="322">
        <f>O193*H193</f>
        <v>2.6348080000000005</v>
      </c>
      <c r="Q193" s="322">
        <v>0</v>
      </c>
      <c r="R193" s="322">
        <f>Q193*H193</f>
        <v>0</v>
      </c>
      <c r="S193" s="322">
        <v>0</v>
      </c>
      <c r="T193" s="323">
        <f>S193*H193</f>
        <v>0</v>
      </c>
      <c r="U193" s="222"/>
      <c r="V193" s="222"/>
      <c r="W193" s="222"/>
      <c r="X193" s="222"/>
      <c r="Y193" s="222"/>
      <c r="Z193" s="222"/>
      <c r="AA193" s="222"/>
      <c r="AB193" s="222"/>
      <c r="AC193" s="222"/>
      <c r="AD193" s="222"/>
      <c r="AE193" s="222"/>
      <c r="AR193" s="324" t="s">
        <v>153</v>
      </c>
      <c r="AT193" s="324" t="s">
        <v>148</v>
      </c>
      <c r="AU193" s="324" t="s">
        <v>83</v>
      </c>
      <c r="AY193" s="214" t="s">
        <v>146</v>
      </c>
      <c r="BE193" s="325">
        <f>IF(N193="základní",J193,0)</f>
        <v>0</v>
      </c>
      <c r="BF193" s="325">
        <f>IF(N193="snížená",J193,0)</f>
        <v>0</v>
      </c>
      <c r="BG193" s="325">
        <f>IF(N193="zákl. přenesená",J193,0)</f>
        <v>0</v>
      </c>
      <c r="BH193" s="325">
        <f>IF(N193="sníž. přenesená",J193,0)</f>
        <v>0</v>
      </c>
      <c r="BI193" s="325">
        <f>IF(N193="nulová",J193,0)</f>
        <v>0</v>
      </c>
      <c r="BJ193" s="214" t="s">
        <v>81</v>
      </c>
      <c r="BK193" s="325">
        <f>ROUND(I193*H193,2)</f>
        <v>0</v>
      </c>
      <c r="BL193" s="214" t="s">
        <v>153</v>
      </c>
      <c r="BM193" s="324" t="s">
        <v>184</v>
      </c>
    </row>
    <row r="194" spans="2:51" s="335" customFormat="1" ht="12">
      <c r="B194" s="336"/>
      <c r="D194" s="328" t="s">
        <v>155</v>
      </c>
      <c r="F194" s="338"/>
      <c r="H194" s="339">
        <f>H187</f>
        <v>6.952000000000001</v>
      </c>
      <c r="I194" s="498"/>
      <c r="L194" s="340"/>
      <c r="M194" s="341"/>
      <c r="N194" s="342"/>
      <c r="O194" s="342"/>
      <c r="P194" s="342"/>
      <c r="Q194" s="342"/>
      <c r="R194" s="342"/>
      <c r="S194" s="342"/>
      <c r="T194" s="343"/>
      <c r="AT194" s="337" t="s">
        <v>155</v>
      </c>
      <c r="AU194" s="337" t="s">
        <v>83</v>
      </c>
      <c r="AV194" s="335" t="s">
        <v>83</v>
      </c>
      <c r="AW194" s="335" t="s">
        <v>3</v>
      </c>
      <c r="AX194" s="335" t="s">
        <v>81</v>
      </c>
      <c r="AY194" s="337" t="s">
        <v>146</v>
      </c>
    </row>
    <row r="195" spans="1:65" s="225" customFormat="1" ht="33" customHeight="1">
      <c r="A195" s="222"/>
      <c r="B195" s="223"/>
      <c r="C195" s="314">
        <v>8</v>
      </c>
      <c r="D195" s="314" t="s">
        <v>148</v>
      </c>
      <c r="E195" s="315" t="s">
        <v>186</v>
      </c>
      <c r="F195" s="316" t="s">
        <v>187</v>
      </c>
      <c r="G195" s="317" t="s">
        <v>162</v>
      </c>
      <c r="H195" s="318">
        <f>H205</f>
        <v>49.8474</v>
      </c>
      <c r="I195" s="79"/>
      <c r="J195" s="319">
        <f>ROUND(I195*H195,2)</f>
        <v>0</v>
      </c>
      <c r="K195" s="316"/>
      <c r="L195" s="229"/>
      <c r="M195" s="320" t="s">
        <v>1</v>
      </c>
      <c r="N195" s="321" t="s">
        <v>42</v>
      </c>
      <c r="O195" s="322">
        <v>0.087</v>
      </c>
      <c r="P195" s="322">
        <f>O195*H195</f>
        <v>4.3367238</v>
      </c>
      <c r="Q195" s="322">
        <v>0</v>
      </c>
      <c r="R195" s="322">
        <f>Q195*H195</f>
        <v>0</v>
      </c>
      <c r="S195" s="322">
        <v>0</v>
      </c>
      <c r="T195" s="323">
        <f>S195*H195</f>
        <v>0</v>
      </c>
      <c r="U195" s="222"/>
      <c r="V195" s="222"/>
      <c r="W195" s="222"/>
      <c r="X195" s="222"/>
      <c r="Y195" s="222"/>
      <c r="Z195" s="222"/>
      <c r="AA195" s="222"/>
      <c r="AB195" s="222"/>
      <c r="AC195" s="222"/>
      <c r="AD195" s="222"/>
      <c r="AE195" s="222"/>
      <c r="AR195" s="324" t="s">
        <v>153</v>
      </c>
      <c r="AT195" s="324" t="s">
        <v>148</v>
      </c>
      <c r="AU195" s="324" t="s">
        <v>83</v>
      </c>
      <c r="AY195" s="214" t="s">
        <v>146</v>
      </c>
      <c r="BE195" s="325">
        <f>IF(N195="základní",J195,0)</f>
        <v>0</v>
      </c>
      <c r="BF195" s="325">
        <f>IF(N195="snížená",J195,0)</f>
        <v>0</v>
      </c>
      <c r="BG195" s="325">
        <f>IF(N195="zákl. přenesená",J195,0)</f>
        <v>0</v>
      </c>
      <c r="BH195" s="325">
        <f>IF(N195="sníž. přenesená",J195,0)</f>
        <v>0</v>
      </c>
      <c r="BI195" s="325">
        <f>IF(N195="nulová",J195,0)</f>
        <v>0</v>
      </c>
      <c r="BJ195" s="214" t="s">
        <v>81</v>
      </c>
      <c r="BK195" s="325">
        <f>ROUND(I195*H195,2)</f>
        <v>0</v>
      </c>
      <c r="BL195" s="214" t="s">
        <v>153</v>
      </c>
      <c r="BM195" s="324" t="s">
        <v>188</v>
      </c>
    </row>
    <row r="196" spans="1:65" s="225" customFormat="1" ht="14.25" customHeight="1">
      <c r="A196" s="222"/>
      <c r="B196" s="223"/>
      <c r="C196" s="314"/>
      <c r="D196" s="314"/>
      <c r="E196" s="315"/>
      <c r="F196" s="330" t="s">
        <v>2658</v>
      </c>
      <c r="G196" s="317"/>
      <c r="H196" s="318">
        <f>21.92-15.34</f>
        <v>6.580000000000002</v>
      </c>
      <c r="I196" s="79"/>
      <c r="J196" s="319"/>
      <c r="K196" s="316"/>
      <c r="L196" s="229"/>
      <c r="M196" s="320"/>
      <c r="N196" s="321"/>
      <c r="O196" s="322"/>
      <c r="P196" s="322"/>
      <c r="Q196" s="322"/>
      <c r="R196" s="322"/>
      <c r="S196" s="322"/>
      <c r="T196" s="323"/>
      <c r="U196" s="222"/>
      <c r="V196" s="222"/>
      <c r="W196" s="222"/>
      <c r="X196" s="222"/>
      <c r="Y196" s="222"/>
      <c r="Z196" s="222"/>
      <c r="AA196" s="222"/>
      <c r="AB196" s="222"/>
      <c r="AC196" s="222"/>
      <c r="AD196" s="222"/>
      <c r="AE196" s="222"/>
      <c r="AR196" s="324"/>
      <c r="AT196" s="324"/>
      <c r="AU196" s="324"/>
      <c r="AY196" s="214"/>
      <c r="BE196" s="325"/>
      <c r="BF196" s="325"/>
      <c r="BG196" s="325"/>
      <c r="BH196" s="325"/>
      <c r="BI196" s="325"/>
      <c r="BJ196" s="214"/>
      <c r="BK196" s="325"/>
      <c r="BL196" s="214"/>
      <c r="BM196" s="324"/>
    </row>
    <row r="197" spans="1:65" s="225" customFormat="1" ht="14.25" customHeight="1">
      <c r="A197" s="222"/>
      <c r="B197" s="223"/>
      <c r="C197" s="314"/>
      <c r="D197" s="314"/>
      <c r="E197" s="315"/>
      <c r="F197" s="330" t="s">
        <v>2762</v>
      </c>
      <c r="G197" s="317"/>
      <c r="H197" s="318">
        <f>28.84-17.304</f>
        <v>11.536000000000001</v>
      </c>
      <c r="I197" s="79"/>
      <c r="J197" s="319"/>
      <c r="K197" s="316"/>
      <c r="L197" s="229"/>
      <c r="M197" s="320"/>
      <c r="N197" s="321"/>
      <c r="O197" s="322"/>
      <c r="P197" s="322"/>
      <c r="Q197" s="322"/>
      <c r="R197" s="322"/>
      <c r="S197" s="322"/>
      <c r="T197" s="323"/>
      <c r="U197" s="222"/>
      <c r="V197" s="222"/>
      <c r="W197" s="222"/>
      <c r="X197" s="222"/>
      <c r="Y197" s="222"/>
      <c r="Z197" s="222"/>
      <c r="AA197" s="222"/>
      <c r="AB197" s="222"/>
      <c r="AC197" s="222"/>
      <c r="AD197" s="222"/>
      <c r="AE197" s="222"/>
      <c r="AR197" s="324"/>
      <c r="AT197" s="324"/>
      <c r="AU197" s="324"/>
      <c r="AY197" s="214"/>
      <c r="BE197" s="325"/>
      <c r="BF197" s="325"/>
      <c r="BG197" s="325"/>
      <c r="BH197" s="325"/>
      <c r="BI197" s="325"/>
      <c r="BJ197" s="214"/>
      <c r="BK197" s="325"/>
      <c r="BL197" s="214"/>
      <c r="BM197" s="324"/>
    </row>
    <row r="198" spans="1:65" s="225" customFormat="1" ht="14.25" customHeight="1">
      <c r="A198" s="222"/>
      <c r="B198" s="223"/>
      <c r="C198" s="314"/>
      <c r="D198" s="314"/>
      <c r="E198" s="315"/>
      <c r="F198" s="330" t="s">
        <v>2669</v>
      </c>
      <c r="G198" s="317"/>
      <c r="H198" s="318">
        <f>H178</f>
        <v>18.711000000000002</v>
      </c>
      <c r="I198" s="79"/>
      <c r="J198" s="319"/>
      <c r="K198" s="316"/>
      <c r="L198" s="229"/>
      <c r="M198" s="320"/>
      <c r="N198" s="321"/>
      <c r="O198" s="322"/>
      <c r="P198" s="322"/>
      <c r="Q198" s="322"/>
      <c r="R198" s="322"/>
      <c r="S198" s="322"/>
      <c r="T198" s="323"/>
      <c r="U198" s="222"/>
      <c r="V198" s="222"/>
      <c r="W198" s="222"/>
      <c r="X198" s="222"/>
      <c r="Y198" s="222"/>
      <c r="Z198" s="222"/>
      <c r="AA198" s="222"/>
      <c r="AB198" s="222"/>
      <c r="AC198" s="222"/>
      <c r="AD198" s="222"/>
      <c r="AE198" s="222"/>
      <c r="AR198" s="324"/>
      <c r="AT198" s="324"/>
      <c r="AU198" s="324"/>
      <c r="AY198" s="214"/>
      <c r="BE198" s="325"/>
      <c r="BF198" s="325"/>
      <c r="BG198" s="325"/>
      <c r="BH198" s="325"/>
      <c r="BI198" s="325"/>
      <c r="BJ198" s="214"/>
      <c r="BK198" s="325"/>
      <c r="BL198" s="214"/>
      <c r="BM198" s="324"/>
    </row>
    <row r="199" spans="1:65" s="225" customFormat="1" ht="14.25" customHeight="1">
      <c r="A199" s="222"/>
      <c r="B199" s="223"/>
      <c r="C199" s="314"/>
      <c r="D199" s="314"/>
      <c r="E199" s="315"/>
      <c r="F199" s="330" t="s">
        <v>2659</v>
      </c>
      <c r="G199" s="317"/>
      <c r="H199" s="318">
        <f>5.498-2.465</f>
        <v>3.0330000000000004</v>
      </c>
      <c r="I199" s="79"/>
      <c r="J199" s="319"/>
      <c r="K199" s="316"/>
      <c r="L199" s="229"/>
      <c r="M199" s="320"/>
      <c r="N199" s="321"/>
      <c r="O199" s="322"/>
      <c r="P199" s="322"/>
      <c r="Q199" s="322"/>
      <c r="R199" s="322"/>
      <c r="S199" s="322"/>
      <c r="T199" s="323"/>
      <c r="U199" s="222"/>
      <c r="V199" s="222"/>
      <c r="W199" s="222"/>
      <c r="X199" s="222"/>
      <c r="Y199" s="222"/>
      <c r="Z199" s="222"/>
      <c r="AA199" s="222"/>
      <c r="AB199" s="222"/>
      <c r="AC199" s="222"/>
      <c r="AD199" s="222"/>
      <c r="AE199" s="222"/>
      <c r="AR199" s="324"/>
      <c r="AT199" s="324"/>
      <c r="AU199" s="324"/>
      <c r="AY199" s="214"/>
      <c r="BE199" s="325"/>
      <c r="BF199" s="325"/>
      <c r="BG199" s="325"/>
      <c r="BH199" s="325"/>
      <c r="BI199" s="325"/>
      <c r="BJ199" s="214"/>
      <c r="BK199" s="325"/>
      <c r="BL199" s="214"/>
      <c r="BM199" s="324"/>
    </row>
    <row r="200" spans="1:65" s="225" customFormat="1" ht="14.25" customHeight="1">
      <c r="A200" s="222"/>
      <c r="B200" s="223"/>
      <c r="C200" s="314"/>
      <c r="D200" s="314"/>
      <c r="E200" s="315"/>
      <c r="F200" s="330" t="s">
        <v>2765</v>
      </c>
      <c r="G200" s="317"/>
      <c r="H200" s="318">
        <f>H172</f>
        <v>0.6528</v>
      </c>
      <c r="I200" s="79"/>
      <c r="J200" s="319"/>
      <c r="K200" s="316"/>
      <c r="L200" s="229"/>
      <c r="M200" s="320"/>
      <c r="N200" s="321"/>
      <c r="O200" s="322"/>
      <c r="P200" s="322"/>
      <c r="Q200" s="322"/>
      <c r="R200" s="322"/>
      <c r="S200" s="322"/>
      <c r="T200" s="323"/>
      <c r="U200" s="222"/>
      <c r="V200" s="222"/>
      <c r="W200" s="222"/>
      <c r="X200" s="222"/>
      <c r="Y200" s="222"/>
      <c r="Z200" s="222"/>
      <c r="AA200" s="222"/>
      <c r="AB200" s="222"/>
      <c r="AC200" s="222"/>
      <c r="AD200" s="222"/>
      <c r="AE200" s="222"/>
      <c r="AR200" s="324"/>
      <c r="AT200" s="324"/>
      <c r="AU200" s="324"/>
      <c r="AY200" s="214"/>
      <c r="BE200" s="325"/>
      <c r="BF200" s="325"/>
      <c r="BG200" s="325"/>
      <c r="BH200" s="325"/>
      <c r="BI200" s="325"/>
      <c r="BJ200" s="214"/>
      <c r="BK200" s="325"/>
      <c r="BL200" s="214"/>
      <c r="BM200" s="324"/>
    </row>
    <row r="201" spans="1:65" s="225" customFormat="1" ht="14.25" customHeight="1">
      <c r="A201" s="222"/>
      <c r="B201" s="223"/>
      <c r="C201" s="314"/>
      <c r="D201" s="314"/>
      <c r="E201" s="315"/>
      <c r="F201" s="330" t="s">
        <v>170</v>
      </c>
      <c r="G201" s="317"/>
      <c r="H201" s="318">
        <f>H174</f>
        <v>2.0826</v>
      </c>
      <c r="I201" s="79"/>
      <c r="J201" s="319"/>
      <c r="K201" s="316"/>
      <c r="L201" s="229"/>
      <c r="M201" s="320"/>
      <c r="N201" s="321"/>
      <c r="O201" s="322"/>
      <c r="P201" s="322"/>
      <c r="Q201" s="322"/>
      <c r="R201" s="322"/>
      <c r="S201" s="322"/>
      <c r="T201" s="323"/>
      <c r="U201" s="222"/>
      <c r="V201" s="222"/>
      <c r="W201" s="222"/>
      <c r="X201" s="222"/>
      <c r="Y201" s="222"/>
      <c r="Z201" s="222"/>
      <c r="AA201" s="222"/>
      <c r="AB201" s="222"/>
      <c r="AC201" s="222"/>
      <c r="AD201" s="222"/>
      <c r="AE201" s="222"/>
      <c r="AR201" s="324"/>
      <c r="AT201" s="324"/>
      <c r="AU201" s="324"/>
      <c r="AY201" s="214"/>
      <c r="BE201" s="325"/>
      <c r="BF201" s="325"/>
      <c r="BG201" s="325"/>
      <c r="BH201" s="325"/>
      <c r="BI201" s="325"/>
      <c r="BJ201" s="214"/>
      <c r="BK201" s="325"/>
      <c r="BL201" s="214"/>
      <c r="BM201" s="324"/>
    </row>
    <row r="202" spans="1:65" s="225" customFormat="1" ht="14.25" customHeight="1">
      <c r="A202" s="222"/>
      <c r="B202" s="223"/>
      <c r="C202" s="314"/>
      <c r="D202" s="314"/>
      <c r="E202" s="315"/>
      <c r="F202" s="330" t="s">
        <v>2661</v>
      </c>
      <c r="G202" s="317"/>
      <c r="H202" s="318">
        <f>1.2-0.9</f>
        <v>0.29999999999999993</v>
      </c>
      <c r="I202" s="79"/>
      <c r="J202" s="319"/>
      <c r="K202" s="316"/>
      <c r="L202" s="229"/>
      <c r="M202" s="320"/>
      <c r="N202" s="321"/>
      <c r="O202" s="322"/>
      <c r="P202" s="322"/>
      <c r="Q202" s="322"/>
      <c r="R202" s="322"/>
      <c r="S202" s="322"/>
      <c r="T202" s="323"/>
      <c r="U202" s="222"/>
      <c r="V202" s="222"/>
      <c r="W202" s="222"/>
      <c r="X202" s="222"/>
      <c r="Y202" s="222"/>
      <c r="Z202" s="222"/>
      <c r="AA202" s="222"/>
      <c r="AB202" s="222"/>
      <c r="AC202" s="222"/>
      <c r="AD202" s="222"/>
      <c r="AE202" s="222"/>
      <c r="AR202" s="324"/>
      <c r="AT202" s="324"/>
      <c r="AU202" s="324"/>
      <c r="AY202" s="214"/>
      <c r="BE202" s="325"/>
      <c r="BF202" s="325"/>
      <c r="BG202" s="325"/>
      <c r="BH202" s="325"/>
      <c r="BI202" s="325"/>
      <c r="BJ202" s="214"/>
      <c r="BK202" s="325"/>
      <c r="BL202" s="214"/>
      <c r="BM202" s="324"/>
    </row>
    <row r="203" spans="1:65" s="225" customFormat="1" ht="14.25" customHeight="1">
      <c r="A203" s="222"/>
      <c r="B203" s="223"/>
      <c r="C203" s="314"/>
      <c r="D203" s="314"/>
      <c r="E203" s="315"/>
      <c r="F203" s="330" t="s">
        <v>2662</v>
      </c>
      <c r="G203" s="317"/>
      <c r="H203" s="318">
        <v>2.772</v>
      </c>
      <c r="I203" s="79"/>
      <c r="J203" s="319"/>
      <c r="K203" s="316"/>
      <c r="L203" s="229"/>
      <c r="M203" s="320"/>
      <c r="N203" s="321"/>
      <c r="O203" s="322"/>
      <c r="P203" s="322"/>
      <c r="Q203" s="322"/>
      <c r="R203" s="322"/>
      <c r="S203" s="322"/>
      <c r="T203" s="323"/>
      <c r="U203" s="222"/>
      <c r="V203" s="222"/>
      <c r="W203" s="222"/>
      <c r="X203" s="222"/>
      <c r="Y203" s="222"/>
      <c r="Z203" s="222"/>
      <c r="AA203" s="222"/>
      <c r="AB203" s="222"/>
      <c r="AC203" s="222"/>
      <c r="AD203" s="222"/>
      <c r="AE203" s="222"/>
      <c r="AR203" s="324"/>
      <c r="AT203" s="324"/>
      <c r="AU203" s="324"/>
      <c r="AY203" s="214"/>
      <c r="BE203" s="325"/>
      <c r="BF203" s="325"/>
      <c r="BG203" s="325"/>
      <c r="BH203" s="325"/>
      <c r="BI203" s="325"/>
      <c r="BJ203" s="214"/>
      <c r="BK203" s="325"/>
      <c r="BL203" s="214"/>
      <c r="BM203" s="324"/>
    </row>
    <row r="204" spans="1:65" s="225" customFormat="1" ht="14.25" customHeight="1">
      <c r="A204" s="222"/>
      <c r="B204" s="223"/>
      <c r="C204" s="314"/>
      <c r="D204" s="314"/>
      <c r="E204" s="315"/>
      <c r="F204" s="330" t="s">
        <v>2663</v>
      </c>
      <c r="G204" s="317"/>
      <c r="H204" s="318">
        <f>11.495-7.315</f>
        <v>4.179999999999999</v>
      </c>
      <c r="I204" s="79"/>
      <c r="J204" s="319"/>
      <c r="K204" s="316"/>
      <c r="L204" s="229"/>
      <c r="M204" s="320"/>
      <c r="N204" s="321"/>
      <c r="O204" s="322"/>
      <c r="P204" s="322"/>
      <c r="Q204" s="322"/>
      <c r="R204" s="322"/>
      <c r="S204" s="322"/>
      <c r="T204" s="323"/>
      <c r="U204" s="222"/>
      <c r="V204" s="222"/>
      <c r="W204" s="222"/>
      <c r="X204" s="222"/>
      <c r="Y204" s="222"/>
      <c r="Z204" s="222"/>
      <c r="AA204" s="222"/>
      <c r="AB204" s="222"/>
      <c r="AC204" s="222"/>
      <c r="AD204" s="222"/>
      <c r="AE204" s="222"/>
      <c r="AR204" s="324"/>
      <c r="AT204" s="324"/>
      <c r="AU204" s="324"/>
      <c r="AY204" s="214"/>
      <c r="BE204" s="325"/>
      <c r="BF204" s="325"/>
      <c r="BG204" s="325"/>
      <c r="BH204" s="325"/>
      <c r="BI204" s="325"/>
      <c r="BJ204" s="214"/>
      <c r="BK204" s="325"/>
      <c r="BL204" s="214"/>
      <c r="BM204" s="324"/>
    </row>
    <row r="205" spans="2:51" s="347" customFormat="1" ht="12">
      <c r="B205" s="348"/>
      <c r="D205" s="328" t="s">
        <v>155</v>
      </c>
      <c r="E205" s="349" t="s">
        <v>1</v>
      </c>
      <c r="F205" s="356" t="s">
        <v>157</v>
      </c>
      <c r="H205" s="351">
        <f>SUM(H196:H204)</f>
        <v>49.8474</v>
      </c>
      <c r="I205" s="499"/>
      <c r="L205" s="352"/>
      <c r="M205" s="353"/>
      <c r="N205" s="354"/>
      <c r="O205" s="354"/>
      <c r="P205" s="354"/>
      <c r="Q205" s="354"/>
      <c r="R205" s="354"/>
      <c r="S205" s="354"/>
      <c r="T205" s="355"/>
      <c r="AT205" s="349" t="s">
        <v>155</v>
      </c>
      <c r="AU205" s="349" t="s">
        <v>83</v>
      </c>
      <c r="AV205" s="347" t="s">
        <v>153</v>
      </c>
      <c r="AW205" s="347" t="s">
        <v>34</v>
      </c>
      <c r="AX205" s="347" t="s">
        <v>81</v>
      </c>
      <c r="AY205" s="349" t="s">
        <v>146</v>
      </c>
    </row>
    <row r="206" spans="1:65" s="225" customFormat="1" ht="24.2" customHeight="1">
      <c r="A206" s="222"/>
      <c r="B206" s="223"/>
      <c r="C206" s="314">
        <v>9</v>
      </c>
      <c r="D206" s="314" t="s">
        <v>148</v>
      </c>
      <c r="E206" s="315" t="s">
        <v>2631</v>
      </c>
      <c r="F206" s="316" t="s">
        <v>2630</v>
      </c>
      <c r="G206" s="317" t="s">
        <v>162</v>
      </c>
      <c r="H206" s="318">
        <f>H195</f>
        <v>49.8474</v>
      </c>
      <c r="I206" s="79"/>
      <c r="J206" s="319">
        <f>ROUND(I206*H206,2)</f>
        <v>0</v>
      </c>
      <c r="K206" s="316"/>
      <c r="L206" s="229"/>
      <c r="M206" s="320" t="s">
        <v>1</v>
      </c>
      <c r="N206" s="321" t="s">
        <v>42</v>
      </c>
      <c r="O206" s="322">
        <v>1.137</v>
      </c>
      <c r="P206" s="322">
        <f>O206*H206</f>
        <v>56.6764938</v>
      </c>
      <c r="Q206" s="322">
        <v>0</v>
      </c>
      <c r="R206" s="322">
        <f>Q206*H206</f>
        <v>0</v>
      </c>
      <c r="S206" s="322">
        <v>0</v>
      </c>
      <c r="T206" s="323">
        <f>S206*H206</f>
        <v>0</v>
      </c>
      <c r="U206" s="222"/>
      <c r="V206" s="222"/>
      <c r="W206" s="222"/>
      <c r="X206" s="222"/>
      <c r="Y206" s="222"/>
      <c r="Z206" s="222"/>
      <c r="AA206" s="222"/>
      <c r="AB206" s="222"/>
      <c r="AC206" s="222"/>
      <c r="AD206" s="222"/>
      <c r="AE206" s="222"/>
      <c r="AR206" s="324" t="s">
        <v>153</v>
      </c>
      <c r="AT206" s="324" t="s">
        <v>148</v>
      </c>
      <c r="AU206" s="324" t="s">
        <v>83</v>
      </c>
      <c r="AY206" s="214" t="s">
        <v>146</v>
      </c>
      <c r="BE206" s="325">
        <f>IF(N206="základní",J206,0)</f>
        <v>0</v>
      </c>
      <c r="BF206" s="325">
        <f>IF(N206="snížená",J206,0)</f>
        <v>0</v>
      </c>
      <c r="BG206" s="325">
        <f>IF(N206="zákl. přenesená",J206,0)</f>
        <v>0</v>
      </c>
      <c r="BH206" s="325">
        <f>IF(N206="sníž. přenesená",J206,0)</f>
        <v>0</v>
      </c>
      <c r="BI206" s="325">
        <f>IF(N206="nulová",J206,0)</f>
        <v>0</v>
      </c>
      <c r="BJ206" s="214" t="s">
        <v>81</v>
      </c>
      <c r="BK206" s="325">
        <f>ROUND(I206*H206,2)</f>
        <v>0</v>
      </c>
      <c r="BL206" s="214" t="s">
        <v>153</v>
      </c>
      <c r="BM206" s="324" t="s">
        <v>190</v>
      </c>
    </row>
    <row r="207" spans="1:65" s="225" customFormat="1" ht="16.5" customHeight="1">
      <c r="A207" s="222"/>
      <c r="B207" s="223"/>
      <c r="C207" s="314">
        <v>10</v>
      </c>
      <c r="D207" s="314" t="s">
        <v>148</v>
      </c>
      <c r="E207" s="315" t="s">
        <v>197</v>
      </c>
      <c r="F207" s="316" t="s">
        <v>2665</v>
      </c>
      <c r="G207" s="317" t="s">
        <v>162</v>
      </c>
      <c r="H207" s="318">
        <f>H206</f>
        <v>49.8474</v>
      </c>
      <c r="I207" s="79"/>
      <c r="J207" s="319">
        <f>ROUND(I207*H207,2)</f>
        <v>0</v>
      </c>
      <c r="K207" s="316"/>
      <c r="L207" s="229"/>
      <c r="M207" s="320" t="s">
        <v>1</v>
      </c>
      <c r="N207" s="321" t="s">
        <v>42</v>
      </c>
      <c r="O207" s="322">
        <v>0.009</v>
      </c>
      <c r="P207" s="322">
        <f>O207*H207</f>
        <v>0.4486266</v>
      </c>
      <c r="Q207" s="322">
        <v>0</v>
      </c>
      <c r="R207" s="322">
        <f>Q207*H207</f>
        <v>0</v>
      </c>
      <c r="S207" s="322">
        <v>0</v>
      </c>
      <c r="T207" s="323">
        <f>S207*H207</f>
        <v>0</v>
      </c>
      <c r="U207" s="222"/>
      <c r="V207" s="222"/>
      <c r="W207" s="222"/>
      <c r="X207" s="222"/>
      <c r="Y207" s="222"/>
      <c r="Z207" s="222"/>
      <c r="AA207" s="222"/>
      <c r="AB207" s="222"/>
      <c r="AC207" s="222"/>
      <c r="AD207" s="222"/>
      <c r="AE207" s="222"/>
      <c r="AR207" s="324" t="s">
        <v>153</v>
      </c>
      <c r="AT207" s="324" t="s">
        <v>148</v>
      </c>
      <c r="AU207" s="324" t="s">
        <v>83</v>
      </c>
      <c r="AY207" s="214" t="s">
        <v>146</v>
      </c>
      <c r="BE207" s="325">
        <f>IF(N207="základní",J207,0)</f>
        <v>0</v>
      </c>
      <c r="BF207" s="325">
        <f>IF(N207="snížená",J207,0)</f>
        <v>0</v>
      </c>
      <c r="BG207" s="325">
        <f>IF(N207="zákl. přenesená",J207,0)</f>
        <v>0</v>
      </c>
      <c r="BH207" s="325">
        <f>IF(N207="sníž. přenesená",J207,0)</f>
        <v>0</v>
      </c>
      <c r="BI207" s="325">
        <f>IF(N207="nulová",J207,0)</f>
        <v>0</v>
      </c>
      <c r="BJ207" s="214" t="s">
        <v>81</v>
      </c>
      <c r="BK207" s="325">
        <f>ROUND(I207*H207,2)</f>
        <v>0</v>
      </c>
      <c r="BL207" s="214" t="s">
        <v>153</v>
      </c>
      <c r="BM207" s="324" t="s">
        <v>198</v>
      </c>
    </row>
    <row r="208" spans="1:65" s="225" customFormat="1" ht="24.2" customHeight="1">
      <c r="A208" s="222"/>
      <c r="B208" s="223"/>
      <c r="C208" s="314">
        <v>11</v>
      </c>
      <c r="D208" s="314" t="s">
        <v>148</v>
      </c>
      <c r="E208" s="315" t="s">
        <v>192</v>
      </c>
      <c r="F208" s="316" t="s">
        <v>193</v>
      </c>
      <c r="G208" s="317" t="s">
        <v>194</v>
      </c>
      <c r="H208" s="318">
        <f>H209</f>
        <v>89.72532</v>
      </c>
      <c r="I208" s="79"/>
      <c r="J208" s="319">
        <f>ROUND(I208*H208,2)</f>
        <v>0</v>
      </c>
      <c r="K208" s="316"/>
      <c r="L208" s="229"/>
      <c r="M208" s="320" t="s">
        <v>1</v>
      </c>
      <c r="N208" s="321" t="s">
        <v>42</v>
      </c>
      <c r="O208" s="322">
        <v>0</v>
      </c>
      <c r="P208" s="322">
        <f>O208*H208</f>
        <v>0</v>
      </c>
      <c r="Q208" s="322">
        <v>0</v>
      </c>
      <c r="R208" s="322">
        <f>Q208*H208</f>
        <v>0</v>
      </c>
      <c r="S208" s="322">
        <v>0</v>
      </c>
      <c r="T208" s="323">
        <f>S208*H208</f>
        <v>0</v>
      </c>
      <c r="U208" s="222"/>
      <c r="V208" s="222"/>
      <c r="W208" s="222"/>
      <c r="X208" s="222"/>
      <c r="Y208" s="222"/>
      <c r="Z208" s="222"/>
      <c r="AA208" s="222"/>
      <c r="AB208" s="222"/>
      <c r="AC208" s="222"/>
      <c r="AD208" s="222"/>
      <c r="AE208" s="222"/>
      <c r="AR208" s="324" t="s">
        <v>153</v>
      </c>
      <c r="AT208" s="324" t="s">
        <v>148</v>
      </c>
      <c r="AU208" s="324" t="s">
        <v>83</v>
      </c>
      <c r="AY208" s="214" t="s">
        <v>146</v>
      </c>
      <c r="BE208" s="325">
        <f>IF(N208="základní",J208,0)</f>
        <v>0</v>
      </c>
      <c r="BF208" s="325">
        <f>IF(N208="snížená",J208,0)</f>
        <v>0</v>
      </c>
      <c r="BG208" s="325">
        <f>IF(N208="zákl. přenesená",J208,0)</f>
        <v>0</v>
      </c>
      <c r="BH208" s="325">
        <f>IF(N208="sníž. přenesená",J208,0)</f>
        <v>0</v>
      </c>
      <c r="BI208" s="325">
        <f>IF(N208="nulová",J208,0)</f>
        <v>0</v>
      </c>
      <c r="BJ208" s="214" t="s">
        <v>81</v>
      </c>
      <c r="BK208" s="325">
        <f>ROUND(I208*H208,2)</f>
        <v>0</v>
      </c>
      <c r="BL208" s="214" t="s">
        <v>153</v>
      </c>
      <c r="BM208" s="324" t="s">
        <v>195</v>
      </c>
    </row>
    <row r="209" spans="2:51" s="335" customFormat="1" ht="12">
      <c r="B209" s="336"/>
      <c r="D209" s="328" t="s">
        <v>155</v>
      </c>
      <c r="F209" s="338" t="s">
        <v>2664</v>
      </c>
      <c r="H209" s="339">
        <f>H207*1.8</f>
        <v>89.72532</v>
      </c>
      <c r="I209" s="498"/>
      <c r="L209" s="340"/>
      <c r="M209" s="341"/>
      <c r="N209" s="342"/>
      <c r="O209" s="342"/>
      <c r="P209" s="342"/>
      <c r="Q209" s="342"/>
      <c r="R209" s="342"/>
      <c r="S209" s="342"/>
      <c r="T209" s="343"/>
      <c r="AT209" s="337" t="s">
        <v>155</v>
      </c>
      <c r="AU209" s="337" t="s">
        <v>83</v>
      </c>
      <c r="AV209" s="335" t="s">
        <v>83</v>
      </c>
      <c r="AW209" s="335" t="s">
        <v>3</v>
      </c>
      <c r="AX209" s="335" t="s">
        <v>81</v>
      </c>
      <c r="AY209" s="337" t="s">
        <v>146</v>
      </c>
    </row>
    <row r="210" ht="12">
      <c r="I210" s="500"/>
    </row>
    <row r="211" spans="1:65" s="225" customFormat="1" ht="24.2" customHeight="1">
      <c r="A211" s="222"/>
      <c r="B211" s="223"/>
      <c r="C211" s="314">
        <v>12</v>
      </c>
      <c r="D211" s="314" t="s">
        <v>148</v>
      </c>
      <c r="E211" s="315" t="s">
        <v>2671</v>
      </c>
      <c r="F211" s="316" t="s">
        <v>2670</v>
      </c>
      <c r="G211" s="317" t="s">
        <v>162</v>
      </c>
      <c r="H211" s="318">
        <f>H222</f>
        <v>36.01256</v>
      </c>
      <c r="I211" s="79"/>
      <c r="J211" s="319">
        <f>ROUND(I211*H211,2)</f>
        <v>0</v>
      </c>
      <c r="K211" s="316"/>
      <c r="L211" s="229"/>
      <c r="M211" s="320" t="s">
        <v>1</v>
      </c>
      <c r="N211" s="321" t="s">
        <v>42</v>
      </c>
      <c r="O211" s="322">
        <v>0.632</v>
      </c>
      <c r="P211" s="322">
        <f>O211*H211</f>
        <v>22.759937920000002</v>
      </c>
      <c r="Q211" s="322">
        <v>0</v>
      </c>
      <c r="R211" s="322">
        <f>Q211*H211</f>
        <v>0</v>
      </c>
      <c r="S211" s="322">
        <v>0</v>
      </c>
      <c r="T211" s="323">
        <f>S211*H211</f>
        <v>0</v>
      </c>
      <c r="U211" s="222"/>
      <c r="V211" s="222"/>
      <c r="W211" s="222"/>
      <c r="X211" s="222"/>
      <c r="Y211" s="222"/>
      <c r="Z211" s="222"/>
      <c r="AA211" s="222"/>
      <c r="AB211" s="222"/>
      <c r="AC211" s="222"/>
      <c r="AD211" s="222"/>
      <c r="AE211" s="222"/>
      <c r="AR211" s="324" t="s">
        <v>153</v>
      </c>
      <c r="AT211" s="324" t="s">
        <v>148</v>
      </c>
      <c r="AU211" s="324" t="s">
        <v>83</v>
      </c>
      <c r="AY211" s="214" t="s">
        <v>146</v>
      </c>
      <c r="BE211" s="325">
        <f>IF(N211="základní",J211,0)</f>
        <v>0</v>
      </c>
      <c r="BF211" s="325">
        <f>IF(N211="snížená",J211,0)</f>
        <v>0</v>
      </c>
      <c r="BG211" s="325">
        <f>IF(N211="zákl. přenesená",J211,0)</f>
        <v>0</v>
      </c>
      <c r="BH211" s="325">
        <f>IF(N211="sníž. přenesená",J211,0)</f>
        <v>0</v>
      </c>
      <c r="BI211" s="325">
        <f>IF(N211="nulová",J211,0)</f>
        <v>0</v>
      </c>
      <c r="BJ211" s="214" t="s">
        <v>81</v>
      </c>
      <c r="BK211" s="325">
        <f>ROUND(I211*H211,2)</f>
        <v>0</v>
      </c>
      <c r="BL211" s="214" t="s">
        <v>153</v>
      </c>
      <c r="BM211" s="324" t="s">
        <v>200</v>
      </c>
    </row>
    <row r="212" spans="2:51" s="326" customFormat="1" ht="12">
      <c r="B212" s="327"/>
      <c r="D212" s="328" t="s">
        <v>155</v>
      </c>
      <c r="E212" s="329" t="s">
        <v>1</v>
      </c>
      <c r="F212" s="330" t="s">
        <v>201</v>
      </c>
      <c r="H212" s="329" t="s">
        <v>1</v>
      </c>
      <c r="I212" s="497"/>
      <c r="L212" s="331"/>
      <c r="M212" s="332"/>
      <c r="N212" s="333"/>
      <c r="O212" s="333"/>
      <c r="P212" s="333"/>
      <c r="Q212" s="333"/>
      <c r="R212" s="333"/>
      <c r="S212" s="333"/>
      <c r="T212" s="334"/>
      <c r="AT212" s="329" t="s">
        <v>155</v>
      </c>
      <c r="AU212" s="329" t="s">
        <v>83</v>
      </c>
      <c r="AV212" s="326" t="s">
        <v>81</v>
      </c>
      <c r="AW212" s="326" t="s">
        <v>34</v>
      </c>
      <c r="AX212" s="326" t="s">
        <v>76</v>
      </c>
      <c r="AY212" s="329" t="s">
        <v>146</v>
      </c>
    </row>
    <row r="213" spans="2:51" s="326" customFormat="1" ht="12">
      <c r="B213" s="327"/>
      <c r="D213" s="328" t="s">
        <v>155</v>
      </c>
      <c r="E213" s="329" t="s">
        <v>1</v>
      </c>
      <c r="F213" s="330" t="s">
        <v>165</v>
      </c>
      <c r="H213" s="329" t="s">
        <v>1</v>
      </c>
      <c r="I213" s="497"/>
      <c r="L213" s="331"/>
      <c r="M213" s="332"/>
      <c r="N213" s="333"/>
      <c r="O213" s="333"/>
      <c r="P213" s="333"/>
      <c r="Q213" s="333"/>
      <c r="R213" s="333"/>
      <c r="S213" s="333"/>
      <c r="T213" s="334"/>
      <c r="AT213" s="329" t="s">
        <v>155</v>
      </c>
      <c r="AU213" s="329" t="s">
        <v>83</v>
      </c>
      <c r="AV213" s="326" t="s">
        <v>81</v>
      </c>
      <c r="AW213" s="326" t="s">
        <v>34</v>
      </c>
      <c r="AX213" s="326" t="s">
        <v>76</v>
      </c>
      <c r="AY213" s="329" t="s">
        <v>146</v>
      </c>
    </row>
    <row r="214" spans="2:51" s="335" customFormat="1" ht="12">
      <c r="B214" s="336"/>
      <c r="D214" s="328" t="s">
        <v>155</v>
      </c>
      <c r="E214" s="337" t="s">
        <v>1</v>
      </c>
      <c r="F214" s="338" t="s">
        <v>202</v>
      </c>
      <c r="H214" s="339">
        <f>(0.8-0.1)*0.4*(14.4+13+27.4)</f>
        <v>15.344000000000001</v>
      </c>
      <c r="I214" s="498"/>
      <c r="L214" s="340"/>
      <c r="M214" s="341"/>
      <c r="N214" s="342"/>
      <c r="O214" s="342"/>
      <c r="P214" s="342"/>
      <c r="Q214" s="342"/>
      <c r="R214" s="342"/>
      <c r="S214" s="342"/>
      <c r="T214" s="343"/>
      <c r="AT214" s="337" t="s">
        <v>155</v>
      </c>
      <c r="AU214" s="337" t="s">
        <v>83</v>
      </c>
      <c r="AV214" s="335" t="s">
        <v>83</v>
      </c>
      <c r="AW214" s="335" t="s">
        <v>34</v>
      </c>
      <c r="AX214" s="335" t="s">
        <v>76</v>
      </c>
      <c r="AY214" s="337" t="s">
        <v>146</v>
      </c>
    </row>
    <row r="215" spans="2:51" s="326" customFormat="1" ht="12">
      <c r="B215" s="327"/>
      <c r="D215" s="328" t="s">
        <v>155</v>
      </c>
      <c r="E215" s="329" t="s">
        <v>1</v>
      </c>
      <c r="F215" s="330" t="s">
        <v>201</v>
      </c>
      <c r="H215" s="329" t="s">
        <v>1</v>
      </c>
      <c r="I215" s="497"/>
      <c r="L215" s="331"/>
      <c r="M215" s="332"/>
      <c r="N215" s="333"/>
      <c r="O215" s="333"/>
      <c r="P215" s="333"/>
      <c r="Q215" s="333"/>
      <c r="R215" s="333"/>
      <c r="S215" s="333"/>
      <c r="T215" s="334"/>
      <c r="AT215" s="329" t="s">
        <v>155</v>
      </c>
      <c r="AU215" s="329" t="s">
        <v>83</v>
      </c>
      <c r="AV215" s="326" t="s">
        <v>81</v>
      </c>
      <c r="AW215" s="326" t="s">
        <v>34</v>
      </c>
      <c r="AX215" s="326" t="s">
        <v>76</v>
      </c>
      <c r="AY215" s="329" t="s">
        <v>146</v>
      </c>
    </row>
    <row r="216" spans="2:51" s="326" customFormat="1" ht="12">
      <c r="B216" s="327"/>
      <c r="D216" s="328" t="s">
        <v>155</v>
      </c>
      <c r="E216" s="329" t="s">
        <v>1</v>
      </c>
      <c r="F216" s="330" t="s">
        <v>168</v>
      </c>
      <c r="H216" s="329" t="s">
        <v>1</v>
      </c>
      <c r="I216" s="497"/>
      <c r="L216" s="331"/>
      <c r="M216" s="332"/>
      <c r="N216" s="333"/>
      <c r="O216" s="333"/>
      <c r="P216" s="333"/>
      <c r="Q216" s="333"/>
      <c r="R216" s="333"/>
      <c r="S216" s="333"/>
      <c r="T216" s="334"/>
      <c r="AT216" s="329" t="s">
        <v>155</v>
      </c>
      <c r="AU216" s="329" t="s">
        <v>83</v>
      </c>
      <c r="AV216" s="326" t="s">
        <v>81</v>
      </c>
      <c r="AW216" s="326" t="s">
        <v>34</v>
      </c>
      <c r="AX216" s="326" t="s">
        <v>76</v>
      </c>
      <c r="AY216" s="329" t="s">
        <v>146</v>
      </c>
    </row>
    <row r="217" spans="2:51" s="335" customFormat="1" ht="12">
      <c r="B217" s="336"/>
      <c r="D217" s="328" t="s">
        <v>155</v>
      </c>
      <c r="E217" s="337" t="s">
        <v>1</v>
      </c>
      <c r="F217" s="338" t="s">
        <v>2761</v>
      </c>
      <c r="H217" s="339">
        <f>(0.8-0.2)*0.4*(35.975+13.25+22.875)</f>
        <v>17.304000000000002</v>
      </c>
      <c r="I217" s="498"/>
      <c r="L217" s="340"/>
      <c r="M217" s="341"/>
      <c r="N217" s="342"/>
      <c r="O217" s="342"/>
      <c r="P217" s="342"/>
      <c r="Q217" s="342"/>
      <c r="R217" s="342"/>
      <c r="S217" s="342"/>
      <c r="T217" s="343"/>
      <c r="AT217" s="337" t="s">
        <v>155</v>
      </c>
      <c r="AU217" s="337" t="s">
        <v>83</v>
      </c>
      <c r="AV217" s="335" t="s">
        <v>83</v>
      </c>
      <c r="AW217" s="335" t="s">
        <v>34</v>
      </c>
      <c r="AX217" s="335" t="s">
        <v>76</v>
      </c>
      <c r="AY217" s="337" t="s">
        <v>146</v>
      </c>
    </row>
    <row r="218" spans="2:51" s="326" customFormat="1" ht="12">
      <c r="B218" s="327"/>
      <c r="D218" s="328" t="s">
        <v>155</v>
      </c>
      <c r="E218" s="329" t="s">
        <v>1</v>
      </c>
      <c r="F218" s="330" t="s">
        <v>245</v>
      </c>
      <c r="H218" s="329" t="s">
        <v>1</v>
      </c>
      <c r="I218" s="497"/>
      <c r="L218" s="331"/>
      <c r="M218" s="332"/>
      <c r="N218" s="333"/>
      <c r="O218" s="333"/>
      <c r="P218" s="333"/>
      <c r="Q218" s="333"/>
      <c r="R218" s="333"/>
      <c r="S218" s="333"/>
      <c r="T218" s="334"/>
      <c r="AT218" s="329" t="s">
        <v>155</v>
      </c>
      <c r="AU218" s="329" t="s">
        <v>83</v>
      </c>
      <c r="AV218" s="326" t="s">
        <v>81</v>
      </c>
      <c r="AW218" s="326" t="s">
        <v>34</v>
      </c>
      <c r="AX218" s="326" t="s">
        <v>76</v>
      </c>
      <c r="AY218" s="329" t="s">
        <v>146</v>
      </c>
    </row>
    <row r="219" spans="2:51" s="335" customFormat="1" ht="12">
      <c r="B219" s="336"/>
      <c r="D219" s="328" t="s">
        <v>155</v>
      </c>
      <c r="E219" s="337" t="s">
        <v>1</v>
      </c>
      <c r="F219" s="338" t="s">
        <v>2657</v>
      </c>
      <c r="H219" s="339">
        <f>1.2*(1.63*1.26)</f>
        <v>2.4645599999999996</v>
      </c>
      <c r="I219" s="498"/>
      <c r="L219" s="340"/>
      <c r="M219" s="341"/>
      <c r="N219" s="342"/>
      <c r="O219" s="342"/>
      <c r="P219" s="342"/>
      <c r="Q219" s="342"/>
      <c r="R219" s="342"/>
      <c r="S219" s="342"/>
      <c r="T219" s="343"/>
      <c r="AT219" s="337" t="s">
        <v>155</v>
      </c>
      <c r="AU219" s="337" t="s">
        <v>83</v>
      </c>
      <c r="AV219" s="335" t="s">
        <v>83</v>
      </c>
      <c r="AW219" s="335" t="s">
        <v>34</v>
      </c>
      <c r="AX219" s="335" t="s">
        <v>76</v>
      </c>
      <c r="AY219" s="337" t="s">
        <v>146</v>
      </c>
    </row>
    <row r="220" spans="2:51" s="326" customFormat="1" ht="12">
      <c r="B220" s="327"/>
      <c r="D220" s="328" t="s">
        <v>155</v>
      </c>
      <c r="E220" s="329" t="s">
        <v>1</v>
      </c>
      <c r="F220" s="330" t="s">
        <v>171</v>
      </c>
      <c r="H220" s="329" t="s">
        <v>1</v>
      </c>
      <c r="I220" s="497"/>
      <c r="L220" s="331"/>
      <c r="M220" s="332"/>
      <c r="N220" s="333"/>
      <c r="O220" s="333"/>
      <c r="P220" s="333"/>
      <c r="Q220" s="333"/>
      <c r="R220" s="333"/>
      <c r="S220" s="333"/>
      <c r="T220" s="334"/>
      <c r="AT220" s="329" t="s">
        <v>155</v>
      </c>
      <c r="AU220" s="329" t="s">
        <v>83</v>
      </c>
      <c r="AV220" s="326" t="s">
        <v>81</v>
      </c>
      <c r="AW220" s="326" t="s">
        <v>34</v>
      </c>
      <c r="AX220" s="326" t="s">
        <v>76</v>
      </c>
      <c r="AY220" s="329" t="s">
        <v>146</v>
      </c>
    </row>
    <row r="221" spans="2:51" s="335" customFormat="1" ht="12">
      <c r="B221" s="336"/>
      <c r="D221" s="328" t="s">
        <v>155</v>
      </c>
      <c r="E221" s="337" t="s">
        <v>1</v>
      </c>
      <c r="F221" s="338" t="s">
        <v>2660</v>
      </c>
      <c r="H221" s="339">
        <f>0.3*5*0.6</f>
        <v>0.8999999999999999</v>
      </c>
      <c r="I221" s="498"/>
      <c r="L221" s="340"/>
      <c r="M221" s="341"/>
      <c r="N221" s="342"/>
      <c r="O221" s="342"/>
      <c r="P221" s="342"/>
      <c r="Q221" s="342"/>
      <c r="R221" s="342"/>
      <c r="S221" s="342"/>
      <c r="T221" s="343"/>
      <c r="AT221" s="337" t="s">
        <v>155</v>
      </c>
      <c r="AU221" s="337" t="s">
        <v>83</v>
      </c>
      <c r="AV221" s="335" t="s">
        <v>83</v>
      </c>
      <c r="AW221" s="335" t="s">
        <v>34</v>
      </c>
      <c r="AX221" s="335" t="s">
        <v>76</v>
      </c>
      <c r="AY221" s="337" t="s">
        <v>146</v>
      </c>
    </row>
    <row r="222" spans="2:51" s="347" customFormat="1" ht="12">
      <c r="B222" s="348"/>
      <c r="D222" s="328" t="s">
        <v>155</v>
      </c>
      <c r="E222" s="349" t="s">
        <v>1</v>
      </c>
      <c r="F222" s="356" t="s">
        <v>157</v>
      </c>
      <c r="H222" s="351">
        <f>SUM(H214:H221)</f>
        <v>36.01256</v>
      </c>
      <c r="I222" s="499"/>
      <c r="L222" s="352"/>
      <c r="M222" s="353"/>
      <c r="N222" s="354"/>
      <c r="O222" s="354"/>
      <c r="P222" s="354"/>
      <c r="Q222" s="354"/>
      <c r="R222" s="354"/>
      <c r="S222" s="354"/>
      <c r="T222" s="355"/>
      <c r="AT222" s="349" t="s">
        <v>155</v>
      </c>
      <c r="AU222" s="349" t="s">
        <v>83</v>
      </c>
      <c r="AV222" s="347" t="s">
        <v>153</v>
      </c>
      <c r="AW222" s="347" t="s">
        <v>34</v>
      </c>
      <c r="AX222" s="347" t="s">
        <v>81</v>
      </c>
      <c r="AY222" s="349" t="s">
        <v>146</v>
      </c>
    </row>
    <row r="223" spans="1:65" s="225" customFormat="1" ht="33" customHeight="1">
      <c r="A223" s="222"/>
      <c r="B223" s="223"/>
      <c r="C223" s="314">
        <v>13</v>
      </c>
      <c r="D223" s="314" t="s">
        <v>148</v>
      </c>
      <c r="E223" s="315" t="s">
        <v>204</v>
      </c>
      <c r="F223" s="316" t="s">
        <v>205</v>
      </c>
      <c r="G223" s="317" t="s">
        <v>162</v>
      </c>
      <c r="H223" s="318">
        <f>H226</f>
        <v>7.315</v>
      </c>
      <c r="I223" s="79"/>
      <c r="J223" s="319">
        <f>ROUND(I223*H223,2)</f>
        <v>0</v>
      </c>
      <c r="K223" s="316"/>
      <c r="L223" s="229"/>
      <c r="M223" s="320" t="s">
        <v>1</v>
      </c>
      <c r="N223" s="321" t="s">
        <v>42</v>
      </c>
      <c r="O223" s="322">
        <v>0.797</v>
      </c>
      <c r="P223" s="322">
        <f>O223*H223</f>
        <v>5.830055000000001</v>
      </c>
      <c r="Q223" s="322">
        <v>0</v>
      </c>
      <c r="R223" s="322">
        <f>Q223*H223</f>
        <v>0</v>
      </c>
      <c r="S223" s="322">
        <v>0</v>
      </c>
      <c r="T223" s="323">
        <f>S223*H223</f>
        <v>0</v>
      </c>
      <c r="U223" s="222"/>
      <c r="V223" s="222"/>
      <c r="W223" s="222"/>
      <c r="X223" s="222"/>
      <c r="Y223" s="222"/>
      <c r="Z223" s="222"/>
      <c r="AA223" s="222"/>
      <c r="AB223" s="222"/>
      <c r="AC223" s="222"/>
      <c r="AD223" s="222"/>
      <c r="AE223" s="222"/>
      <c r="AR223" s="324" t="s">
        <v>153</v>
      </c>
      <c r="AT223" s="324" t="s">
        <v>148</v>
      </c>
      <c r="AU223" s="324" t="s">
        <v>83</v>
      </c>
      <c r="AY223" s="214" t="s">
        <v>146</v>
      </c>
      <c r="BE223" s="325">
        <f>IF(N223="základní",J223,0)</f>
        <v>0</v>
      </c>
      <c r="BF223" s="325">
        <f>IF(N223="snížená",J223,0)</f>
        <v>0</v>
      </c>
      <c r="BG223" s="325">
        <f>IF(N223="zákl. přenesená",J223,0)</f>
        <v>0</v>
      </c>
      <c r="BH223" s="325">
        <f>IF(N223="sníž. přenesená",J223,0)</f>
        <v>0</v>
      </c>
      <c r="BI223" s="325">
        <f>IF(N223="nulová",J223,0)</f>
        <v>0</v>
      </c>
      <c r="BJ223" s="214" t="s">
        <v>81</v>
      </c>
      <c r="BK223" s="325">
        <f>ROUND(I223*H223,2)</f>
        <v>0</v>
      </c>
      <c r="BL223" s="214" t="s">
        <v>153</v>
      </c>
      <c r="BM223" s="324" t="s">
        <v>206</v>
      </c>
    </row>
    <row r="224" spans="2:51" s="326" customFormat="1" ht="12">
      <c r="B224" s="327"/>
      <c r="D224" s="328" t="s">
        <v>155</v>
      </c>
      <c r="E224" s="329" t="s">
        <v>1</v>
      </c>
      <c r="F224" s="330" t="s">
        <v>2653</v>
      </c>
      <c r="H224" s="329" t="s">
        <v>1</v>
      </c>
      <c r="I224" s="497"/>
      <c r="L224" s="331"/>
      <c r="M224" s="332"/>
      <c r="N224" s="333"/>
      <c r="O224" s="333"/>
      <c r="P224" s="333"/>
      <c r="Q224" s="333"/>
      <c r="R224" s="333"/>
      <c r="S224" s="333"/>
      <c r="T224" s="334"/>
      <c r="AT224" s="329" t="s">
        <v>155</v>
      </c>
      <c r="AU224" s="329" t="s">
        <v>83</v>
      </c>
      <c r="AV224" s="326" t="s">
        <v>81</v>
      </c>
      <c r="AW224" s="326" t="s">
        <v>34</v>
      </c>
      <c r="AX224" s="326" t="s">
        <v>76</v>
      </c>
      <c r="AY224" s="329" t="s">
        <v>146</v>
      </c>
    </row>
    <row r="225" spans="2:51" s="335" customFormat="1" ht="12">
      <c r="B225" s="336"/>
      <c r="D225" s="328" t="s">
        <v>155</v>
      </c>
      <c r="E225" s="337" t="s">
        <v>1</v>
      </c>
      <c r="F225" s="338" t="s">
        <v>2655</v>
      </c>
      <c r="H225" s="339">
        <f>(8.5*0.8+3.3*1+0.5*0.7)*0.7</f>
        <v>7.315</v>
      </c>
      <c r="I225" s="498"/>
      <c r="L225" s="340"/>
      <c r="M225" s="341"/>
      <c r="N225" s="342"/>
      <c r="O225" s="342"/>
      <c r="P225" s="342"/>
      <c r="Q225" s="342"/>
      <c r="R225" s="342"/>
      <c r="S225" s="342"/>
      <c r="T225" s="343"/>
      <c r="AT225" s="337" t="s">
        <v>155</v>
      </c>
      <c r="AU225" s="337" t="s">
        <v>83</v>
      </c>
      <c r="AV225" s="335" t="s">
        <v>83</v>
      </c>
      <c r="AW225" s="335" t="s">
        <v>34</v>
      </c>
      <c r="AX225" s="335" t="s">
        <v>76</v>
      </c>
      <c r="AY225" s="337" t="s">
        <v>146</v>
      </c>
    </row>
    <row r="226" spans="2:51" s="347" customFormat="1" ht="12">
      <c r="B226" s="348"/>
      <c r="D226" s="328" t="s">
        <v>155</v>
      </c>
      <c r="E226" s="349" t="s">
        <v>1</v>
      </c>
      <c r="F226" s="356" t="s">
        <v>157</v>
      </c>
      <c r="H226" s="351">
        <f>H225</f>
        <v>7.315</v>
      </c>
      <c r="I226" s="499"/>
      <c r="L226" s="352"/>
      <c r="M226" s="353"/>
      <c r="N226" s="354"/>
      <c r="O226" s="354"/>
      <c r="P226" s="354"/>
      <c r="Q226" s="354"/>
      <c r="R226" s="354"/>
      <c r="S226" s="354"/>
      <c r="T226" s="355"/>
      <c r="AT226" s="349" t="s">
        <v>155</v>
      </c>
      <c r="AU226" s="349" t="s">
        <v>83</v>
      </c>
      <c r="AV226" s="347" t="s">
        <v>153</v>
      </c>
      <c r="AW226" s="347" t="s">
        <v>34</v>
      </c>
      <c r="AX226" s="347" t="s">
        <v>81</v>
      </c>
      <c r="AY226" s="349" t="s">
        <v>146</v>
      </c>
    </row>
    <row r="227" spans="1:65" s="225" customFormat="1" ht="24.2" customHeight="1">
      <c r="A227" s="222"/>
      <c r="B227" s="223"/>
      <c r="C227" s="314">
        <v>14</v>
      </c>
      <c r="D227" s="314" t="s">
        <v>148</v>
      </c>
      <c r="E227" s="315" t="s">
        <v>2835</v>
      </c>
      <c r="F227" s="344" t="s">
        <v>2836</v>
      </c>
      <c r="G227" s="317" t="s">
        <v>151</v>
      </c>
      <c r="H227" s="318">
        <f>H230</f>
        <v>88.9</v>
      </c>
      <c r="I227" s="79"/>
      <c r="J227" s="319">
        <f>ROUND(I227*H227,2)</f>
        <v>0</v>
      </c>
      <c r="K227" s="316"/>
      <c r="L227" s="229"/>
      <c r="M227" s="320" t="s">
        <v>1</v>
      </c>
      <c r="N227" s="321" t="s">
        <v>42</v>
      </c>
      <c r="O227" s="322">
        <v>0.668</v>
      </c>
      <c r="P227" s="322">
        <f>O227*H227</f>
        <v>59.385200000000005</v>
      </c>
      <c r="Q227" s="322">
        <v>0</v>
      </c>
      <c r="R227" s="322">
        <f>Q227*H227</f>
        <v>0</v>
      </c>
      <c r="S227" s="322">
        <v>0</v>
      </c>
      <c r="T227" s="323">
        <f>S227*H227</f>
        <v>0</v>
      </c>
      <c r="U227" s="222"/>
      <c r="V227" s="222"/>
      <c r="W227" s="222"/>
      <c r="X227" s="222"/>
      <c r="Y227" s="222"/>
      <c r="Z227" s="222"/>
      <c r="AA227" s="222"/>
      <c r="AB227" s="222"/>
      <c r="AC227" s="222"/>
      <c r="AD227" s="222"/>
      <c r="AE227" s="222"/>
      <c r="AR227" s="324" t="s">
        <v>153</v>
      </c>
      <c r="AT227" s="324" t="s">
        <v>148</v>
      </c>
      <c r="AU227" s="324" t="s">
        <v>83</v>
      </c>
      <c r="AY227" s="214" t="s">
        <v>146</v>
      </c>
      <c r="BE227" s="325">
        <f>IF(N227="základní",J227,0)</f>
        <v>0</v>
      </c>
      <c r="BF227" s="325">
        <f>IF(N227="snížená",J227,0)</f>
        <v>0</v>
      </c>
      <c r="BG227" s="325">
        <f>IF(N227="zákl. přenesená",J227,0)</f>
        <v>0</v>
      </c>
      <c r="BH227" s="325">
        <f>IF(N227="sníž. přenesená",J227,0)</f>
        <v>0</v>
      </c>
      <c r="BI227" s="325">
        <f>IF(N227="nulová",J227,0)</f>
        <v>0</v>
      </c>
      <c r="BJ227" s="214" t="s">
        <v>81</v>
      </c>
      <c r="BK227" s="325">
        <f>ROUND(I227*H227,2)</f>
        <v>0</v>
      </c>
      <c r="BL227" s="214" t="s">
        <v>153</v>
      </c>
      <c r="BM227" s="324" t="s">
        <v>210</v>
      </c>
    </row>
    <row r="228" spans="2:51" s="326" customFormat="1" ht="22.5">
      <c r="B228" s="327"/>
      <c r="D228" s="328" t="s">
        <v>155</v>
      </c>
      <c r="E228" s="329" t="s">
        <v>1</v>
      </c>
      <c r="F228" s="345" t="s">
        <v>211</v>
      </c>
      <c r="H228" s="329" t="s">
        <v>1</v>
      </c>
      <c r="I228" s="497"/>
      <c r="L228" s="331"/>
      <c r="M228" s="332"/>
      <c r="N228" s="333"/>
      <c r="O228" s="333"/>
      <c r="P228" s="333"/>
      <c r="Q228" s="333"/>
      <c r="R228" s="333"/>
      <c r="S228" s="333"/>
      <c r="T228" s="334"/>
      <c r="AT228" s="329" t="s">
        <v>155</v>
      </c>
      <c r="AU228" s="329" t="s">
        <v>83</v>
      </c>
      <c r="AV228" s="326" t="s">
        <v>81</v>
      </c>
      <c r="AW228" s="326" t="s">
        <v>34</v>
      </c>
      <c r="AX228" s="326" t="s">
        <v>76</v>
      </c>
      <c r="AY228" s="329" t="s">
        <v>146</v>
      </c>
    </row>
    <row r="229" spans="2:51" s="335" customFormat="1" ht="12">
      <c r="B229" s="336"/>
      <c r="D229" s="328" t="s">
        <v>155</v>
      </c>
      <c r="E229" s="337" t="s">
        <v>1</v>
      </c>
      <c r="F229" s="316" t="s">
        <v>3936</v>
      </c>
      <c r="H229" s="339">
        <f>(12.7+11+28.05+10.45+8.5+8.15+10.05)*1</f>
        <v>88.9</v>
      </c>
      <c r="I229" s="498"/>
      <c r="L229" s="340"/>
      <c r="M229" s="341"/>
      <c r="N229" s="342"/>
      <c r="O229" s="342"/>
      <c r="P229" s="342"/>
      <c r="Q229" s="342"/>
      <c r="R229" s="342"/>
      <c r="S229" s="342"/>
      <c r="T229" s="343"/>
      <c r="AT229" s="337" t="s">
        <v>155</v>
      </c>
      <c r="AU229" s="337" t="s">
        <v>83</v>
      </c>
      <c r="AV229" s="335" t="s">
        <v>83</v>
      </c>
      <c r="AW229" s="335" t="s">
        <v>34</v>
      </c>
      <c r="AX229" s="335" t="s">
        <v>76</v>
      </c>
      <c r="AY229" s="337" t="s">
        <v>146</v>
      </c>
    </row>
    <row r="230" spans="2:51" s="347" customFormat="1" ht="12">
      <c r="B230" s="348"/>
      <c r="D230" s="328" t="s">
        <v>155</v>
      </c>
      <c r="E230" s="349" t="s">
        <v>1</v>
      </c>
      <c r="F230" s="350" t="s">
        <v>157</v>
      </c>
      <c r="H230" s="351">
        <f>H229</f>
        <v>88.9</v>
      </c>
      <c r="I230" s="499"/>
      <c r="L230" s="352"/>
      <c r="M230" s="353"/>
      <c r="N230" s="354"/>
      <c r="O230" s="354"/>
      <c r="P230" s="354"/>
      <c r="Q230" s="354"/>
      <c r="R230" s="354"/>
      <c r="S230" s="354"/>
      <c r="T230" s="355"/>
      <c r="AT230" s="349" t="s">
        <v>155</v>
      </c>
      <c r="AU230" s="349" t="s">
        <v>83</v>
      </c>
      <c r="AV230" s="347" t="s">
        <v>153</v>
      </c>
      <c r="AW230" s="347" t="s">
        <v>34</v>
      </c>
      <c r="AX230" s="347" t="s">
        <v>81</v>
      </c>
      <c r="AY230" s="349" t="s">
        <v>146</v>
      </c>
    </row>
    <row r="231" spans="1:65" s="225" customFormat="1" ht="24.2" customHeight="1">
      <c r="A231" s="222"/>
      <c r="B231" s="223"/>
      <c r="C231" s="314">
        <v>15</v>
      </c>
      <c r="D231" s="314" t="s">
        <v>148</v>
      </c>
      <c r="E231" s="315" t="s">
        <v>214</v>
      </c>
      <c r="F231" s="344" t="s">
        <v>215</v>
      </c>
      <c r="G231" s="317" t="s">
        <v>151</v>
      </c>
      <c r="H231" s="318">
        <f>H227</f>
        <v>88.9</v>
      </c>
      <c r="I231" s="79"/>
      <c r="J231" s="319">
        <f>ROUND(I231*H231,2)</f>
        <v>0</v>
      </c>
      <c r="K231" s="316"/>
      <c r="L231" s="229"/>
      <c r="M231" s="320" t="s">
        <v>1</v>
      </c>
      <c r="N231" s="321" t="s">
        <v>42</v>
      </c>
      <c r="O231" s="322">
        <v>0.058</v>
      </c>
      <c r="P231" s="322">
        <f>O231*H231</f>
        <v>5.156200000000001</v>
      </c>
      <c r="Q231" s="322">
        <v>0</v>
      </c>
      <c r="R231" s="322">
        <f>Q231*H231</f>
        <v>0</v>
      </c>
      <c r="S231" s="322">
        <v>0</v>
      </c>
      <c r="T231" s="323">
        <f>S231*H231</f>
        <v>0</v>
      </c>
      <c r="U231" s="222"/>
      <c r="V231" s="222"/>
      <c r="W231" s="222"/>
      <c r="X231" s="222"/>
      <c r="Y231" s="222"/>
      <c r="Z231" s="222"/>
      <c r="AA231" s="222"/>
      <c r="AB231" s="222"/>
      <c r="AC231" s="222"/>
      <c r="AD231" s="222"/>
      <c r="AE231" s="222"/>
      <c r="AR231" s="324" t="s">
        <v>153</v>
      </c>
      <c r="AT231" s="324" t="s">
        <v>148</v>
      </c>
      <c r="AU231" s="324" t="s">
        <v>83</v>
      </c>
      <c r="AY231" s="214" t="s">
        <v>146</v>
      </c>
      <c r="BE231" s="325">
        <f>IF(N231="základní",J231,0)</f>
        <v>0</v>
      </c>
      <c r="BF231" s="325">
        <f>IF(N231="snížená",J231,0)</f>
        <v>0</v>
      </c>
      <c r="BG231" s="325">
        <f>IF(N231="zákl. přenesená",J231,0)</f>
        <v>0</v>
      </c>
      <c r="BH231" s="325">
        <f>IF(N231="sníž. přenesená",J231,0)</f>
        <v>0</v>
      </c>
      <c r="BI231" s="325">
        <f>IF(N231="nulová",J231,0)</f>
        <v>0</v>
      </c>
      <c r="BJ231" s="214" t="s">
        <v>81</v>
      </c>
      <c r="BK231" s="325">
        <f>ROUND(I231*H231,2)</f>
        <v>0</v>
      </c>
      <c r="BL231" s="214" t="s">
        <v>153</v>
      </c>
      <c r="BM231" s="324" t="s">
        <v>216</v>
      </c>
    </row>
    <row r="232" spans="1:65" s="225" customFormat="1" ht="16.5" customHeight="1">
      <c r="A232" s="222"/>
      <c r="B232" s="223"/>
      <c r="C232" s="358">
        <v>16</v>
      </c>
      <c r="D232" s="358" t="s">
        <v>208</v>
      </c>
      <c r="E232" s="359" t="s">
        <v>218</v>
      </c>
      <c r="F232" s="360" t="s">
        <v>219</v>
      </c>
      <c r="G232" s="361" t="s">
        <v>220</v>
      </c>
      <c r="H232" s="362">
        <f>H233</f>
        <v>1.7780000000000002</v>
      </c>
      <c r="I232" s="80"/>
      <c r="J232" s="363">
        <f>ROUND(I232*H232,2)</f>
        <v>0</v>
      </c>
      <c r="K232" s="364"/>
      <c r="L232" s="365"/>
      <c r="M232" s="366" t="s">
        <v>1</v>
      </c>
      <c r="N232" s="367" t="s">
        <v>42</v>
      </c>
      <c r="O232" s="322">
        <v>0</v>
      </c>
      <c r="P232" s="322">
        <f>O232*H232</f>
        <v>0</v>
      </c>
      <c r="Q232" s="322">
        <v>0.001</v>
      </c>
      <c r="R232" s="322">
        <f>Q232*H232</f>
        <v>0.0017780000000000003</v>
      </c>
      <c r="S232" s="322">
        <v>0</v>
      </c>
      <c r="T232" s="323">
        <f>S232*H232</f>
        <v>0</v>
      </c>
      <c r="U232" s="222"/>
      <c r="V232" s="222"/>
      <c r="W232" s="222"/>
      <c r="X232" s="222"/>
      <c r="Y232" s="222"/>
      <c r="Z232" s="222"/>
      <c r="AA232" s="222"/>
      <c r="AB232" s="222"/>
      <c r="AC232" s="222"/>
      <c r="AD232" s="222"/>
      <c r="AE232" s="222"/>
      <c r="AR232" s="324" t="s">
        <v>189</v>
      </c>
      <c r="AT232" s="324" t="s">
        <v>208</v>
      </c>
      <c r="AU232" s="324" t="s">
        <v>83</v>
      </c>
      <c r="AY232" s="214" t="s">
        <v>146</v>
      </c>
      <c r="BE232" s="325">
        <f>IF(N232="základní",J232,0)</f>
        <v>0</v>
      </c>
      <c r="BF232" s="325">
        <f>IF(N232="snížená",J232,0)</f>
        <v>0</v>
      </c>
      <c r="BG232" s="325">
        <f>IF(N232="zákl. přenesená",J232,0)</f>
        <v>0</v>
      </c>
      <c r="BH232" s="325">
        <f>IF(N232="sníž. přenesená",J232,0)</f>
        <v>0</v>
      </c>
      <c r="BI232" s="325">
        <f>IF(N232="nulová",J232,0)</f>
        <v>0</v>
      </c>
      <c r="BJ232" s="214" t="s">
        <v>81</v>
      </c>
      <c r="BK232" s="325">
        <f>ROUND(I232*H232,2)</f>
        <v>0</v>
      </c>
      <c r="BL232" s="214" t="s">
        <v>153</v>
      </c>
      <c r="BM232" s="324" t="s">
        <v>221</v>
      </c>
    </row>
    <row r="233" spans="2:51" s="335" customFormat="1" ht="12">
      <c r="B233" s="336"/>
      <c r="D233" s="328" t="s">
        <v>155</v>
      </c>
      <c r="F233" s="346" t="s">
        <v>2763</v>
      </c>
      <c r="H233" s="339">
        <f>H231*0.02</f>
        <v>1.7780000000000002</v>
      </c>
      <c r="I233" s="498"/>
      <c r="L233" s="340"/>
      <c r="M233" s="341"/>
      <c r="N233" s="342"/>
      <c r="O233" s="342"/>
      <c r="P233" s="342"/>
      <c r="Q233" s="342"/>
      <c r="R233" s="342"/>
      <c r="S233" s="342"/>
      <c r="T233" s="343"/>
      <c r="AT233" s="337" t="s">
        <v>155</v>
      </c>
      <c r="AU233" s="337" t="s">
        <v>83</v>
      </c>
      <c r="AV233" s="335" t="s">
        <v>83</v>
      </c>
      <c r="AW233" s="335" t="s">
        <v>3</v>
      </c>
      <c r="AX233" s="335" t="s">
        <v>81</v>
      </c>
      <c r="AY233" s="337" t="s">
        <v>146</v>
      </c>
    </row>
    <row r="234" spans="1:65" s="225" customFormat="1" ht="24.2" customHeight="1">
      <c r="A234" s="222"/>
      <c r="B234" s="223"/>
      <c r="C234" s="314">
        <v>17</v>
      </c>
      <c r="D234" s="314" t="s">
        <v>148</v>
      </c>
      <c r="E234" s="315" t="s">
        <v>223</v>
      </c>
      <c r="F234" s="316" t="s">
        <v>224</v>
      </c>
      <c r="G234" s="317" t="s">
        <v>151</v>
      </c>
      <c r="H234" s="318">
        <f>H239</f>
        <v>112.05</v>
      </c>
      <c r="I234" s="79"/>
      <c r="J234" s="319">
        <f>ROUND(I234*H234,2)</f>
        <v>0</v>
      </c>
      <c r="K234" s="316"/>
      <c r="L234" s="229"/>
      <c r="M234" s="320" t="s">
        <v>1</v>
      </c>
      <c r="N234" s="321" t="s">
        <v>42</v>
      </c>
      <c r="O234" s="322">
        <v>0.025</v>
      </c>
      <c r="P234" s="322">
        <f>O234*H234</f>
        <v>2.80125</v>
      </c>
      <c r="Q234" s="322">
        <v>0</v>
      </c>
      <c r="R234" s="322">
        <f>Q234*H234</f>
        <v>0</v>
      </c>
      <c r="S234" s="322">
        <v>0</v>
      </c>
      <c r="T234" s="323">
        <f>S234*H234</f>
        <v>0</v>
      </c>
      <c r="U234" s="222"/>
      <c r="V234" s="222"/>
      <c r="W234" s="222"/>
      <c r="X234" s="222"/>
      <c r="Y234" s="222"/>
      <c r="Z234" s="222"/>
      <c r="AA234" s="222"/>
      <c r="AB234" s="222"/>
      <c r="AC234" s="222"/>
      <c r="AD234" s="222"/>
      <c r="AE234" s="222"/>
      <c r="AR234" s="324" t="s">
        <v>153</v>
      </c>
      <c r="AT234" s="324" t="s">
        <v>148</v>
      </c>
      <c r="AU234" s="324" t="s">
        <v>83</v>
      </c>
      <c r="AY234" s="214" t="s">
        <v>146</v>
      </c>
      <c r="BE234" s="325">
        <f>IF(N234="základní",J234,0)</f>
        <v>0</v>
      </c>
      <c r="BF234" s="325">
        <f>IF(N234="snížená",J234,0)</f>
        <v>0</v>
      </c>
      <c r="BG234" s="325">
        <f>IF(N234="zákl. přenesená",J234,0)</f>
        <v>0</v>
      </c>
      <c r="BH234" s="325">
        <f>IF(N234="sníž. přenesená",J234,0)</f>
        <v>0</v>
      </c>
      <c r="BI234" s="325">
        <f>IF(N234="nulová",J234,0)</f>
        <v>0</v>
      </c>
      <c r="BJ234" s="214" t="s">
        <v>81</v>
      </c>
      <c r="BK234" s="325">
        <f>ROUND(I234*H234,2)</f>
        <v>0</v>
      </c>
      <c r="BL234" s="214" t="s">
        <v>153</v>
      </c>
      <c r="BM234" s="324" t="s">
        <v>225</v>
      </c>
    </row>
    <row r="235" spans="2:51" s="326" customFormat="1" ht="12">
      <c r="B235" s="327"/>
      <c r="D235" s="328" t="s">
        <v>155</v>
      </c>
      <c r="E235" s="329" t="s">
        <v>1</v>
      </c>
      <c r="F235" s="330" t="s">
        <v>2669</v>
      </c>
      <c r="H235" s="329" t="s">
        <v>1</v>
      </c>
      <c r="I235" s="497"/>
      <c r="L235" s="331"/>
      <c r="M235" s="332"/>
      <c r="N235" s="333"/>
      <c r="O235" s="333"/>
      <c r="P235" s="333"/>
      <c r="Q235" s="333"/>
      <c r="R235" s="333"/>
      <c r="S235" s="333"/>
      <c r="T235" s="334"/>
      <c r="AT235" s="329" t="s">
        <v>155</v>
      </c>
      <c r="AU235" s="329" t="s">
        <v>83</v>
      </c>
      <c r="AV235" s="326" t="s">
        <v>81</v>
      </c>
      <c r="AW235" s="326" t="s">
        <v>34</v>
      </c>
      <c r="AX235" s="326" t="s">
        <v>76</v>
      </c>
      <c r="AY235" s="329" t="s">
        <v>146</v>
      </c>
    </row>
    <row r="236" spans="2:51" s="335" customFormat="1" ht="12">
      <c r="B236" s="336"/>
      <c r="D236" s="328" t="s">
        <v>155</v>
      </c>
      <c r="E236" s="337" t="s">
        <v>1</v>
      </c>
      <c r="F236" s="338" t="s">
        <v>2672</v>
      </c>
      <c r="H236" s="339">
        <f>13.5*6.3</f>
        <v>85.05</v>
      </c>
      <c r="I236" s="498"/>
      <c r="L236" s="340"/>
      <c r="M236" s="341"/>
      <c r="N236" s="342"/>
      <c r="O236" s="342"/>
      <c r="P236" s="342"/>
      <c r="Q236" s="342"/>
      <c r="R236" s="342"/>
      <c r="S236" s="342"/>
      <c r="T236" s="343"/>
      <c r="AT236" s="337" t="s">
        <v>155</v>
      </c>
      <c r="AU236" s="337" t="s">
        <v>83</v>
      </c>
      <c r="AV236" s="335" t="s">
        <v>83</v>
      </c>
      <c r="AW236" s="335" t="s">
        <v>34</v>
      </c>
      <c r="AX236" s="335" t="s">
        <v>76</v>
      </c>
      <c r="AY236" s="337" t="s">
        <v>146</v>
      </c>
    </row>
    <row r="237" spans="2:51" s="326" customFormat="1" ht="12">
      <c r="B237" s="327"/>
      <c r="D237" s="328" t="s">
        <v>155</v>
      </c>
      <c r="E237" s="329" t="s">
        <v>1</v>
      </c>
      <c r="F237" s="330" t="s">
        <v>226</v>
      </c>
      <c r="H237" s="329" t="s">
        <v>1</v>
      </c>
      <c r="I237" s="497"/>
      <c r="L237" s="331"/>
      <c r="M237" s="332"/>
      <c r="N237" s="333"/>
      <c r="O237" s="333"/>
      <c r="P237" s="333"/>
      <c r="Q237" s="333"/>
      <c r="R237" s="333"/>
      <c r="S237" s="333"/>
      <c r="T237" s="334"/>
      <c r="AT237" s="329" t="s">
        <v>155</v>
      </c>
      <c r="AU237" s="329" t="s">
        <v>83</v>
      </c>
      <c r="AV237" s="326" t="s">
        <v>81</v>
      </c>
      <c r="AW237" s="326" t="s">
        <v>34</v>
      </c>
      <c r="AX237" s="326" t="s">
        <v>76</v>
      </c>
      <c r="AY237" s="329" t="s">
        <v>146</v>
      </c>
    </row>
    <row r="238" spans="2:51" s="335" customFormat="1" ht="12">
      <c r="B238" s="336"/>
      <c r="D238" s="328" t="s">
        <v>155</v>
      </c>
      <c r="E238" s="337" t="s">
        <v>1</v>
      </c>
      <c r="F238" s="338" t="s">
        <v>156</v>
      </c>
      <c r="H238" s="339">
        <v>27</v>
      </c>
      <c r="I238" s="498"/>
      <c r="L238" s="340"/>
      <c r="M238" s="341"/>
      <c r="N238" s="342"/>
      <c r="O238" s="342"/>
      <c r="P238" s="342"/>
      <c r="Q238" s="342"/>
      <c r="R238" s="342"/>
      <c r="S238" s="342"/>
      <c r="T238" s="343"/>
      <c r="AT238" s="337" t="s">
        <v>155</v>
      </c>
      <c r="AU238" s="337" t="s">
        <v>83</v>
      </c>
      <c r="AV238" s="335" t="s">
        <v>83</v>
      </c>
      <c r="AW238" s="335" t="s">
        <v>34</v>
      </c>
      <c r="AX238" s="335" t="s">
        <v>76</v>
      </c>
      <c r="AY238" s="337" t="s">
        <v>146</v>
      </c>
    </row>
    <row r="239" spans="2:51" s="347" customFormat="1" ht="12">
      <c r="B239" s="348"/>
      <c r="D239" s="328" t="s">
        <v>155</v>
      </c>
      <c r="E239" s="349" t="s">
        <v>1</v>
      </c>
      <c r="F239" s="356" t="s">
        <v>157</v>
      </c>
      <c r="H239" s="351">
        <f>SUM(H236:H238)</f>
        <v>112.05</v>
      </c>
      <c r="I239" s="499"/>
      <c r="L239" s="352"/>
      <c r="M239" s="353"/>
      <c r="N239" s="354"/>
      <c r="O239" s="354"/>
      <c r="P239" s="354"/>
      <c r="Q239" s="354"/>
      <c r="R239" s="354"/>
      <c r="S239" s="354"/>
      <c r="T239" s="355"/>
      <c r="AT239" s="349" t="s">
        <v>155</v>
      </c>
      <c r="AU239" s="349" t="s">
        <v>83</v>
      </c>
      <c r="AV239" s="347" t="s">
        <v>153</v>
      </c>
      <c r="AW239" s="347" t="s">
        <v>34</v>
      </c>
      <c r="AX239" s="347" t="s">
        <v>81</v>
      </c>
      <c r="AY239" s="349" t="s">
        <v>146</v>
      </c>
    </row>
    <row r="240" spans="2:63" s="297" customFormat="1" ht="22.9" customHeight="1">
      <c r="B240" s="298"/>
      <c r="D240" s="299" t="s">
        <v>75</v>
      </c>
      <c r="E240" s="310" t="s">
        <v>83</v>
      </c>
      <c r="F240" s="310" t="s">
        <v>227</v>
      </c>
      <c r="I240" s="501"/>
      <c r="J240" s="311">
        <f>SUM(J241:J276)</f>
        <v>0</v>
      </c>
      <c r="L240" s="302"/>
      <c r="M240" s="303"/>
      <c r="N240" s="304"/>
      <c r="O240" s="304"/>
      <c r="P240" s="305">
        <f>SUM(P241:P278)</f>
        <v>21.051147439999998</v>
      </c>
      <c r="Q240" s="304"/>
      <c r="R240" s="305">
        <f>SUM(R241:R278)</f>
        <v>36.44223894118424</v>
      </c>
      <c r="S240" s="304"/>
      <c r="T240" s="313">
        <f>SUM(T241:T278)</f>
        <v>0</v>
      </c>
      <c r="AR240" s="299" t="s">
        <v>81</v>
      </c>
      <c r="AT240" s="308" t="s">
        <v>75</v>
      </c>
      <c r="AU240" s="308" t="s">
        <v>81</v>
      </c>
      <c r="AY240" s="299" t="s">
        <v>146</v>
      </c>
      <c r="BK240" s="309">
        <f>SUM(BK241:BK278)</f>
        <v>0</v>
      </c>
    </row>
    <row r="241" spans="1:65" s="225" customFormat="1" ht="16.5" customHeight="1">
      <c r="A241" s="222"/>
      <c r="B241" s="223"/>
      <c r="C241" s="314">
        <v>18</v>
      </c>
      <c r="D241" s="314" t="s">
        <v>148</v>
      </c>
      <c r="E241" s="315" t="s">
        <v>229</v>
      </c>
      <c r="F241" s="316" t="s">
        <v>230</v>
      </c>
      <c r="G241" s="317" t="s">
        <v>162</v>
      </c>
      <c r="H241" s="318">
        <f>H243</f>
        <v>0.513</v>
      </c>
      <c r="I241" s="79"/>
      <c r="J241" s="319">
        <f>ROUND(I241*H241,2)</f>
        <v>0</v>
      </c>
      <c r="K241" s="316"/>
      <c r="L241" s="229"/>
      <c r="M241" s="320" t="s">
        <v>1</v>
      </c>
      <c r="N241" s="321" t="s">
        <v>42</v>
      </c>
      <c r="O241" s="322">
        <v>0.584</v>
      </c>
      <c r="P241" s="322">
        <f>O241*H241</f>
        <v>0.29959199999999997</v>
      </c>
      <c r="Q241" s="322">
        <v>2.301022204</v>
      </c>
      <c r="R241" s="322">
        <f>Q241*H241</f>
        <v>1.180424390652</v>
      </c>
      <c r="S241" s="322">
        <v>0</v>
      </c>
      <c r="T241" s="323">
        <f>S241*H241</f>
        <v>0</v>
      </c>
      <c r="U241" s="222"/>
      <c r="V241" s="222"/>
      <c r="W241" s="222"/>
      <c r="X241" s="222"/>
      <c r="Y241" s="222"/>
      <c r="Z241" s="222"/>
      <c r="AA241" s="222"/>
      <c r="AB241" s="222"/>
      <c r="AC241" s="222"/>
      <c r="AD241" s="222"/>
      <c r="AE241" s="222"/>
      <c r="AR241" s="324" t="s">
        <v>153</v>
      </c>
      <c r="AT241" s="324" t="s">
        <v>148</v>
      </c>
      <c r="AU241" s="324" t="s">
        <v>83</v>
      </c>
      <c r="AY241" s="214" t="s">
        <v>146</v>
      </c>
      <c r="BE241" s="325">
        <f>IF(N241="základní",J241,0)</f>
        <v>0</v>
      </c>
      <c r="BF241" s="325">
        <f>IF(N241="snížená",J241,0)</f>
        <v>0</v>
      </c>
      <c r="BG241" s="325">
        <f>IF(N241="zákl. přenesená",J241,0)</f>
        <v>0</v>
      </c>
      <c r="BH241" s="325">
        <f>IF(N241="sníž. přenesená",J241,0)</f>
        <v>0</v>
      </c>
      <c r="BI241" s="325">
        <f>IF(N241="nulová",J241,0)</f>
        <v>0</v>
      </c>
      <c r="BJ241" s="214" t="s">
        <v>81</v>
      </c>
      <c r="BK241" s="325">
        <f>ROUND(I241*H241,2)</f>
        <v>0</v>
      </c>
      <c r="BL241" s="214" t="s">
        <v>153</v>
      </c>
      <c r="BM241" s="324" t="s">
        <v>231</v>
      </c>
    </row>
    <row r="242" spans="2:51" s="326" customFormat="1" ht="12">
      <c r="B242" s="327"/>
      <c r="D242" s="328" t="s">
        <v>155</v>
      </c>
      <c r="E242" s="329" t="s">
        <v>1</v>
      </c>
      <c r="F242" s="330" t="s">
        <v>245</v>
      </c>
      <c r="H242" s="329" t="s">
        <v>1</v>
      </c>
      <c r="I242" s="497"/>
      <c r="L242" s="331"/>
      <c r="M242" s="332"/>
      <c r="N242" s="333"/>
      <c r="O242" s="333"/>
      <c r="P242" s="333"/>
      <c r="Q242" s="333"/>
      <c r="R242" s="333"/>
      <c r="S242" s="333"/>
      <c r="T242" s="334"/>
      <c r="AT242" s="329" t="s">
        <v>155</v>
      </c>
      <c r="AU242" s="329" t="s">
        <v>83</v>
      </c>
      <c r="AV242" s="326" t="s">
        <v>81</v>
      </c>
      <c r="AW242" s="326" t="s">
        <v>34</v>
      </c>
      <c r="AX242" s="326" t="s">
        <v>76</v>
      </c>
      <c r="AY242" s="329" t="s">
        <v>146</v>
      </c>
    </row>
    <row r="243" spans="2:51" s="335" customFormat="1" ht="12">
      <c r="B243" s="336"/>
      <c r="D243" s="328" t="s">
        <v>155</v>
      </c>
      <c r="E243" s="337" t="s">
        <v>1</v>
      </c>
      <c r="F243" s="338" t="s">
        <v>232</v>
      </c>
      <c r="H243" s="339">
        <f>(0.33-0.18)*(1.8*1.9)</f>
        <v>0.513</v>
      </c>
      <c r="I243" s="498"/>
      <c r="L243" s="340"/>
      <c r="M243" s="341"/>
      <c r="N243" s="342"/>
      <c r="O243" s="342"/>
      <c r="P243" s="342"/>
      <c r="Q243" s="342"/>
      <c r="R243" s="342"/>
      <c r="S243" s="342"/>
      <c r="T243" s="343"/>
      <c r="AT243" s="337" t="s">
        <v>155</v>
      </c>
      <c r="AU243" s="337" t="s">
        <v>83</v>
      </c>
      <c r="AV243" s="335" t="s">
        <v>83</v>
      </c>
      <c r="AW243" s="335" t="s">
        <v>34</v>
      </c>
      <c r="AX243" s="335" t="s">
        <v>81</v>
      </c>
      <c r="AY243" s="337" t="s">
        <v>146</v>
      </c>
    </row>
    <row r="244" spans="1:65" s="225" customFormat="1" ht="16.5" customHeight="1">
      <c r="A244" s="222"/>
      <c r="B244" s="223"/>
      <c r="C244" s="314">
        <v>19</v>
      </c>
      <c r="D244" s="314" t="s">
        <v>148</v>
      </c>
      <c r="E244" s="315" t="s">
        <v>233</v>
      </c>
      <c r="F244" s="316" t="s">
        <v>234</v>
      </c>
      <c r="G244" s="317" t="s">
        <v>151</v>
      </c>
      <c r="H244" s="318">
        <f>H246</f>
        <v>0.8400000000000001</v>
      </c>
      <c r="I244" s="79"/>
      <c r="J244" s="319">
        <f>ROUND(I244*H244,2)</f>
        <v>0</v>
      </c>
      <c r="K244" s="316"/>
      <c r="L244" s="229"/>
      <c r="M244" s="320" t="s">
        <v>1</v>
      </c>
      <c r="N244" s="321" t="s">
        <v>42</v>
      </c>
      <c r="O244" s="322">
        <v>0.3</v>
      </c>
      <c r="P244" s="322">
        <f>O244*H244</f>
        <v>0.252</v>
      </c>
      <c r="Q244" s="322">
        <v>0.0024719</v>
      </c>
      <c r="R244" s="322">
        <f>Q244*H244</f>
        <v>0.0020763960000000003</v>
      </c>
      <c r="S244" s="322">
        <v>0</v>
      </c>
      <c r="T244" s="323">
        <f>S244*H244</f>
        <v>0</v>
      </c>
      <c r="U244" s="222"/>
      <c r="V244" s="222"/>
      <c r="W244" s="222"/>
      <c r="X244" s="222"/>
      <c r="Y244" s="222"/>
      <c r="Z244" s="222"/>
      <c r="AA244" s="222"/>
      <c r="AB244" s="222"/>
      <c r="AC244" s="222"/>
      <c r="AD244" s="222"/>
      <c r="AE244" s="222"/>
      <c r="AR244" s="324" t="s">
        <v>153</v>
      </c>
      <c r="AT244" s="324" t="s">
        <v>148</v>
      </c>
      <c r="AU244" s="324" t="s">
        <v>83</v>
      </c>
      <c r="AY244" s="214" t="s">
        <v>146</v>
      </c>
      <c r="BE244" s="325">
        <f>IF(N244="základní",J244,0)</f>
        <v>0</v>
      </c>
      <c r="BF244" s="325">
        <f>IF(N244="snížená",J244,0)</f>
        <v>0</v>
      </c>
      <c r="BG244" s="325">
        <f>IF(N244="zákl. přenesená",J244,0)</f>
        <v>0</v>
      </c>
      <c r="BH244" s="325">
        <f>IF(N244="sníž. přenesená",J244,0)</f>
        <v>0</v>
      </c>
      <c r="BI244" s="325">
        <f>IF(N244="nulová",J244,0)</f>
        <v>0</v>
      </c>
      <c r="BJ244" s="214" t="s">
        <v>81</v>
      </c>
      <c r="BK244" s="325">
        <f>ROUND(I244*H244,2)</f>
        <v>0</v>
      </c>
      <c r="BL244" s="214" t="s">
        <v>153</v>
      </c>
      <c r="BM244" s="324" t="s">
        <v>235</v>
      </c>
    </row>
    <row r="245" spans="2:51" s="326" customFormat="1" ht="12">
      <c r="B245" s="327"/>
      <c r="D245" s="328" t="s">
        <v>155</v>
      </c>
      <c r="E245" s="329" t="s">
        <v>1</v>
      </c>
      <c r="F245" s="330" t="s">
        <v>245</v>
      </c>
      <c r="H245" s="329" t="s">
        <v>1</v>
      </c>
      <c r="I245" s="497"/>
      <c r="L245" s="331"/>
      <c r="M245" s="332"/>
      <c r="N245" s="333"/>
      <c r="O245" s="333"/>
      <c r="P245" s="333"/>
      <c r="Q245" s="333"/>
      <c r="R245" s="333"/>
      <c r="S245" s="333"/>
      <c r="T245" s="334"/>
      <c r="AT245" s="329" t="s">
        <v>155</v>
      </c>
      <c r="AU245" s="329" t="s">
        <v>83</v>
      </c>
      <c r="AV245" s="326" t="s">
        <v>81</v>
      </c>
      <c r="AW245" s="326" t="s">
        <v>34</v>
      </c>
      <c r="AX245" s="326" t="s">
        <v>76</v>
      </c>
      <c r="AY245" s="329" t="s">
        <v>146</v>
      </c>
    </row>
    <row r="246" spans="2:51" s="335" customFormat="1" ht="12">
      <c r="B246" s="336"/>
      <c r="D246" s="328" t="s">
        <v>155</v>
      </c>
      <c r="E246" s="337" t="s">
        <v>1</v>
      </c>
      <c r="F246" s="338" t="s">
        <v>236</v>
      </c>
      <c r="H246" s="339">
        <f>(0.33-0.18)*(1.8+1.9*2)</f>
        <v>0.8400000000000001</v>
      </c>
      <c r="I246" s="498"/>
      <c r="L246" s="340"/>
      <c r="M246" s="341"/>
      <c r="N246" s="342"/>
      <c r="O246" s="342"/>
      <c r="P246" s="342"/>
      <c r="Q246" s="342"/>
      <c r="R246" s="342"/>
      <c r="S246" s="342"/>
      <c r="T246" s="343"/>
      <c r="AT246" s="337" t="s">
        <v>155</v>
      </c>
      <c r="AU246" s="337" t="s">
        <v>83</v>
      </c>
      <c r="AV246" s="335" t="s">
        <v>83</v>
      </c>
      <c r="AW246" s="335" t="s">
        <v>34</v>
      </c>
      <c r="AX246" s="335" t="s">
        <v>81</v>
      </c>
      <c r="AY246" s="337" t="s">
        <v>146</v>
      </c>
    </row>
    <row r="247" spans="1:65" s="225" customFormat="1" ht="16.5" customHeight="1">
      <c r="A247" s="222"/>
      <c r="B247" s="223"/>
      <c r="C247" s="314">
        <v>20</v>
      </c>
      <c r="D247" s="314" t="s">
        <v>148</v>
      </c>
      <c r="E247" s="315" t="s">
        <v>238</v>
      </c>
      <c r="F247" s="316" t="s">
        <v>239</v>
      </c>
      <c r="G247" s="317" t="s">
        <v>151</v>
      </c>
      <c r="H247" s="318">
        <v>0.84</v>
      </c>
      <c r="I247" s="79"/>
      <c r="J247" s="319">
        <f>ROUND(I247*H247,2)</f>
        <v>0</v>
      </c>
      <c r="K247" s="316"/>
      <c r="L247" s="229"/>
      <c r="M247" s="320" t="s">
        <v>1</v>
      </c>
      <c r="N247" s="321" t="s">
        <v>42</v>
      </c>
      <c r="O247" s="322">
        <v>0.152</v>
      </c>
      <c r="P247" s="322">
        <f>O247*H247</f>
        <v>0.12768</v>
      </c>
      <c r="Q247" s="322">
        <v>0</v>
      </c>
      <c r="R247" s="322">
        <f>Q247*H247</f>
        <v>0</v>
      </c>
      <c r="S247" s="322">
        <v>0</v>
      </c>
      <c r="T247" s="323">
        <f>S247*H247</f>
        <v>0</v>
      </c>
      <c r="U247" s="222"/>
      <c r="V247" s="222"/>
      <c r="W247" s="222"/>
      <c r="X247" s="222"/>
      <c r="Y247" s="222"/>
      <c r="Z247" s="222"/>
      <c r="AA247" s="222"/>
      <c r="AB247" s="222"/>
      <c r="AC247" s="222"/>
      <c r="AD247" s="222"/>
      <c r="AE247" s="222"/>
      <c r="AR247" s="324" t="s">
        <v>153</v>
      </c>
      <c r="AT247" s="324" t="s">
        <v>148</v>
      </c>
      <c r="AU247" s="324" t="s">
        <v>83</v>
      </c>
      <c r="AY247" s="214" t="s">
        <v>146</v>
      </c>
      <c r="BE247" s="325">
        <f>IF(N247="základní",J247,0)</f>
        <v>0</v>
      </c>
      <c r="BF247" s="325">
        <f>IF(N247="snížená",J247,0)</f>
        <v>0</v>
      </c>
      <c r="BG247" s="325">
        <f>IF(N247="zákl. přenesená",J247,0)</f>
        <v>0</v>
      </c>
      <c r="BH247" s="325">
        <f>IF(N247="sníž. přenesená",J247,0)</f>
        <v>0</v>
      </c>
      <c r="BI247" s="325">
        <f>IF(N247="nulová",J247,0)</f>
        <v>0</v>
      </c>
      <c r="BJ247" s="214" t="s">
        <v>81</v>
      </c>
      <c r="BK247" s="325">
        <f>ROUND(I247*H247,2)</f>
        <v>0</v>
      </c>
      <c r="BL247" s="214" t="s">
        <v>153</v>
      </c>
      <c r="BM247" s="324" t="s">
        <v>240</v>
      </c>
    </row>
    <row r="248" spans="1:65" s="225" customFormat="1" ht="16.5" customHeight="1">
      <c r="A248" s="222"/>
      <c r="B248" s="223"/>
      <c r="C248" s="314">
        <v>21</v>
      </c>
      <c r="D248" s="314" t="s">
        <v>148</v>
      </c>
      <c r="E248" s="315" t="s">
        <v>488</v>
      </c>
      <c r="F248" s="316" t="s">
        <v>489</v>
      </c>
      <c r="G248" s="317" t="s">
        <v>194</v>
      </c>
      <c r="H248" s="318">
        <v>0.1</v>
      </c>
      <c r="I248" s="79"/>
      <c r="J248" s="319">
        <f>ROUND(I248*H248,2)</f>
        <v>0</v>
      </c>
      <c r="K248" s="316"/>
      <c r="L248" s="229"/>
      <c r="M248" s="320" t="s">
        <v>1</v>
      </c>
      <c r="N248" s="321" t="s">
        <v>42</v>
      </c>
      <c r="O248" s="322">
        <v>15.231</v>
      </c>
      <c r="P248" s="322">
        <f>O248*H248</f>
        <v>1.5231000000000001</v>
      </c>
      <c r="Q248" s="322">
        <v>1.0627727797</v>
      </c>
      <c r="R248" s="322">
        <f>Q248*H248</f>
        <v>0.10627727797</v>
      </c>
      <c r="S248" s="322">
        <v>0</v>
      </c>
      <c r="T248" s="323">
        <f>S248*H248</f>
        <v>0</v>
      </c>
      <c r="U248" s="222"/>
      <c r="V248" s="222"/>
      <c r="W248" s="222"/>
      <c r="X248" s="222"/>
      <c r="Y248" s="222"/>
      <c r="Z248" s="222"/>
      <c r="AA248" s="222"/>
      <c r="AB248" s="222"/>
      <c r="AC248" s="222"/>
      <c r="AD248" s="222"/>
      <c r="AE248" s="222"/>
      <c r="AR248" s="324" t="s">
        <v>153</v>
      </c>
      <c r="AT248" s="324" t="s">
        <v>148</v>
      </c>
      <c r="AU248" s="324" t="s">
        <v>83</v>
      </c>
      <c r="AY248" s="214" t="s">
        <v>146</v>
      </c>
      <c r="BE248" s="325">
        <f>IF(N248="základní",J248,0)</f>
        <v>0</v>
      </c>
      <c r="BF248" s="325">
        <f>IF(N248="snížená",J248,0)</f>
        <v>0</v>
      </c>
      <c r="BG248" s="325">
        <f>IF(N248="zákl. přenesená",J248,0)</f>
        <v>0</v>
      </c>
      <c r="BH248" s="325">
        <f>IF(N248="sníž. přenesená",J248,0)</f>
        <v>0</v>
      </c>
      <c r="BI248" s="325">
        <f>IF(N248="nulová",J248,0)</f>
        <v>0</v>
      </c>
      <c r="BJ248" s="214" t="s">
        <v>81</v>
      </c>
      <c r="BK248" s="325">
        <f>ROUND(I248*H248,2)</f>
        <v>0</v>
      </c>
      <c r="BL248" s="214" t="s">
        <v>153</v>
      </c>
      <c r="BM248" s="324" t="s">
        <v>490</v>
      </c>
    </row>
    <row r="249" spans="1:65" s="225" customFormat="1" ht="16.5" customHeight="1">
      <c r="A249" s="222"/>
      <c r="B249" s="223"/>
      <c r="C249" s="314">
        <v>22</v>
      </c>
      <c r="D249" s="314" t="s">
        <v>148</v>
      </c>
      <c r="E249" s="315" t="s">
        <v>242</v>
      </c>
      <c r="F249" s="316" t="s">
        <v>243</v>
      </c>
      <c r="G249" s="317" t="s">
        <v>162</v>
      </c>
      <c r="H249" s="318">
        <f>H260</f>
        <v>7.592560000000001</v>
      </c>
      <c r="I249" s="79"/>
      <c r="J249" s="319">
        <f>ROUND(I249*H249,2)</f>
        <v>0</v>
      </c>
      <c r="K249" s="316"/>
      <c r="L249" s="229"/>
      <c r="M249" s="320" t="s">
        <v>1</v>
      </c>
      <c r="N249" s="321" t="s">
        <v>42</v>
      </c>
      <c r="O249" s="322">
        <v>0.584</v>
      </c>
      <c r="P249" s="322">
        <f>O249*H249</f>
        <v>4.4340550400000005</v>
      </c>
      <c r="Q249" s="322">
        <v>2.301022204</v>
      </c>
      <c r="R249" s="322">
        <f>Q249*H249</f>
        <v>17.47064914520224</v>
      </c>
      <c r="S249" s="322">
        <v>0</v>
      </c>
      <c r="T249" s="323">
        <f>S249*H249</f>
        <v>0</v>
      </c>
      <c r="U249" s="222"/>
      <c r="V249" s="222"/>
      <c r="W249" s="222"/>
      <c r="X249" s="222"/>
      <c r="Y249" s="222"/>
      <c r="Z249" s="222"/>
      <c r="AA249" s="222"/>
      <c r="AB249" s="222"/>
      <c r="AC249" s="222"/>
      <c r="AD249" s="222"/>
      <c r="AE249" s="222"/>
      <c r="AR249" s="324" t="s">
        <v>153</v>
      </c>
      <c r="AT249" s="324" t="s">
        <v>148</v>
      </c>
      <c r="AU249" s="324" t="s">
        <v>83</v>
      </c>
      <c r="AY249" s="214" t="s">
        <v>146</v>
      </c>
      <c r="BE249" s="325">
        <f>IF(N249="základní",J249,0)</f>
        <v>0</v>
      </c>
      <c r="BF249" s="325">
        <f>IF(N249="snížená",J249,0)</f>
        <v>0</v>
      </c>
      <c r="BG249" s="325">
        <f>IF(N249="zákl. přenesená",J249,0)</f>
        <v>0</v>
      </c>
      <c r="BH249" s="325">
        <f>IF(N249="sníž. přenesená",J249,0)</f>
        <v>0</v>
      </c>
      <c r="BI249" s="325">
        <f>IF(N249="nulová",J249,0)</f>
        <v>0</v>
      </c>
      <c r="BJ249" s="214" t="s">
        <v>81</v>
      </c>
      <c r="BK249" s="325">
        <f>ROUND(I249*H249,2)</f>
        <v>0</v>
      </c>
      <c r="BL249" s="214" t="s">
        <v>153</v>
      </c>
      <c r="BM249" s="324" t="s">
        <v>244</v>
      </c>
    </row>
    <row r="250" spans="2:51" s="326" customFormat="1" ht="12">
      <c r="B250" s="327"/>
      <c r="D250" s="328" t="s">
        <v>155</v>
      </c>
      <c r="E250" s="329" t="s">
        <v>1</v>
      </c>
      <c r="F250" s="330" t="s">
        <v>245</v>
      </c>
      <c r="H250" s="329" t="s">
        <v>1</v>
      </c>
      <c r="I250" s="497"/>
      <c r="L250" s="331"/>
      <c r="M250" s="332"/>
      <c r="N250" s="333"/>
      <c r="O250" s="333"/>
      <c r="P250" s="333"/>
      <c r="Q250" s="333"/>
      <c r="R250" s="333"/>
      <c r="S250" s="333"/>
      <c r="T250" s="334"/>
      <c r="AT250" s="329" t="s">
        <v>155</v>
      </c>
      <c r="AU250" s="329" t="s">
        <v>83</v>
      </c>
      <c r="AV250" s="326" t="s">
        <v>81</v>
      </c>
      <c r="AW250" s="326" t="s">
        <v>34</v>
      </c>
      <c r="AX250" s="326" t="s">
        <v>76</v>
      </c>
      <c r="AY250" s="329" t="s">
        <v>146</v>
      </c>
    </row>
    <row r="251" spans="2:51" s="335" customFormat="1" ht="12">
      <c r="B251" s="336"/>
      <c r="D251" s="328" t="s">
        <v>155</v>
      </c>
      <c r="E251" s="337" t="s">
        <v>1</v>
      </c>
      <c r="F251" s="338" t="s">
        <v>246</v>
      </c>
      <c r="H251" s="339">
        <f>(1.5-0.36)*0.6*(2.46+1.64*2)</f>
        <v>3.9261600000000003</v>
      </c>
      <c r="I251" s="498"/>
      <c r="L251" s="340"/>
      <c r="M251" s="341"/>
      <c r="N251" s="342"/>
      <c r="O251" s="342"/>
      <c r="P251" s="342"/>
      <c r="Q251" s="342"/>
      <c r="R251" s="342"/>
      <c r="S251" s="342"/>
      <c r="T251" s="343"/>
      <c r="AT251" s="337" t="s">
        <v>155</v>
      </c>
      <c r="AU251" s="337" t="s">
        <v>83</v>
      </c>
      <c r="AV251" s="335" t="s">
        <v>83</v>
      </c>
      <c r="AW251" s="335" t="s">
        <v>34</v>
      </c>
      <c r="AX251" s="335" t="s">
        <v>76</v>
      </c>
      <c r="AY251" s="337" t="s">
        <v>146</v>
      </c>
    </row>
    <row r="252" spans="2:51" s="326" customFormat="1" ht="12">
      <c r="B252" s="327"/>
      <c r="D252" s="328" t="s">
        <v>155</v>
      </c>
      <c r="E252" s="329" t="s">
        <v>1</v>
      </c>
      <c r="F252" s="330" t="s">
        <v>247</v>
      </c>
      <c r="H252" s="329" t="s">
        <v>1</v>
      </c>
      <c r="I252" s="497"/>
      <c r="L252" s="331"/>
      <c r="M252" s="332"/>
      <c r="N252" s="333"/>
      <c r="O252" s="333"/>
      <c r="P252" s="333"/>
      <c r="Q252" s="333"/>
      <c r="R252" s="333"/>
      <c r="S252" s="333"/>
      <c r="T252" s="334"/>
      <c r="AT252" s="329" t="s">
        <v>155</v>
      </c>
      <c r="AU252" s="329" t="s">
        <v>83</v>
      </c>
      <c r="AV252" s="326" t="s">
        <v>81</v>
      </c>
      <c r="AW252" s="326" t="s">
        <v>34</v>
      </c>
      <c r="AX252" s="326" t="s">
        <v>76</v>
      </c>
      <c r="AY252" s="329" t="s">
        <v>146</v>
      </c>
    </row>
    <row r="253" spans="2:51" s="335" customFormat="1" ht="12">
      <c r="B253" s="336"/>
      <c r="D253" s="328" t="s">
        <v>155</v>
      </c>
      <c r="E253" s="337" t="s">
        <v>1</v>
      </c>
      <c r="F253" s="338" t="s">
        <v>248</v>
      </c>
      <c r="H253" s="339">
        <f>1.35*(1.2-0.36)*0.33</f>
        <v>0.37422000000000005</v>
      </c>
      <c r="I253" s="498"/>
      <c r="L253" s="340"/>
      <c r="M253" s="341"/>
      <c r="N253" s="342"/>
      <c r="O253" s="342"/>
      <c r="P253" s="342"/>
      <c r="Q253" s="342"/>
      <c r="R253" s="342"/>
      <c r="S253" s="342"/>
      <c r="T253" s="343"/>
      <c r="AT253" s="337" t="s">
        <v>155</v>
      </c>
      <c r="AU253" s="337" t="s">
        <v>83</v>
      </c>
      <c r="AV253" s="335" t="s">
        <v>83</v>
      </c>
      <c r="AW253" s="335" t="s">
        <v>34</v>
      </c>
      <c r="AX253" s="335" t="s">
        <v>76</v>
      </c>
      <c r="AY253" s="337" t="s">
        <v>146</v>
      </c>
    </row>
    <row r="254" spans="2:51" s="335" customFormat="1" ht="12">
      <c r="B254" s="336"/>
      <c r="D254" s="328" t="s">
        <v>155</v>
      </c>
      <c r="E254" s="337" t="s">
        <v>1</v>
      </c>
      <c r="F254" s="338" t="s">
        <v>249</v>
      </c>
      <c r="H254" s="339">
        <f>1.35*(1.2-0.18)+(0.505+0.3)</f>
        <v>2.1820000000000004</v>
      </c>
      <c r="I254" s="498"/>
      <c r="L254" s="340"/>
      <c r="M254" s="341"/>
      <c r="N254" s="342"/>
      <c r="O254" s="342"/>
      <c r="P254" s="342"/>
      <c r="Q254" s="342"/>
      <c r="R254" s="342"/>
      <c r="S254" s="342"/>
      <c r="T254" s="343"/>
      <c r="AT254" s="337" t="s">
        <v>155</v>
      </c>
      <c r="AU254" s="337" t="s">
        <v>83</v>
      </c>
      <c r="AV254" s="335" t="s">
        <v>83</v>
      </c>
      <c r="AW254" s="335" t="s">
        <v>34</v>
      </c>
      <c r="AX254" s="335" t="s">
        <v>76</v>
      </c>
      <c r="AY254" s="337" t="s">
        <v>146</v>
      </c>
    </row>
    <row r="255" spans="2:51" s="326" customFormat="1" ht="12">
      <c r="B255" s="327"/>
      <c r="D255" s="328" t="s">
        <v>155</v>
      </c>
      <c r="E255" s="329" t="s">
        <v>1</v>
      </c>
      <c r="F255" s="330" t="s">
        <v>250</v>
      </c>
      <c r="H255" s="329" t="s">
        <v>1</v>
      </c>
      <c r="I255" s="497"/>
      <c r="L255" s="331"/>
      <c r="M255" s="332"/>
      <c r="N255" s="333"/>
      <c r="O255" s="333"/>
      <c r="P255" s="333"/>
      <c r="Q255" s="333"/>
      <c r="R255" s="333"/>
      <c r="S255" s="333"/>
      <c r="T255" s="334"/>
      <c r="AT255" s="329" t="s">
        <v>155</v>
      </c>
      <c r="AU255" s="329" t="s">
        <v>83</v>
      </c>
      <c r="AV255" s="326" t="s">
        <v>81</v>
      </c>
      <c r="AW255" s="326" t="s">
        <v>34</v>
      </c>
      <c r="AX255" s="326" t="s">
        <v>76</v>
      </c>
      <c r="AY255" s="329" t="s">
        <v>146</v>
      </c>
    </row>
    <row r="256" spans="2:51" s="335" customFormat="1" ht="12">
      <c r="B256" s="336"/>
      <c r="D256" s="328" t="s">
        <v>155</v>
      </c>
      <c r="E256" s="337" t="s">
        <v>1</v>
      </c>
      <c r="F256" s="338" t="s">
        <v>251</v>
      </c>
      <c r="H256" s="339">
        <f>1.65*(1.2-0.36)*0.33</f>
        <v>0.45738</v>
      </c>
      <c r="I256" s="498"/>
      <c r="L256" s="340"/>
      <c r="M256" s="341"/>
      <c r="N256" s="342"/>
      <c r="O256" s="342"/>
      <c r="P256" s="342"/>
      <c r="Q256" s="342"/>
      <c r="R256" s="342"/>
      <c r="S256" s="342"/>
      <c r="T256" s="343"/>
      <c r="AT256" s="337" t="s">
        <v>155</v>
      </c>
      <c r="AU256" s="337" t="s">
        <v>83</v>
      </c>
      <c r="AV256" s="335" t="s">
        <v>83</v>
      </c>
      <c r="AW256" s="335" t="s">
        <v>34</v>
      </c>
      <c r="AX256" s="335" t="s">
        <v>76</v>
      </c>
      <c r="AY256" s="337" t="s">
        <v>146</v>
      </c>
    </row>
    <row r="257" spans="2:51" s="335" customFormat="1" ht="12">
      <c r="B257" s="336"/>
      <c r="D257" s="328" t="s">
        <v>155</v>
      </c>
      <c r="E257" s="337" t="s">
        <v>1</v>
      </c>
      <c r="F257" s="338" t="s">
        <v>252</v>
      </c>
      <c r="H257" s="339">
        <f>1.65*(1.2-0.18)+(0.505+0.3)</f>
        <v>2.4879999999999995</v>
      </c>
      <c r="I257" s="498"/>
      <c r="L257" s="340"/>
      <c r="M257" s="341"/>
      <c r="N257" s="342"/>
      <c r="O257" s="342"/>
      <c r="P257" s="342"/>
      <c r="Q257" s="342"/>
      <c r="R257" s="342"/>
      <c r="S257" s="342"/>
      <c r="T257" s="343"/>
      <c r="AT257" s="337" t="s">
        <v>155</v>
      </c>
      <c r="AU257" s="337" t="s">
        <v>83</v>
      </c>
      <c r="AV257" s="335" t="s">
        <v>83</v>
      </c>
      <c r="AW257" s="335" t="s">
        <v>34</v>
      </c>
      <c r="AX257" s="335" t="s">
        <v>76</v>
      </c>
      <c r="AY257" s="337" t="s">
        <v>146</v>
      </c>
    </row>
    <row r="258" spans="2:51" s="326" customFormat="1" ht="12">
      <c r="B258" s="327"/>
      <c r="D258" s="328" t="s">
        <v>155</v>
      </c>
      <c r="E258" s="329" t="s">
        <v>1</v>
      </c>
      <c r="F258" s="330" t="s">
        <v>166</v>
      </c>
      <c r="H258" s="329" t="s">
        <v>1</v>
      </c>
      <c r="I258" s="497"/>
      <c r="L258" s="331"/>
      <c r="M258" s="332"/>
      <c r="N258" s="333"/>
      <c r="O258" s="333"/>
      <c r="P258" s="333"/>
      <c r="Q258" s="333"/>
      <c r="R258" s="333"/>
      <c r="S258" s="333"/>
      <c r="T258" s="334"/>
      <c r="AT258" s="329" t="s">
        <v>155</v>
      </c>
      <c r="AU258" s="329" t="s">
        <v>83</v>
      </c>
      <c r="AV258" s="326" t="s">
        <v>81</v>
      </c>
      <c r="AW258" s="326" t="s">
        <v>34</v>
      </c>
      <c r="AX258" s="326" t="s">
        <v>76</v>
      </c>
      <c r="AY258" s="329" t="s">
        <v>146</v>
      </c>
    </row>
    <row r="259" spans="2:51" s="335" customFormat="1" ht="12">
      <c r="B259" s="336"/>
      <c r="D259" s="328" t="s">
        <v>155</v>
      </c>
      <c r="E259" s="337" t="s">
        <v>1</v>
      </c>
      <c r="F259" s="338" t="s">
        <v>2764</v>
      </c>
      <c r="H259" s="339">
        <f>(0.6+0.6)*0.68*0.2*4</f>
        <v>0.6528</v>
      </c>
      <c r="I259" s="498"/>
      <c r="L259" s="340"/>
      <c r="M259" s="341"/>
      <c r="N259" s="342"/>
      <c r="O259" s="342"/>
      <c r="P259" s="342"/>
      <c r="Q259" s="342"/>
      <c r="R259" s="342"/>
      <c r="S259" s="342"/>
      <c r="T259" s="343"/>
      <c r="AT259" s="337" t="s">
        <v>155</v>
      </c>
      <c r="AU259" s="337" t="s">
        <v>83</v>
      </c>
      <c r="AV259" s="335" t="s">
        <v>83</v>
      </c>
      <c r="AW259" s="335" t="s">
        <v>34</v>
      </c>
      <c r="AX259" s="335" t="s">
        <v>76</v>
      </c>
      <c r="AY259" s="337" t="s">
        <v>146</v>
      </c>
    </row>
    <row r="260" spans="2:51" s="347" customFormat="1" ht="12">
      <c r="B260" s="348"/>
      <c r="D260" s="328" t="s">
        <v>155</v>
      </c>
      <c r="E260" s="349" t="s">
        <v>1</v>
      </c>
      <c r="F260" s="356" t="s">
        <v>157</v>
      </c>
      <c r="H260" s="351">
        <f>SUM(H251,H253,H254,H256,H259)</f>
        <v>7.592560000000001</v>
      </c>
      <c r="I260" s="499"/>
      <c r="L260" s="352"/>
      <c r="M260" s="353"/>
      <c r="N260" s="354"/>
      <c r="O260" s="354"/>
      <c r="P260" s="354"/>
      <c r="Q260" s="354"/>
      <c r="R260" s="354"/>
      <c r="S260" s="354"/>
      <c r="T260" s="355"/>
      <c r="AT260" s="349" t="s">
        <v>155</v>
      </c>
      <c r="AU260" s="349" t="s">
        <v>83</v>
      </c>
      <c r="AV260" s="347" t="s">
        <v>153</v>
      </c>
      <c r="AW260" s="347" t="s">
        <v>34</v>
      </c>
      <c r="AX260" s="347" t="s">
        <v>81</v>
      </c>
      <c r="AY260" s="349" t="s">
        <v>146</v>
      </c>
    </row>
    <row r="261" spans="1:65" s="225" customFormat="1" ht="16.5" customHeight="1">
      <c r="A261" s="222"/>
      <c r="B261" s="223"/>
      <c r="C261" s="314">
        <v>23</v>
      </c>
      <c r="D261" s="314" t="s">
        <v>148</v>
      </c>
      <c r="E261" s="315" t="s">
        <v>254</v>
      </c>
      <c r="F261" s="316" t="s">
        <v>255</v>
      </c>
      <c r="G261" s="317" t="s">
        <v>151</v>
      </c>
      <c r="H261" s="318">
        <f>H268</f>
        <v>21.572400000000002</v>
      </c>
      <c r="I261" s="79"/>
      <c r="J261" s="319">
        <f>ROUND(I261*H261,2)</f>
        <v>0</v>
      </c>
      <c r="K261" s="316"/>
      <c r="L261" s="229"/>
      <c r="M261" s="320" t="s">
        <v>1</v>
      </c>
      <c r="N261" s="321" t="s">
        <v>42</v>
      </c>
      <c r="O261" s="322">
        <v>0.247</v>
      </c>
      <c r="P261" s="322">
        <f>O261*H261</f>
        <v>5.3283828</v>
      </c>
      <c r="Q261" s="322">
        <v>0.0026919</v>
      </c>
      <c r="R261" s="322">
        <f>Q261*H261</f>
        <v>0.058070743560000006</v>
      </c>
      <c r="S261" s="322">
        <v>0</v>
      </c>
      <c r="T261" s="323">
        <f>S261*H261</f>
        <v>0</v>
      </c>
      <c r="U261" s="222"/>
      <c r="V261" s="222"/>
      <c r="W261" s="222"/>
      <c r="X261" s="222"/>
      <c r="Y261" s="222"/>
      <c r="Z261" s="222"/>
      <c r="AA261" s="222"/>
      <c r="AB261" s="222"/>
      <c r="AC261" s="222"/>
      <c r="AD261" s="222"/>
      <c r="AE261" s="222"/>
      <c r="AR261" s="324" t="s">
        <v>153</v>
      </c>
      <c r="AT261" s="324" t="s">
        <v>148</v>
      </c>
      <c r="AU261" s="324" t="s">
        <v>83</v>
      </c>
      <c r="AY261" s="214" t="s">
        <v>146</v>
      </c>
      <c r="BE261" s="325">
        <f>IF(N261="základní",J261,0)</f>
        <v>0</v>
      </c>
      <c r="BF261" s="325">
        <f>IF(N261="snížená",J261,0)</f>
        <v>0</v>
      </c>
      <c r="BG261" s="325">
        <f>IF(N261="zákl. přenesená",J261,0)</f>
        <v>0</v>
      </c>
      <c r="BH261" s="325">
        <f>IF(N261="sníž. přenesená",J261,0)</f>
        <v>0</v>
      </c>
      <c r="BI261" s="325">
        <f>IF(N261="nulová",J261,0)</f>
        <v>0</v>
      </c>
      <c r="BJ261" s="214" t="s">
        <v>81</v>
      </c>
      <c r="BK261" s="325">
        <f>ROUND(I261*H261,2)</f>
        <v>0</v>
      </c>
      <c r="BL261" s="214" t="s">
        <v>153</v>
      </c>
      <c r="BM261" s="324" t="s">
        <v>256</v>
      </c>
    </row>
    <row r="262" spans="2:51" s="326" customFormat="1" ht="12">
      <c r="B262" s="327"/>
      <c r="D262" s="328" t="s">
        <v>155</v>
      </c>
      <c r="E262" s="329" t="s">
        <v>1</v>
      </c>
      <c r="F262" s="330" t="s">
        <v>245</v>
      </c>
      <c r="H262" s="329" t="s">
        <v>1</v>
      </c>
      <c r="I262" s="497"/>
      <c r="L262" s="331"/>
      <c r="M262" s="332"/>
      <c r="N262" s="333"/>
      <c r="O262" s="333"/>
      <c r="P262" s="333"/>
      <c r="Q262" s="333"/>
      <c r="R262" s="333"/>
      <c r="S262" s="333"/>
      <c r="T262" s="334"/>
      <c r="AT262" s="329" t="s">
        <v>155</v>
      </c>
      <c r="AU262" s="329" t="s">
        <v>83</v>
      </c>
      <c r="AV262" s="326" t="s">
        <v>81</v>
      </c>
      <c r="AW262" s="326" t="s">
        <v>34</v>
      </c>
      <c r="AX262" s="326" t="s">
        <v>76</v>
      </c>
      <c r="AY262" s="329" t="s">
        <v>146</v>
      </c>
    </row>
    <row r="263" spans="2:51" s="335" customFormat="1" ht="12">
      <c r="B263" s="336"/>
      <c r="D263" s="328" t="s">
        <v>155</v>
      </c>
      <c r="E263" s="337" t="s">
        <v>1</v>
      </c>
      <c r="F263" s="338" t="s">
        <v>2632</v>
      </c>
      <c r="H263" s="339">
        <f>(2.46+2.2*2+1.8+1.7*2)*(1.5-0.36)</f>
        <v>13.748400000000002</v>
      </c>
      <c r="I263" s="498"/>
      <c r="L263" s="340"/>
      <c r="M263" s="341"/>
      <c r="N263" s="342"/>
      <c r="O263" s="342"/>
      <c r="P263" s="342"/>
      <c r="Q263" s="342"/>
      <c r="R263" s="342"/>
      <c r="S263" s="342"/>
      <c r="T263" s="343"/>
      <c r="AT263" s="337" t="s">
        <v>155</v>
      </c>
      <c r="AU263" s="337" t="s">
        <v>83</v>
      </c>
      <c r="AV263" s="335" t="s">
        <v>83</v>
      </c>
      <c r="AW263" s="335" t="s">
        <v>34</v>
      </c>
      <c r="AX263" s="335" t="s">
        <v>81</v>
      </c>
      <c r="AY263" s="337" t="s">
        <v>146</v>
      </c>
    </row>
    <row r="264" spans="2:51" s="326" customFormat="1" ht="12">
      <c r="B264" s="327"/>
      <c r="D264" s="328" t="s">
        <v>155</v>
      </c>
      <c r="E264" s="329" t="s">
        <v>1</v>
      </c>
      <c r="F264" s="330" t="s">
        <v>2699</v>
      </c>
      <c r="H264" s="329" t="s">
        <v>1</v>
      </c>
      <c r="I264" s="497"/>
      <c r="L264" s="331"/>
      <c r="M264" s="332"/>
      <c r="N264" s="333"/>
      <c r="O264" s="333"/>
      <c r="P264" s="333"/>
      <c r="Q264" s="333"/>
      <c r="R264" s="333"/>
      <c r="S264" s="333"/>
      <c r="T264" s="334"/>
      <c r="AT264" s="329" t="s">
        <v>155</v>
      </c>
      <c r="AU264" s="329" t="s">
        <v>83</v>
      </c>
      <c r="AV264" s="326" t="s">
        <v>81</v>
      </c>
      <c r="AW264" s="326" t="s">
        <v>34</v>
      </c>
      <c r="AX264" s="326" t="s">
        <v>76</v>
      </c>
      <c r="AY264" s="329" t="s">
        <v>146</v>
      </c>
    </row>
    <row r="265" spans="2:51" s="335" customFormat="1" ht="12">
      <c r="B265" s="336"/>
      <c r="D265" s="328" t="s">
        <v>155</v>
      </c>
      <c r="E265" s="337" t="s">
        <v>1</v>
      </c>
      <c r="F265" s="338" t="s">
        <v>2700</v>
      </c>
      <c r="H265" s="339">
        <f>(1.35+1.65)*(0.4*3)</f>
        <v>3.6000000000000005</v>
      </c>
      <c r="I265" s="498"/>
      <c r="L265" s="340"/>
      <c r="M265" s="341"/>
      <c r="N265" s="342"/>
      <c r="O265" s="342"/>
      <c r="P265" s="342"/>
      <c r="Q265" s="342"/>
      <c r="R265" s="342"/>
      <c r="S265" s="342"/>
      <c r="T265" s="343"/>
      <c r="AT265" s="337" t="s">
        <v>155</v>
      </c>
      <c r="AU265" s="337" t="s">
        <v>83</v>
      </c>
      <c r="AV265" s="335" t="s">
        <v>83</v>
      </c>
      <c r="AW265" s="335" t="s">
        <v>34</v>
      </c>
      <c r="AX265" s="335" t="s">
        <v>76</v>
      </c>
      <c r="AY265" s="337" t="s">
        <v>146</v>
      </c>
    </row>
    <row r="266" spans="2:51" s="326" customFormat="1" ht="12">
      <c r="B266" s="327"/>
      <c r="D266" s="328" t="s">
        <v>155</v>
      </c>
      <c r="E266" s="329" t="s">
        <v>1</v>
      </c>
      <c r="F266" s="330" t="s">
        <v>166</v>
      </c>
      <c r="H266" s="329" t="s">
        <v>1</v>
      </c>
      <c r="I266" s="497"/>
      <c r="L266" s="331"/>
      <c r="M266" s="332"/>
      <c r="N266" s="333"/>
      <c r="O266" s="333"/>
      <c r="P266" s="333"/>
      <c r="Q266" s="333"/>
      <c r="R266" s="333"/>
      <c r="S266" s="333"/>
      <c r="T266" s="334"/>
      <c r="AT266" s="329" t="s">
        <v>155</v>
      </c>
      <c r="AU266" s="329" t="s">
        <v>83</v>
      </c>
      <c r="AV266" s="326" t="s">
        <v>81</v>
      </c>
      <c r="AW266" s="326" t="s">
        <v>34</v>
      </c>
      <c r="AX266" s="326" t="s">
        <v>76</v>
      </c>
      <c r="AY266" s="329" t="s">
        <v>146</v>
      </c>
    </row>
    <row r="267" spans="2:51" s="335" customFormat="1" ht="12">
      <c r="B267" s="336"/>
      <c r="D267" s="328" t="s">
        <v>155</v>
      </c>
      <c r="E267" s="337" t="s">
        <v>1</v>
      </c>
      <c r="F267" s="338" t="s">
        <v>2766</v>
      </c>
      <c r="H267" s="339">
        <f>0.6*(0.68+0.2)*2*4</f>
        <v>4.224</v>
      </c>
      <c r="I267" s="498"/>
      <c r="L267" s="340"/>
      <c r="M267" s="341"/>
      <c r="N267" s="342"/>
      <c r="O267" s="342"/>
      <c r="P267" s="342"/>
      <c r="Q267" s="342"/>
      <c r="R267" s="342"/>
      <c r="S267" s="342"/>
      <c r="T267" s="343"/>
      <c r="AT267" s="337" t="s">
        <v>155</v>
      </c>
      <c r="AU267" s="337" t="s">
        <v>83</v>
      </c>
      <c r="AV267" s="335" t="s">
        <v>83</v>
      </c>
      <c r="AW267" s="335" t="s">
        <v>34</v>
      </c>
      <c r="AX267" s="335" t="s">
        <v>81</v>
      </c>
      <c r="AY267" s="337" t="s">
        <v>146</v>
      </c>
    </row>
    <row r="268" spans="2:51" s="347" customFormat="1" ht="12">
      <c r="B268" s="348"/>
      <c r="D268" s="328" t="s">
        <v>155</v>
      </c>
      <c r="E268" s="349" t="s">
        <v>1</v>
      </c>
      <c r="F268" s="356" t="s">
        <v>157</v>
      </c>
      <c r="H268" s="351">
        <f>SUM(H263:H267)</f>
        <v>21.572400000000002</v>
      </c>
      <c r="I268" s="499"/>
      <c r="L268" s="352"/>
      <c r="M268" s="353"/>
      <c r="N268" s="354"/>
      <c r="O268" s="354"/>
      <c r="P268" s="354"/>
      <c r="Q268" s="354"/>
      <c r="R268" s="354"/>
      <c r="S268" s="354"/>
      <c r="T268" s="355"/>
      <c r="AT268" s="349" t="s">
        <v>155</v>
      </c>
      <c r="AU268" s="349" t="s">
        <v>83</v>
      </c>
      <c r="AV268" s="347" t="s">
        <v>153</v>
      </c>
      <c r="AW268" s="347" t="s">
        <v>34</v>
      </c>
      <c r="AX268" s="347" t="s">
        <v>81</v>
      </c>
      <c r="AY268" s="349" t="s">
        <v>146</v>
      </c>
    </row>
    <row r="269" spans="1:65" s="225" customFormat="1" ht="16.5" customHeight="1">
      <c r="A269" s="222"/>
      <c r="B269" s="223"/>
      <c r="C269" s="314">
        <v>24</v>
      </c>
      <c r="D269" s="314" t="s">
        <v>148</v>
      </c>
      <c r="E269" s="315" t="s">
        <v>258</v>
      </c>
      <c r="F269" s="316" t="s">
        <v>259</v>
      </c>
      <c r="G269" s="317" t="s">
        <v>151</v>
      </c>
      <c r="H269" s="318">
        <f>H261</f>
        <v>21.572400000000002</v>
      </c>
      <c r="I269" s="79"/>
      <c r="J269" s="319">
        <f>ROUND(I269*H269,2)</f>
        <v>0</v>
      </c>
      <c r="K269" s="316"/>
      <c r="L269" s="229"/>
      <c r="M269" s="320" t="s">
        <v>1</v>
      </c>
      <c r="N269" s="321" t="s">
        <v>42</v>
      </c>
      <c r="O269" s="322">
        <v>0.083</v>
      </c>
      <c r="P269" s="322">
        <f>O269*H269</f>
        <v>1.7905092000000002</v>
      </c>
      <c r="Q269" s="322">
        <v>0</v>
      </c>
      <c r="R269" s="322">
        <f>Q269*H269</f>
        <v>0</v>
      </c>
      <c r="S269" s="322">
        <v>0</v>
      </c>
      <c r="T269" s="323">
        <f>S269*H269</f>
        <v>0</v>
      </c>
      <c r="U269" s="222"/>
      <c r="V269" s="222"/>
      <c r="W269" s="222"/>
      <c r="X269" s="222"/>
      <c r="Y269" s="222"/>
      <c r="Z269" s="222"/>
      <c r="AA269" s="222"/>
      <c r="AB269" s="222"/>
      <c r="AC269" s="222"/>
      <c r="AD269" s="222"/>
      <c r="AE269" s="222"/>
      <c r="AR269" s="324" t="s">
        <v>153</v>
      </c>
      <c r="AT269" s="324" t="s">
        <v>148</v>
      </c>
      <c r="AU269" s="324" t="s">
        <v>83</v>
      </c>
      <c r="AY269" s="214" t="s">
        <v>146</v>
      </c>
      <c r="BE269" s="325">
        <f>IF(N269="základní",J269,0)</f>
        <v>0</v>
      </c>
      <c r="BF269" s="325">
        <f>IF(N269="snížená",J269,0)</f>
        <v>0</v>
      </c>
      <c r="BG269" s="325">
        <f>IF(N269="zákl. přenesená",J269,0)</f>
        <v>0</v>
      </c>
      <c r="BH269" s="325">
        <f>IF(N269="sníž. přenesená",J269,0)</f>
        <v>0</v>
      </c>
      <c r="BI269" s="325">
        <f>IF(N269="nulová",J269,0)</f>
        <v>0</v>
      </c>
      <c r="BJ269" s="214" t="s">
        <v>81</v>
      </c>
      <c r="BK269" s="325">
        <f>ROUND(I269*H269,2)</f>
        <v>0</v>
      </c>
      <c r="BL269" s="214" t="s">
        <v>153</v>
      </c>
      <c r="BM269" s="324" t="s">
        <v>260</v>
      </c>
    </row>
    <row r="270" spans="1:65" s="225" customFormat="1" ht="24.2" customHeight="1">
      <c r="A270" s="222"/>
      <c r="B270" s="223"/>
      <c r="C270" s="314">
        <v>25</v>
      </c>
      <c r="D270" s="314" t="s">
        <v>148</v>
      </c>
      <c r="E270" s="315" t="s">
        <v>262</v>
      </c>
      <c r="F270" s="316" t="s">
        <v>263</v>
      </c>
      <c r="G270" s="317" t="s">
        <v>162</v>
      </c>
      <c r="H270" s="318">
        <v>4.95</v>
      </c>
      <c r="I270" s="79"/>
      <c r="J270" s="319">
        <f>ROUND(I270*H270,2)</f>
        <v>0</v>
      </c>
      <c r="K270" s="316"/>
      <c r="L270" s="229"/>
      <c r="M270" s="320" t="s">
        <v>1</v>
      </c>
      <c r="N270" s="321" t="s">
        <v>42</v>
      </c>
      <c r="O270" s="322">
        <v>0.629</v>
      </c>
      <c r="P270" s="322">
        <f>O270*H270</f>
        <v>3.11355</v>
      </c>
      <c r="Q270" s="322">
        <v>2.501872204</v>
      </c>
      <c r="R270" s="322">
        <f>Q270*H270</f>
        <v>12.384267409800001</v>
      </c>
      <c r="S270" s="322">
        <v>0</v>
      </c>
      <c r="T270" s="323">
        <f>S270*H270</f>
        <v>0</v>
      </c>
      <c r="U270" s="222"/>
      <c r="V270" s="222"/>
      <c r="W270" s="222"/>
      <c r="X270" s="222"/>
      <c r="Y270" s="222"/>
      <c r="Z270" s="222"/>
      <c r="AA270" s="222"/>
      <c r="AB270" s="222"/>
      <c r="AC270" s="222"/>
      <c r="AD270" s="222"/>
      <c r="AE270" s="222"/>
      <c r="AR270" s="324" t="s">
        <v>153</v>
      </c>
      <c r="AT270" s="324" t="s">
        <v>148</v>
      </c>
      <c r="AU270" s="324" t="s">
        <v>83</v>
      </c>
      <c r="AY270" s="214" t="s">
        <v>146</v>
      </c>
      <c r="BE270" s="325">
        <f>IF(N270="základní",J270,0)</f>
        <v>0</v>
      </c>
      <c r="BF270" s="325">
        <f>IF(N270="snížená",J270,0)</f>
        <v>0</v>
      </c>
      <c r="BG270" s="325">
        <f>IF(N270="zákl. přenesená",J270,0)</f>
        <v>0</v>
      </c>
      <c r="BH270" s="325">
        <f>IF(N270="sníž. přenesená",J270,0)</f>
        <v>0</v>
      </c>
      <c r="BI270" s="325">
        <f>IF(N270="nulová",J270,0)</f>
        <v>0</v>
      </c>
      <c r="BJ270" s="214" t="s">
        <v>81</v>
      </c>
      <c r="BK270" s="325">
        <f>ROUND(I270*H270,2)</f>
        <v>0</v>
      </c>
      <c r="BL270" s="214" t="s">
        <v>153</v>
      </c>
      <c r="BM270" s="324" t="s">
        <v>264</v>
      </c>
    </row>
    <row r="271" spans="2:51" s="326" customFormat="1" ht="12">
      <c r="B271" s="327"/>
      <c r="D271" s="328" t="s">
        <v>155</v>
      </c>
      <c r="E271" s="329" t="s">
        <v>1</v>
      </c>
      <c r="F271" s="330" t="s">
        <v>175</v>
      </c>
      <c r="H271" s="329" t="s">
        <v>1</v>
      </c>
      <c r="I271" s="497"/>
      <c r="L271" s="331"/>
      <c r="M271" s="332"/>
      <c r="N271" s="333"/>
      <c r="O271" s="333"/>
      <c r="P271" s="333"/>
      <c r="Q271" s="333"/>
      <c r="R271" s="333"/>
      <c r="S271" s="333"/>
      <c r="T271" s="334"/>
      <c r="AT271" s="329" t="s">
        <v>155</v>
      </c>
      <c r="AU271" s="329" t="s">
        <v>83</v>
      </c>
      <c r="AV271" s="326" t="s">
        <v>81</v>
      </c>
      <c r="AW271" s="326" t="s">
        <v>34</v>
      </c>
      <c r="AX271" s="326" t="s">
        <v>76</v>
      </c>
      <c r="AY271" s="329" t="s">
        <v>146</v>
      </c>
    </row>
    <row r="272" spans="2:51" s="335" customFormat="1" ht="12">
      <c r="B272" s="336"/>
      <c r="D272" s="328" t="s">
        <v>155</v>
      </c>
      <c r="E272" s="337" t="s">
        <v>1</v>
      </c>
      <c r="F272" s="338" t="s">
        <v>176</v>
      </c>
      <c r="H272" s="339">
        <v>4.95</v>
      </c>
      <c r="I272" s="498"/>
      <c r="L272" s="340"/>
      <c r="M272" s="341"/>
      <c r="N272" s="342"/>
      <c r="O272" s="342"/>
      <c r="P272" s="342"/>
      <c r="Q272" s="342"/>
      <c r="R272" s="342"/>
      <c r="S272" s="342"/>
      <c r="T272" s="343"/>
      <c r="AT272" s="337" t="s">
        <v>155</v>
      </c>
      <c r="AU272" s="337" t="s">
        <v>83</v>
      </c>
      <c r="AV272" s="335" t="s">
        <v>83</v>
      </c>
      <c r="AW272" s="335" t="s">
        <v>34</v>
      </c>
      <c r="AX272" s="335" t="s">
        <v>76</v>
      </c>
      <c r="AY272" s="337" t="s">
        <v>146</v>
      </c>
    </row>
    <row r="273" spans="2:51" s="347" customFormat="1" ht="12">
      <c r="B273" s="348"/>
      <c r="D273" s="328" t="s">
        <v>155</v>
      </c>
      <c r="E273" s="349" t="s">
        <v>1</v>
      </c>
      <c r="F273" s="356" t="s">
        <v>157</v>
      </c>
      <c r="H273" s="351">
        <v>4.95</v>
      </c>
      <c r="I273" s="499"/>
      <c r="L273" s="352"/>
      <c r="M273" s="353"/>
      <c r="N273" s="354"/>
      <c r="O273" s="354"/>
      <c r="P273" s="354"/>
      <c r="Q273" s="354"/>
      <c r="R273" s="354"/>
      <c r="S273" s="354"/>
      <c r="T273" s="355"/>
      <c r="AT273" s="349" t="s">
        <v>155</v>
      </c>
      <c r="AU273" s="349" t="s">
        <v>83</v>
      </c>
      <c r="AV273" s="347" t="s">
        <v>153</v>
      </c>
      <c r="AW273" s="347" t="s">
        <v>34</v>
      </c>
      <c r="AX273" s="347" t="s">
        <v>81</v>
      </c>
      <c r="AY273" s="349" t="s">
        <v>146</v>
      </c>
    </row>
    <row r="274" spans="1:65" s="225" customFormat="1" ht="21.75" customHeight="1">
      <c r="A274" s="222"/>
      <c r="B274" s="223"/>
      <c r="C274" s="314">
        <v>26</v>
      </c>
      <c r="D274" s="314" t="s">
        <v>148</v>
      </c>
      <c r="E274" s="315" t="s">
        <v>266</v>
      </c>
      <c r="F274" s="316" t="s">
        <v>267</v>
      </c>
      <c r="G274" s="317" t="s">
        <v>194</v>
      </c>
      <c r="H274" s="318">
        <f>H275</f>
        <v>0.12375000000000001</v>
      </c>
      <c r="I274" s="79"/>
      <c r="J274" s="319">
        <f>ROUND(I274*H274,2)</f>
        <v>0</v>
      </c>
      <c r="K274" s="316"/>
      <c r="L274" s="229"/>
      <c r="M274" s="320" t="s">
        <v>1</v>
      </c>
      <c r="N274" s="321" t="s">
        <v>42</v>
      </c>
      <c r="O274" s="322">
        <v>23.968</v>
      </c>
      <c r="P274" s="322">
        <f>O274*H274</f>
        <v>2.9660400000000005</v>
      </c>
      <c r="Q274" s="322">
        <v>1.0606208</v>
      </c>
      <c r="R274" s="322">
        <f>Q274*H274</f>
        <v>0.13125182400000002</v>
      </c>
      <c r="S274" s="322">
        <v>0</v>
      </c>
      <c r="T274" s="323">
        <f>S274*H274</f>
        <v>0</v>
      </c>
      <c r="U274" s="222"/>
      <c r="V274" s="222"/>
      <c r="W274" s="222"/>
      <c r="X274" s="222"/>
      <c r="Y274" s="222"/>
      <c r="Z274" s="222"/>
      <c r="AA274" s="222"/>
      <c r="AB274" s="222"/>
      <c r="AC274" s="222"/>
      <c r="AD274" s="222"/>
      <c r="AE274" s="222"/>
      <c r="AR274" s="324" t="s">
        <v>153</v>
      </c>
      <c r="AT274" s="324" t="s">
        <v>148</v>
      </c>
      <c r="AU274" s="324" t="s">
        <v>83</v>
      </c>
      <c r="AY274" s="214" t="s">
        <v>146</v>
      </c>
      <c r="BE274" s="325">
        <f>IF(N274="základní",J274,0)</f>
        <v>0</v>
      </c>
      <c r="BF274" s="325">
        <f>IF(N274="snížená",J274,0)</f>
        <v>0</v>
      </c>
      <c r="BG274" s="325">
        <f>IF(N274="zákl. přenesená",J274,0)</f>
        <v>0</v>
      </c>
      <c r="BH274" s="325">
        <f>IF(N274="sníž. přenesená",J274,0)</f>
        <v>0</v>
      </c>
      <c r="BI274" s="325">
        <f>IF(N274="nulová",J274,0)</f>
        <v>0</v>
      </c>
      <c r="BJ274" s="214" t="s">
        <v>81</v>
      </c>
      <c r="BK274" s="325">
        <f>ROUND(I274*H274,2)</f>
        <v>0</v>
      </c>
      <c r="BL274" s="214" t="s">
        <v>153</v>
      </c>
      <c r="BM274" s="324" t="s">
        <v>268</v>
      </c>
    </row>
    <row r="275" spans="2:51" s="335" customFormat="1" ht="12">
      <c r="B275" s="336"/>
      <c r="D275" s="328" t="s">
        <v>155</v>
      </c>
      <c r="E275" s="337" t="s">
        <v>1</v>
      </c>
      <c r="F275" s="338" t="s">
        <v>2673</v>
      </c>
      <c r="H275" s="339">
        <f>4.95*0.025</f>
        <v>0.12375000000000001</v>
      </c>
      <c r="I275" s="498"/>
      <c r="L275" s="340"/>
      <c r="M275" s="341"/>
      <c r="N275" s="342"/>
      <c r="O275" s="342"/>
      <c r="P275" s="342"/>
      <c r="Q275" s="342"/>
      <c r="R275" s="342"/>
      <c r="S275" s="342"/>
      <c r="T275" s="343"/>
      <c r="AT275" s="337" t="s">
        <v>155</v>
      </c>
      <c r="AU275" s="337" t="s">
        <v>83</v>
      </c>
      <c r="AV275" s="335" t="s">
        <v>83</v>
      </c>
      <c r="AW275" s="335" t="s">
        <v>34</v>
      </c>
      <c r="AX275" s="335" t="s">
        <v>76</v>
      </c>
      <c r="AY275" s="337" t="s">
        <v>146</v>
      </c>
    </row>
    <row r="276" spans="1:65" s="225" customFormat="1" ht="16.5" customHeight="1">
      <c r="A276" s="222"/>
      <c r="B276" s="223"/>
      <c r="C276" s="314">
        <v>27</v>
      </c>
      <c r="D276" s="314" t="s">
        <v>148</v>
      </c>
      <c r="E276" s="315" t="s">
        <v>270</v>
      </c>
      <c r="F276" s="316" t="s">
        <v>271</v>
      </c>
      <c r="G276" s="317" t="s">
        <v>162</v>
      </c>
      <c r="H276" s="318">
        <f>H278</f>
        <v>2.0826</v>
      </c>
      <c r="I276" s="79"/>
      <c r="J276" s="319">
        <f>ROUND(I276*H276,2)</f>
        <v>0</v>
      </c>
      <c r="K276" s="316"/>
      <c r="L276" s="229"/>
      <c r="M276" s="320" t="s">
        <v>1</v>
      </c>
      <c r="N276" s="321" t="s">
        <v>42</v>
      </c>
      <c r="O276" s="322">
        <v>0.584</v>
      </c>
      <c r="P276" s="322">
        <f>O276*H276</f>
        <v>1.2162383999999997</v>
      </c>
      <c r="Q276" s="322">
        <v>2.45329</v>
      </c>
      <c r="R276" s="322">
        <f>Q276*H276</f>
        <v>5.109221753999999</v>
      </c>
      <c r="S276" s="322">
        <v>0</v>
      </c>
      <c r="T276" s="323">
        <f>S276*H276</f>
        <v>0</v>
      </c>
      <c r="U276" s="222"/>
      <c r="V276" s="222"/>
      <c r="W276" s="222"/>
      <c r="X276" s="222"/>
      <c r="Y276" s="222"/>
      <c r="Z276" s="222"/>
      <c r="AA276" s="222"/>
      <c r="AB276" s="222"/>
      <c r="AC276" s="222"/>
      <c r="AD276" s="222"/>
      <c r="AE276" s="222"/>
      <c r="AR276" s="324" t="s">
        <v>153</v>
      </c>
      <c r="AT276" s="324" t="s">
        <v>148</v>
      </c>
      <c r="AU276" s="324" t="s">
        <v>83</v>
      </c>
      <c r="AY276" s="214" t="s">
        <v>146</v>
      </c>
      <c r="BE276" s="325">
        <f>IF(N276="základní",J276,0)</f>
        <v>0</v>
      </c>
      <c r="BF276" s="325">
        <f>IF(N276="snížená",J276,0)</f>
        <v>0</v>
      </c>
      <c r="BG276" s="325">
        <f>IF(N276="zákl. přenesená",J276,0)</f>
        <v>0</v>
      </c>
      <c r="BH276" s="325">
        <f>IF(N276="sníž. přenesená",J276,0)</f>
        <v>0</v>
      </c>
      <c r="BI276" s="325">
        <f>IF(N276="nulová",J276,0)</f>
        <v>0</v>
      </c>
      <c r="BJ276" s="214" t="s">
        <v>81</v>
      </c>
      <c r="BK276" s="325">
        <f>ROUND(I276*H276,2)</f>
        <v>0</v>
      </c>
      <c r="BL276" s="214" t="s">
        <v>153</v>
      </c>
      <c r="BM276" s="324" t="s">
        <v>272</v>
      </c>
    </row>
    <row r="277" spans="2:51" s="326" customFormat="1" ht="12">
      <c r="B277" s="327"/>
      <c r="D277" s="328" t="s">
        <v>155</v>
      </c>
      <c r="E277" s="329" t="s">
        <v>1</v>
      </c>
      <c r="F277" s="330" t="s">
        <v>170</v>
      </c>
      <c r="H277" s="329" t="s">
        <v>1</v>
      </c>
      <c r="I277" s="497"/>
      <c r="L277" s="331"/>
      <c r="M277" s="332"/>
      <c r="N277" s="333"/>
      <c r="O277" s="333"/>
      <c r="P277" s="333"/>
      <c r="Q277" s="333"/>
      <c r="R277" s="333"/>
      <c r="S277" s="333"/>
      <c r="T277" s="334"/>
      <c r="AT277" s="329" t="s">
        <v>155</v>
      </c>
      <c r="AU277" s="329" t="s">
        <v>83</v>
      </c>
      <c r="AV277" s="326" t="s">
        <v>81</v>
      </c>
      <c r="AW277" s="326" t="s">
        <v>34</v>
      </c>
      <c r="AX277" s="326" t="s">
        <v>76</v>
      </c>
      <c r="AY277" s="329" t="s">
        <v>146</v>
      </c>
    </row>
    <row r="278" spans="2:51" s="335" customFormat="1" ht="12">
      <c r="B278" s="336"/>
      <c r="D278" s="328" t="s">
        <v>155</v>
      </c>
      <c r="E278" s="337" t="s">
        <v>1</v>
      </c>
      <c r="F278" s="338" t="s">
        <v>2634</v>
      </c>
      <c r="H278" s="339">
        <f>(0.6*0.42+0.6*2.25)*1.3</f>
        <v>2.0826</v>
      </c>
      <c r="I278" s="498"/>
      <c r="L278" s="340"/>
      <c r="M278" s="341"/>
      <c r="N278" s="342"/>
      <c r="O278" s="342"/>
      <c r="P278" s="342"/>
      <c r="Q278" s="342"/>
      <c r="R278" s="342"/>
      <c r="S278" s="342"/>
      <c r="T278" s="343"/>
      <c r="AT278" s="337" t="s">
        <v>155</v>
      </c>
      <c r="AU278" s="337" t="s">
        <v>83</v>
      </c>
      <c r="AV278" s="335" t="s">
        <v>83</v>
      </c>
      <c r="AW278" s="335" t="s">
        <v>34</v>
      </c>
      <c r="AX278" s="335" t="s">
        <v>81</v>
      </c>
      <c r="AY278" s="337" t="s">
        <v>146</v>
      </c>
    </row>
    <row r="279" spans="2:63" s="297" customFormat="1" ht="22.9" customHeight="1">
      <c r="B279" s="298"/>
      <c r="D279" s="299" t="s">
        <v>75</v>
      </c>
      <c r="E279" s="310" t="s">
        <v>159</v>
      </c>
      <c r="F279" s="310" t="s">
        <v>273</v>
      </c>
      <c r="I279" s="501"/>
      <c r="J279" s="311">
        <f>SUM(J280:J432)</f>
        <v>0</v>
      </c>
      <c r="L279" s="302"/>
      <c r="M279" s="303"/>
      <c r="N279" s="304"/>
      <c r="O279" s="304"/>
      <c r="P279" s="305">
        <f>SUM(P280:P430)</f>
        <v>325.17364807499996</v>
      </c>
      <c r="Q279" s="304"/>
      <c r="R279" s="305">
        <f>SUM(R280:R430)</f>
        <v>37.916930399849996</v>
      </c>
      <c r="S279" s="304"/>
      <c r="T279" s="313">
        <f>SUM(T280:T430)</f>
        <v>0</v>
      </c>
      <c r="AR279" s="299" t="s">
        <v>81</v>
      </c>
      <c r="AT279" s="308" t="s">
        <v>75</v>
      </c>
      <c r="AU279" s="308" t="s">
        <v>81</v>
      </c>
      <c r="AY279" s="299" t="s">
        <v>146</v>
      </c>
      <c r="BK279" s="309">
        <f>SUM(BK280:BK430)</f>
        <v>0</v>
      </c>
    </row>
    <row r="280" spans="1:65" s="225" customFormat="1" ht="33" customHeight="1">
      <c r="A280" s="222"/>
      <c r="B280" s="223"/>
      <c r="C280" s="314">
        <v>28</v>
      </c>
      <c r="D280" s="314" t="s">
        <v>148</v>
      </c>
      <c r="E280" s="315" t="s">
        <v>275</v>
      </c>
      <c r="F280" s="316" t="s">
        <v>276</v>
      </c>
      <c r="G280" s="317" t="s">
        <v>162</v>
      </c>
      <c r="H280" s="318">
        <f>H297</f>
        <v>8.558774999999999</v>
      </c>
      <c r="I280" s="79"/>
      <c r="J280" s="319">
        <f>ROUND(I280*H280,2)</f>
        <v>0</v>
      </c>
      <c r="K280" s="316"/>
      <c r="L280" s="229"/>
      <c r="M280" s="320" t="s">
        <v>1</v>
      </c>
      <c r="N280" s="321" t="s">
        <v>42</v>
      </c>
      <c r="O280" s="322">
        <v>3.699</v>
      </c>
      <c r="P280" s="322">
        <f>O280*H280</f>
        <v>31.658908724999996</v>
      </c>
      <c r="Q280" s="322">
        <v>1.32715</v>
      </c>
      <c r="R280" s="322">
        <f>Q280*H280</f>
        <v>11.358778241249999</v>
      </c>
      <c r="S280" s="322">
        <v>0</v>
      </c>
      <c r="T280" s="323">
        <f>S280*H280</f>
        <v>0</v>
      </c>
      <c r="U280" s="222"/>
      <c r="V280" s="222"/>
      <c r="W280" s="222"/>
      <c r="X280" s="222"/>
      <c r="Y280" s="222"/>
      <c r="Z280" s="222"/>
      <c r="AA280" s="222"/>
      <c r="AB280" s="222"/>
      <c r="AC280" s="222"/>
      <c r="AD280" s="222"/>
      <c r="AE280" s="222"/>
      <c r="AR280" s="324" t="s">
        <v>153</v>
      </c>
      <c r="AT280" s="324" t="s">
        <v>148</v>
      </c>
      <c r="AU280" s="324" t="s">
        <v>83</v>
      </c>
      <c r="AY280" s="214" t="s">
        <v>146</v>
      </c>
      <c r="BE280" s="325">
        <f>IF(N280="základní",J280,0)</f>
        <v>0</v>
      </c>
      <c r="BF280" s="325">
        <f>IF(N280="snížená",J280,0)</f>
        <v>0</v>
      </c>
      <c r="BG280" s="325">
        <f>IF(N280="zákl. přenesená",J280,0)</f>
        <v>0</v>
      </c>
      <c r="BH280" s="325">
        <f>IF(N280="sníž. přenesená",J280,0)</f>
        <v>0</v>
      </c>
      <c r="BI280" s="325">
        <f>IF(N280="nulová",J280,0)</f>
        <v>0</v>
      </c>
      <c r="BJ280" s="214" t="s">
        <v>81</v>
      </c>
      <c r="BK280" s="325">
        <f>ROUND(I280*H280,2)</f>
        <v>0</v>
      </c>
      <c r="BL280" s="214" t="s">
        <v>153</v>
      </c>
      <c r="BM280" s="324" t="s">
        <v>277</v>
      </c>
    </row>
    <row r="281" spans="2:51" s="326" customFormat="1" ht="12">
      <c r="B281" s="327"/>
      <c r="D281" s="328" t="s">
        <v>155</v>
      </c>
      <c r="E281" s="329" t="s">
        <v>1</v>
      </c>
      <c r="F281" s="330" t="s">
        <v>3013</v>
      </c>
      <c r="H281" s="329" t="s">
        <v>1</v>
      </c>
      <c r="I281" s="497"/>
      <c r="L281" s="331"/>
      <c r="M281" s="332"/>
      <c r="N281" s="333"/>
      <c r="O281" s="333"/>
      <c r="P281" s="333"/>
      <c r="Q281" s="333"/>
      <c r="R281" s="333"/>
      <c r="S281" s="333"/>
      <c r="T281" s="334"/>
      <c r="AT281" s="329" t="s">
        <v>155</v>
      </c>
      <c r="AU281" s="329" t="s">
        <v>83</v>
      </c>
      <c r="AV281" s="326" t="s">
        <v>81</v>
      </c>
      <c r="AW281" s="326" t="s">
        <v>34</v>
      </c>
      <c r="AX281" s="326" t="s">
        <v>76</v>
      </c>
      <c r="AY281" s="329" t="s">
        <v>146</v>
      </c>
    </row>
    <row r="282" spans="2:51" s="335" customFormat="1" ht="12">
      <c r="B282" s="336"/>
      <c r="D282" s="328" t="s">
        <v>155</v>
      </c>
      <c r="E282" s="337" t="s">
        <v>1</v>
      </c>
      <c r="F282" s="338" t="s">
        <v>2633</v>
      </c>
      <c r="H282" s="339">
        <f>0.9*2*0.15</f>
        <v>0.27</v>
      </c>
      <c r="I282" s="498"/>
      <c r="L282" s="340"/>
      <c r="M282" s="341"/>
      <c r="N282" s="342"/>
      <c r="O282" s="342"/>
      <c r="P282" s="342"/>
      <c r="Q282" s="342"/>
      <c r="R282" s="342"/>
      <c r="S282" s="342"/>
      <c r="T282" s="343"/>
      <c r="AT282" s="337" t="s">
        <v>155</v>
      </c>
      <c r="AU282" s="337" t="s">
        <v>83</v>
      </c>
      <c r="AV282" s="335" t="s">
        <v>83</v>
      </c>
      <c r="AW282" s="335" t="s">
        <v>34</v>
      </c>
      <c r="AX282" s="335" t="s">
        <v>76</v>
      </c>
      <c r="AY282" s="337" t="s">
        <v>146</v>
      </c>
    </row>
    <row r="283" spans="2:51" s="326" customFormat="1" ht="12">
      <c r="B283" s="327"/>
      <c r="D283" s="328" t="s">
        <v>155</v>
      </c>
      <c r="E283" s="329" t="s">
        <v>1</v>
      </c>
      <c r="F283" s="330" t="s">
        <v>278</v>
      </c>
      <c r="H283" s="329" t="s">
        <v>1</v>
      </c>
      <c r="I283" s="497"/>
      <c r="L283" s="331"/>
      <c r="M283" s="332"/>
      <c r="N283" s="333"/>
      <c r="O283" s="333"/>
      <c r="P283" s="333"/>
      <c r="Q283" s="333"/>
      <c r="R283" s="333"/>
      <c r="S283" s="333"/>
      <c r="T283" s="334"/>
      <c r="AT283" s="329" t="s">
        <v>155</v>
      </c>
      <c r="AU283" s="329" t="s">
        <v>83</v>
      </c>
      <c r="AV283" s="326" t="s">
        <v>81</v>
      </c>
      <c r="AW283" s="326" t="s">
        <v>34</v>
      </c>
      <c r="AX283" s="326" t="s">
        <v>76</v>
      </c>
      <c r="AY283" s="329" t="s">
        <v>146</v>
      </c>
    </row>
    <row r="284" spans="2:51" s="335" customFormat="1" ht="12">
      <c r="B284" s="336"/>
      <c r="D284" s="328" t="s">
        <v>155</v>
      </c>
      <c r="E284" s="337" t="s">
        <v>1</v>
      </c>
      <c r="F284" s="338" t="s">
        <v>2633</v>
      </c>
      <c r="H284" s="339">
        <f>0.9*2*0.15</f>
        <v>0.27</v>
      </c>
      <c r="I284" s="498"/>
      <c r="L284" s="340"/>
      <c r="M284" s="341"/>
      <c r="N284" s="342"/>
      <c r="O284" s="342"/>
      <c r="P284" s="342"/>
      <c r="Q284" s="342"/>
      <c r="R284" s="342"/>
      <c r="S284" s="342"/>
      <c r="T284" s="343"/>
      <c r="AT284" s="337" t="s">
        <v>155</v>
      </c>
      <c r="AU284" s="337" t="s">
        <v>83</v>
      </c>
      <c r="AV284" s="335" t="s">
        <v>83</v>
      </c>
      <c r="AW284" s="335" t="s">
        <v>34</v>
      </c>
      <c r="AX284" s="335" t="s">
        <v>76</v>
      </c>
      <c r="AY284" s="337" t="s">
        <v>146</v>
      </c>
    </row>
    <row r="285" spans="2:51" s="326" customFormat="1" ht="12">
      <c r="B285" s="327"/>
      <c r="D285" s="328" t="s">
        <v>155</v>
      </c>
      <c r="E285" s="329" t="s">
        <v>1</v>
      </c>
      <c r="F285" s="330" t="s">
        <v>279</v>
      </c>
      <c r="H285" s="329" t="s">
        <v>1</v>
      </c>
      <c r="I285" s="497"/>
      <c r="L285" s="331"/>
      <c r="M285" s="332"/>
      <c r="N285" s="333"/>
      <c r="O285" s="333"/>
      <c r="P285" s="333"/>
      <c r="Q285" s="333"/>
      <c r="R285" s="333"/>
      <c r="S285" s="333"/>
      <c r="T285" s="334"/>
      <c r="AT285" s="329" t="s">
        <v>155</v>
      </c>
      <c r="AU285" s="329" t="s">
        <v>83</v>
      </c>
      <c r="AV285" s="326" t="s">
        <v>81</v>
      </c>
      <c r="AW285" s="326" t="s">
        <v>34</v>
      </c>
      <c r="AX285" s="326" t="s">
        <v>76</v>
      </c>
      <c r="AY285" s="329" t="s">
        <v>146</v>
      </c>
    </row>
    <row r="286" spans="2:51" s="335" customFormat="1" ht="12">
      <c r="B286" s="336"/>
      <c r="D286" s="328" t="s">
        <v>155</v>
      </c>
      <c r="E286" s="337" t="s">
        <v>1</v>
      </c>
      <c r="F286" s="338" t="s">
        <v>2675</v>
      </c>
      <c r="H286" s="339">
        <f>(0.9*2-0.75*0.75)*0.15</f>
        <v>0.185625</v>
      </c>
      <c r="I286" s="498"/>
      <c r="L286" s="340"/>
      <c r="M286" s="341"/>
      <c r="N286" s="342"/>
      <c r="O286" s="342"/>
      <c r="P286" s="342"/>
      <c r="Q286" s="342"/>
      <c r="R286" s="342"/>
      <c r="S286" s="342"/>
      <c r="T286" s="343"/>
      <c r="AT286" s="337" t="s">
        <v>155</v>
      </c>
      <c r="AU286" s="337" t="s">
        <v>83</v>
      </c>
      <c r="AV286" s="335" t="s">
        <v>83</v>
      </c>
      <c r="AW286" s="335" t="s">
        <v>34</v>
      </c>
      <c r="AX286" s="335" t="s">
        <v>76</v>
      </c>
      <c r="AY286" s="337" t="s">
        <v>146</v>
      </c>
    </row>
    <row r="287" spans="2:51" s="326" customFormat="1" ht="12">
      <c r="B287" s="327"/>
      <c r="D287" s="328" t="s">
        <v>155</v>
      </c>
      <c r="E287" s="329" t="s">
        <v>1</v>
      </c>
      <c r="F287" s="330" t="s">
        <v>280</v>
      </c>
      <c r="H287" s="329" t="s">
        <v>1</v>
      </c>
      <c r="I287" s="497"/>
      <c r="L287" s="331"/>
      <c r="M287" s="332"/>
      <c r="N287" s="333"/>
      <c r="O287" s="333"/>
      <c r="P287" s="333"/>
      <c r="Q287" s="333"/>
      <c r="R287" s="333"/>
      <c r="S287" s="333"/>
      <c r="T287" s="334"/>
      <c r="AT287" s="329" t="s">
        <v>155</v>
      </c>
      <c r="AU287" s="329" t="s">
        <v>83</v>
      </c>
      <c r="AV287" s="326" t="s">
        <v>81</v>
      </c>
      <c r="AW287" s="326" t="s">
        <v>34</v>
      </c>
      <c r="AX287" s="326" t="s">
        <v>76</v>
      </c>
      <c r="AY287" s="329" t="s">
        <v>146</v>
      </c>
    </row>
    <row r="288" spans="2:51" s="335" customFormat="1" ht="12">
      <c r="B288" s="336"/>
      <c r="D288" s="328" t="s">
        <v>155</v>
      </c>
      <c r="E288" s="337" t="s">
        <v>1</v>
      </c>
      <c r="F288" s="338" t="s">
        <v>281</v>
      </c>
      <c r="H288" s="339">
        <f>1.575*2.9*0.3</f>
        <v>1.37025</v>
      </c>
      <c r="I288" s="498"/>
      <c r="L288" s="340"/>
      <c r="M288" s="341"/>
      <c r="N288" s="342"/>
      <c r="O288" s="342"/>
      <c r="P288" s="342"/>
      <c r="Q288" s="342"/>
      <c r="R288" s="342"/>
      <c r="S288" s="342"/>
      <c r="T288" s="343"/>
      <c r="AT288" s="337" t="s">
        <v>155</v>
      </c>
      <c r="AU288" s="337" t="s">
        <v>83</v>
      </c>
      <c r="AV288" s="335" t="s">
        <v>83</v>
      </c>
      <c r="AW288" s="335" t="s">
        <v>34</v>
      </c>
      <c r="AX288" s="335" t="s">
        <v>76</v>
      </c>
      <c r="AY288" s="337" t="s">
        <v>146</v>
      </c>
    </row>
    <row r="289" spans="2:51" s="326" customFormat="1" ht="12">
      <c r="B289" s="327"/>
      <c r="D289" s="328" t="s">
        <v>155</v>
      </c>
      <c r="E289" s="329" t="s">
        <v>1</v>
      </c>
      <c r="F289" s="330" t="s">
        <v>3235</v>
      </c>
      <c r="H289" s="329" t="s">
        <v>1</v>
      </c>
      <c r="I289" s="497"/>
      <c r="L289" s="331"/>
      <c r="M289" s="332"/>
      <c r="N289" s="333"/>
      <c r="O289" s="333"/>
      <c r="P289" s="333"/>
      <c r="Q289" s="333"/>
      <c r="R289" s="333"/>
      <c r="S289" s="333"/>
      <c r="T289" s="334"/>
      <c r="AT289" s="329" t="s">
        <v>155</v>
      </c>
      <c r="AU289" s="329" t="s">
        <v>83</v>
      </c>
      <c r="AV289" s="326" t="s">
        <v>81</v>
      </c>
      <c r="AW289" s="326" t="s">
        <v>34</v>
      </c>
      <c r="AX289" s="326" t="s">
        <v>76</v>
      </c>
      <c r="AY289" s="329" t="s">
        <v>146</v>
      </c>
    </row>
    <row r="290" spans="2:51" s="335" customFormat="1" ht="12">
      <c r="B290" s="336"/>
      <c r="D290" s="328" t="s">
        <v>155</v>
      </c>
      <c r="E290" s="337" t="s">
        <v>1</v>
      </c>
      <c r="F290" s="338" t="s">
        <v>282</v>
      </c>
      <c r="H290" s="339">
        <v>2.025</v>
      </c>
      <c r="I290" s="498"/>
      <c r="L290" s="340"/>
      <c r="M290" s="341"/>
      <c r="N290" s="342"/>
      <c r="O290" s="342"/>
      <c r="P290" s="342"/>
      <c r="Q290" s="342"/>
      <c r="R290" s="342"/>
      <c r="S290" s="342"/>
      <c r="T290" s="343"/>
      <c r="AT290" s="337" t="s">
        <v>155</v>
      </c>
      <c r="AU290" s="337" t="s">
        <v>83</v>
      </c>
      <c r="AV290" s="335" t="s">
        <v>83</v>
      </c>
      <c r="AW290" s="335" t="s">
        <v>34</v>
      </c>
      <c r="AX290" s="335" t="s">
        <v>76</v>
      </c>
      <c r="AY290" s="337" t="s">
        <v>146</v>
      </c>
    </row>
    <row r="291" spans="2:51" s="326" customFormat="1" ht="12">
      <c r="B291" s="327"/>
      <c r="D291" s="328" t="s">
        <v>155</v>
      </c>
      <c r="E291" s="329" t="s">
        <v>1</v>
      </c>
      <c r="F291" s="330" t="s">
        <v>3236</v>
      </c>
      <c r="H291" s="329" t="s">
        <v>1</v>
      </c>
      <c r="I291" s="497"/>
      <c r="L291" s="331"/>
      <c r="M291" s="332"/>
      <c r="N291" s="333"/>
      <c r="O291" s="333"/>
      <c r="P291" s="333"/>
      <c r="Q291" s="333"/>
      <c r="R291" s="333"/>
      <c r="S291" s="333"/>
      <c r="T291" s="334"/>
      <c r="AT291" s="329" t="s">
        <v>155</v>
      </c>
      <c r="AU291" s="329" t="s">
        <v>83</v>
      </c>
      <c r="AV291" s="326" t="s">
        <v>81</v>
      </c>
      <c r="AW291" s="326" t="s">
        <v>34</v>
      </c>
      <c r="AX291" s="326" t="s">
        <v>76</v>
      </c>
      <c r="AY291" s="329" t="s">
        <v>146</v>
      </c>
    </row>
    <row r="292" spans="2:51" s="335" customFormat="1" ht="12">
      <c r="B292" s="336"/>
      <c r="D292" s="328" t="s">
        <v>155</v>
      </c>
      <c r="E292" s="337" t="s">
        <v>1</v>
      </c>
      <c r="F292" s="338" t="s">
        <v>283</v>
      </c>
      <c r="H292" s="339">
        <f>(6.21*2.9-2.1*1.5*2)*0.3</f>
        <v>3.5126999999999997</v>
      </c>
      <c r="I292" s="498"/>
      <c r="L292" s="340"/>
      <c r="M292" s="341"/>
      <c r="N292" s="342"/>
      <c r="O292" s="342"/>
      <c r="P292" s="342"/>
      <c r="Q292" s="342"/>
      <c r="R292" s="342"/>
      <c r="S292" s="342"/>
      <c r="T292" s="343"/>
      <c r="AT292" s="337" t="s">
        <v>155</v>
      </c>
      <c r="AU292" s="337" t="s">
        <v>83</v>
      </c>
      <c r="AV292" s="335" t="s">
        <v>83</v>
      </c>
      <c r="AW292" s="335" t="s">
        <v>34</v>
      </c>
      <c r="AX292" s="335" t="s">
        <v>76</v>
      </c>
      <c r="AY292" s="337" t="s">
        <v>146</v>
      </c>
    </row>
    <row r="293" spans="2:51" s="326" customFormat="1" ht="12">
      <c r="B293" s="327"/>
      <c r="D293" s="328" t="s">
        <v>155</v>
      </c>
      <c r="E293" s="329" t="s">
        <v>1</v>
      </c>
      <c r="F293" s="330" t="s">
        <v>3237</v>
      </c>
      <c r="H293" s="329" t="s">
        <v>1</v>
      </c>
      <c r="I293" s="497"/>
      <c r="L293" s="331"/>
      <c r="M293" s="332"/>
      <c r="N293" s="333"/>
      <c r="O293" s="333"/>
      <c r="P293" s="333"/>
      <c r="Q293" s="333"/>
      <c r="R293" s="333"/>
      <c r="S293" s="333"/>
      <c r="T293" s="334"/>
      <c r="AT293" s="329" t="s">
        <v>155</v>
      </c>
      <c r="AU293" s="329" t="s">
        <v>83</v>
      </c>
      <c r="AV293" s="326" t="s">
        <v>81</v>
      </c>
      <c r="AW293" s="326" t="s">
        <v>34</v>
      </c>
      <c r="AX293" s="326" t="s">
        <v>76</v>
      </c>
      <c r="AY293" s="329" t="s">
        <v>146</v>
      </c>
    </row>
    <row r="294" spans="2:51" s="335" customFormat="1" ht="12">
      <c r="B294" s="336"/>
      <c r="D294" s="328" t="s">
        <v>155</v>
      </c>
      <c r="E294" s="337" t="s">
        <v>1</v>
      </c>
      <c r="F294" s="338" t="s">
        <v>284</v>
      </c>
      <c r="H294" s="339">
        <f>(1.8*0.88+0.1*1.5)*0.3</f>
        <v>0.5202</v>
      </c>
      <c r="I294" s="498"/>
      <c r="L294" s="340"/>
      <c r="M294" s="341"/>
      <c r="N294" s="342"/>
      <c r="O294" s="342"/>
      <c r="P294" s="342"/>
      <c r="Q294" s="342"/>
      <c r="R294" s="342"/>
      <c r="S294" s="342"/>
      <c r="T294" s="343"/>
      <c r="AT294" s="337" t="s">
        <v>155</v>
      </c>
      <c r="AU294" s="337" t="s">
        <v>83</v>
      </c>
      <c r="AV294" s="335" t="s">
        <v>83</v>
      </c>
      <c r="AW294" s="335" t="s">
        <v>34</v>
      </c>
      <c r="AX294" s="335" t="s">
        <v>76</v>
      </c>
      <c r="AY294" s="337" t="s">
        <v>146</v>
      </c>
    </row>
    <row r="295" spans="2:51" s="326" customFormat="1" ht="12">
      <c r="B295" s="327"/>
      <c r="D295" s="328" t="s">
        <v>155</v>
      </c>
      <c r="E295" s="329" t="s">
        <v>1</v>
      </c>
      <c r="F295" s="330" t="s">
        <v>285</v>
      </c>
      <c r="H295" s="329" t="s">
        <v>1</v>
      </c>
      <c r="I295" s="497"/>
      <c r="L295" s="331"/>
      <c r="M295" s="332"/>
      <c r="N295" s="333"/>
      <c r="O295" s="333"/>
      <c r="P295" s="333"/>
      <c r="Q295" s="333"/>
      <c r="R295" s="333"/>
      <c r="S295" s="333"/>
      <c r="T295" s="334"/>
      <c r="AT295" s="329" t="s">
        <v>155</v>
      </c>
      <c r="AU295" s="329" t="s">
        <v>83</v>
      </c>
      <c r="AV295" s="326" t="s">
        <v>81</v>
      </c>
      <c r="AW295" s="326" t="s">
        <v>34</v>
      </c>
      <c r="AX295" s="326" t="s">
        <v>76</v>
      </c>
      <c r="AY295" s="329" t="s">
        <v>146</v>
      </c>
    </row>
    <row r="296" spans="2:51" s="335" customFormat="1" ht="12">
      <c r="B296" s="336"/>
      <c r="D296" s="328" t="s">
        <v>155</v>
      </c>
      <c r="E296" s="337" t="s">
        <v>1</v>
      </c>
      <c r="F296" s="338" t="s">
        <v>286</v>
      </c>
      <c r="H296" s="339">
        <f>1.5*0.9*0.3</f>
        <v>0.405</v>
      </c>
      <c r="I296" s="498"/>
      <c r="L296" s="340"/>
      <c r="M296" s="341"/>
      <c r="N296" s="342"/>
      <c r="O296" s="342"/>
      <c r="P296" s="342"/>
      <c r="Q296" s="342"/>
      <c r="R296" s="342"/>
      <c r="S296" s="342"/>
      <c r="T296" s="343"/>
      <c r="AT296" s="337" t="s">
        <v>155</v>
      </c>
      <c r="AU296" s="337" t="s">
        <v>83</v>
      </c>
      <c r="AV296" s="335" t="s">
        <v>83</v>
      </c>
      <c r="AW296" s="335" t="s">
        <v>34</v>
      </c>
      <c r="AX296" s="335" t="s">
        <v>76</v>
      </c>
      <c r="AY296" s="337" t="s">
        <v>146</v>
      </c>
    </row>
    <row r="297" spans="2:51" s="347" customFormat="1" ht="12">
      <c r="B297" s="348"/>
      <c r="D297" s="328" t="s">
        <v>155</v>
      </c>
      <c r="E297" s="349" t="s">
        <v>1</v>
      </c>
      <c r="F297" s="356" t="s">
        <v>157</v>
      </c>
      <c r="H297" s="351">
        <f>SUM(H282:H296)</f>
        <v>8.558774999999999</v>
      </c>
      <c r="I297" s="499"/>
      <c r="L297" s="352"/>
      <c r="M297" s="353"/>
      <c r="N297" s="354"/>
      <c r="O297" s="354"/>
      <c r="P297" s="354"/>
      <c r="Q297" s="354"/>
      <c r="R297" s="354"/>
      <c r="S297" s="354"/>
      <c r="T297" s="355"/>
      <c r="AT297" s="349" t="s">
        <v>155</v>
      </c>
      <c r="AU297" s="349" t="s">
        <v>83</v>
      </c>
      <c r="AV297" s="347" t="s">
        <v>153</v>
      </c>
      <c r="AW297" s="347" t="s">
        <v>34</v>
      </c>
      <c r="AX297" s="347" t="s">
        <v>81</v>
      </c>
      <c r="AY297" s="349" t="s">
        <v>146</v>
      </c>
    </row>
    <row r="298" spans="1:65" s="225" customFormat="1" ht="37.9" customHeight="1">
      <c r="A298" s="222"/>
      <c r="B298" s="223"/>
      <c r="C298" s="314">
        <v>29</v>
      </c>
      <c r="D298" s="314" t="s">
        <v>148</v>
      </c>
      <c r="E298" s="315" t="s">
        <v>288</v>
      </c>
      <c r="F298" s="316" t="s">
        <v>289</v>
      </c>
      <c r="G298" s="317" t="s">
        <v>151</v>
      </c>
      <c r="H298" s="318">
        <f>H302</f>
        <v>25.887</v>
      </c>
      <c r="I298" s="79"/>
      <c r="J298" s="319">
        <f>ROUND(I298*H298,2)</f>
        <v>0</v>
      </c>
      <c r="K298" s="316"/>
      <c r="L298" s="229"/>
      <c r="M298" s="320" t="s">
        <v>1</v>
      </c>
      <c r="N298" s="321" t="s">
        <v>42</v>
      </c>
      <c r="O298" s="322">
        <v>0.579</v>
      </c>
      <c r="P298" s="322">
        <f>O298*H298</f>
        <v>14.988572999999999</v>
      </c>
      <c r="Q298" s="322">
        <v>0.14574</v>
      </c>
      <c r="R298" s="322">
        <f>Q298*H298</f>
        <v>3.7727713800000005</v>
      </c>
      <c r="S298" s="322">
        <v>0</v>
      </c>
      <c r="T298" s="323">
        <f>S298*H298</f>
        <v>0</v>
      </c>
      <c r="U298" s="222"/>
      <c r="V298" s="222"/>
      <c r="W298" s="222"/>
      <c r="X298" s="222"/>
      <c r="Y298" s="222"/>
      <c r="Z298" s="222"/>
      <c r="AA298" s="222"/>
      <c r="AB298" s="222"/>
      <c r="AC298" s="222"/>
      <c r="AD298" s="222"/>
      <c r="AE298" s="222"/>
      <c r="AR298" s="324" t="s">
        <v>153</v>
      </c>
      <c r="AT298" s="324" t="s">
        <v>148</v>
      </c>
      <c r="AU298" s="324" t="s">
        <v>83</v>
      </c>
      <c r="AY298" s="214" t="s">
        <v>146</v>
      </c>
      <c r="BE298" s="325">
        <f>IF(N298="základní",J298,0)</f>
        <v>0</v>
      </c>
      <c r="BF298" s="325">
        <f>IF(N298="snížená",J298,0)</f>
        <v>0</v>
      </c>
      <c r="BG298" s="325">
        <f>IF(N298="zákl. přenesená",J298,0)</f>
        <v>0</v>
      </c>
      <c r="BH298" s="325">
        <f>IF(N298="sníž. přenesená",J298,0)</f>
        <v>0</v>
      </c>
      <c r="BI298" s="325">
        <f>IF(N298="nulová",J298,0)</f>
        <v>0</v>
      </c>
      <c r="BJ298" s="214" t="s">
        <v>81</v>
      </c>
      <c r="BK298" s="325">
        <f>ROUND(I298*H298,2)</f>
        <v>0</v>
      </c>
      <c r="BL298" s="214" t="s">
        <v>153</v>
      </c>
      <c r="BM298" s="324" t="s">
        <v>290</v>
      </c>
    </row>
    <row r="299" spans="2:51" s="326" customFormat="1" ht="12">
      <c r="B299" s="327"/>
      <c r="D299" s="328" t="s">
        <v>155</v>
      </c>
      <c r="E299" s="329" t="s">
        <v>1</v>
      </c>
      <c r="F299" s="330" t="s">
        <v>291</v>
      </c>
      <c r="H299" s="329" t="s">
        <v>1</v>
      </c>
      <c r="I299" s="497"/>
      <c r="L299" s="331"/>
      <c r="M299" s="332"/>
      <c r="N299" s="333"/>
      <c r="O299" s="333"/>
      <c r="P299" s="333"/>
      <c r="Q299" s="333"/>
      <c r="R299" s="333"/>
      <c r="S299" s="333"/>
      <c r="T299" s="334"/>
      <c r="AT299" s="329" t="s">
        <v>155</v>
      </c>
      <c r="AU299" s="329" t="s">
        <v>83</v>
      </c>
      <c r="AV299" s="326" t="s">
        <v>81</v>
      </c>
      <c r="AW299" s="326" t="s">
        <v>34</v>
      </c>
      <c r="AX299" s="326" t="s">
        <v>76</v>
      </c>
      <c r="AY299" s="329" t="s">
        <v>146</v>
      </c>
    </row>
    <row r="300" spans="2:51" s="335" customFormat="1" ht="12">
      <c r="B300" s="336"/>
      <c r="D300" s="328" t="s">
        <v>155</v>
      </c>
      <c r="E300" s="337" t="s">
        <v>1</v>
      </c>
      <c r="F300" s="338" t="s">
        <v>3688</v>
      </c>
      <c r="H300" s="339">
        <f>9.675*3.15+3.525*0.23</f>
        <v>31.287</v>
      </c>
      <c r="I300" s="498"/>
      <c r="L300" s="340"/>
      <c r="M300" s="341"/>
      <c r="N300" s="342"/>
      <c r="O300" s="342"/>
      <c r="P300" s="342"/>
      <c r="Q300" s="342"/>
      <c r="R300" s="342"/>
      <c r="S300" s="342"/>
      <c r="T300" s="343"/>
      <c r="AT300" s="337" t="s">
        <v>155</v>
      </c>
      <c r="AU300" s="337" t="s">
        <v>83</v>
      </c>
      <c r="AV300" s="335" t="s">
        <v>83</v>
      </c>
      <c r="AW300" s="335" t="s">
        <v>34</v>
      </c>
      <c r="AX300" s="335" t="s">
        <v>76</v>
      </c>
      <c r="AY300" s="337" t="s">
        <v>146</v>
      </c>
    </row>
    <row r="301" spans="2:51" s="335" customFormat="1" ht="12">
      <c r="B301" s="336"/>
      <c r="D301" s="328" t="s">
        <v>155</v>
      </c>
      <c r="E301" s="337" t="s">
        <v>1</v>
      </c>
      <c r="F301" s="338" t="s">
        <v>292</v>
      </c>
      <c r="H301" s="339">
        <f>-0.9*2*3</f>
        <v>-5.4</v>
      </c>
      <c r="I301" s="498"/>
      <c r="L301" s="340"/>
      <c r="M301" s="341"/>
      <c r="N301" s="342"/>
      <c r="O301" s="342"/>
      <c r="P301" s="342"/>
      <c r="Q301" s="342"/>
      <c r="R301" s="342"/>
      <c r="S301" s="342"/>
      <c r="T301" s="343"/>
      <c r="AT301" s="337" t="s">
        <v>155</v>
      </c>
      <c r="AU301" s="337" t="s">
        <v>83</v>
      </c>
      <c r="AV301" s="335" t="s">
        <v>83</v>
      </c>
      <c r="AW301" s="335" t="s">
        <v>34</v>
      </c>
      <c r="AX301" s="335" t="s">
        <v>76</v>
      </c>
      <c r="AY301" s="337" t="s">
        <v>146</v>
      </c>
    </row>
    <row r="302" spans="2:51" s="347" customFormat="1" ht="12">
      <c r="B302" s="348"/>
      <c r="D302" s="328" t="s">
        <v>155</v>
      </c>
      <c r="E302" s="349" t="s">
        <v>1</v>
      </c>
      <c r="F302" s="356" t="s">
        <v>157</v>
      </c>
      <c r="H302" s="351">
        <f>SUM(H300:H301)</f>
        <v>25.887</v>
      </c>
      <c r="I302" s="499"/>
      <c r="L302" s="352"/>
      <c r="M302" s="353"/>
      <c r="N302" s="354"/>
      <c r="O302" s="354"/>
      <c r="P302" s="354"/>
      <c r="Q302" s="354"/>
      <c r="R302" s="354"/>
      <c r="S302" s="354"/>
      <c r="T302" s="355"/>
      <c r="AT302" s="349" t="s">
        <v>155</v>
      </c>
      <c r="AU302" s="349" t="s">
        <v>83</v>
      </c>
      <c r="AV302" s="347" t="s">
        <v>153</v>
      </c>
      <c r="AW302" s="347" t="s">
        <v>34</v>
      </c>
      <c r="AX302" s="347" t="s">
        <v>81</v>
      </c>
      <c r="AY302" s="349" t="s">
        <v>146</v>
      </c>
    </row>
    <row r="303" spans="1:65" s="225" customFormat="1" ht="37.9" customHeight="1">
      <c r="A303" s="222"/>
      <c r="B303" s="223"/>
      <c r="C303" s="314">
        <v>30</v>
      </c>
      <c r="D303" s="314" t="s">
        <v>148</v>
      </c>
      <c r="E303" s="315" t="s">
        <v>294</v>
      </c>
      <c r="F303" s="316" t="s">
        <v>295</v>
      </c>
      <c r="G303" s="317" t="s">
        <v>151</v>
      </c>
      <c r="H303" s="318">
        <f>H308</f>
        <v>21.080000000000002</v>
      </c>
      <c r="I303" s="79"/>
      <c r="J303" s="319">
        <f>ROUND(I303*H303,2)</f>
        <v>0</v>
      </c>
      <c r="K303" s="316"/>
      <c r="L303" s="229"/>
      <c r="M303" s="320" t="s">
        <v>1</v>
      </c>
      <c r="N303" s="321" t="s">
        <v>42</v>
      </c>
      <c r="O303" s="322">
        <v>0.702</v>
      </c>
      <c r="P303" s="322">
        <f>O303*H303</f>
        <v>14.798160000000001</v>
      </c>
      <c r="Q303" s="322">
        <v>0.20292</v>
      </c>
      <c r="R303" s="322">
        <f>Q303*H303</f>
        <v>4.2775536</v>
      </c>
      <c r="S303" s="322">
        <v>0</v>
      </c>
      <c r="T303" s="323">
        <f>S303*H303</f>
        <v>0</v>
      </c>
      <c r="U303" s="222"/>
      <c r="V303" s="222"/>
      <c r="W303" s="222"/>
      <c r="X303" s="222"/>
      <c r="Y303" s="222"/>
      <c r="Z303" s="222"/>
      <c r="AA303" s="222"/>
      <c r="AB303" s="222"/>
      <c r="AC303" s="222"/>
      <c r="AD303" s="222"/>
      <c r="AE303" s="222"/>
      <c r="AR303" s="324" t="s">
        <v>153</v>
      </c>
      <c r="AT303" s="324" t="s">
        <v>148</v>
      </c>
      <c r="AU303" s="324" t="s">
        <v>83</v>
      </c>
      <c r="AY303" s="214" t="s">
        <v>146</v>
      </c>
      <c r="BE303" s="325">
        <f>IF(N303="základní",J303,0)</f>
        <v>0</v>
      </c>
      <c r="BF303" s="325">
        <f>IF(N303="snížená",J303,0)</f>
        <v>0</v>
      </c>
      <c r="BG303" s="325">
        <f>IF(N303="zákl. přenesená",J303,0)</f>
        <v>0</v>
      </c>
      <c r="BH303" s="325">
        <f>IF(N303="sníž. přenesená",J303,0)</f>
        <v>0</v>
      </c>
      <c r="BI303" s="325">
        <f>IF(N303="nulová",J303,0)</f>
        <v>0</v>
      </c>
      <c r="BJ303" s="214" t="s">
        <v>81</v>
      </c>
      <c r="BK303" s="325">
        <f>ROUND(I303*H303,2)</f>
        <v>0</v>
      </c>
      <c r="BL303" s="214" t="s">
        <v>153</v>
      </c>
      <c r="BM303" s="324" t="s">
        <v>296</v>
      </c>
    </row>
    <row r="304" spans="2:51" s="326" customFormat="1" ht="12">
      <c r="B304" s="327"/>
      <c r="D304" s="328" t="s">
        <v>155</v>
      </c>
      <c r="E304" s="329" t="s">
        <v>1</v>
      </c>
      <c r="F304" s="330" t="s">
        <v>2767</v>
      </c>
      <c r="H304" s="329" t="s">
        <v>1</v>
      </c>
      <c r="I304" s="497"/>
      <c r="L304" s="331"/>
      <c r="M304" s="332"/>
      <c r="N304" s="333"/>
      <c r="O304" s="333"/>
      <c r="P304" s="333"/>
      <c r="Q304" s="333"/>
      <c r="R304" s="333"/>
      <c r="S304" s="333"/>
      <c r="T304" s="334"/>
      <c r="AT304" s="329" t="s">
        <v>155</v>
      </c>
      <c r="AU304" s="329" t="s">
        <v>83</v>
      </c>
      <c r="AV304" s="326" t="s">
        <v>81</v>
      </c>
      <c r="AW304" s="326" t="s">
        <v>34</v>
      </c>
      <c r="AX304" s="326" t="s">
        <v>76</v>
      </c>
      <c r="AY304" s="329" t="s">
        <v>146</v>
      </c>
    </row>
    <row r="305" spans="2:51" s="335" customFormat="1" ht="12">
      <c r="B305" s="336"/>
      <c r="D305" s="328" t="s">
        <v>155</v>
      </c>
      <c r="E305" s="337" t="s">
        <v>1</v>
      </c>
      <c r="F305" s="338" t="s">
        <v>2768</v>
      </c>
      <c r="H305" s="339">
        <f>12.4*(1.35+0.45)/2</f>
        <v>11.16</v>
      </c>
      <c r="I305" s="498"/>
      <c r="L305" s="340"/>
      <c r="M305" s="341"/>
      <c r="N305" s="342"/>
      <c r="O305" s="342"/>
      <c r="P305" s="342"/>
      <c r="Q305" s="342"/>
      <c r="R305" s="342"/>
      <c r="S305" s="342"/>
      <c r="T305" s="343"/>
      <c r="AT305" s="337" t="s">
        <v>155</v>
      </c>
      <c r="AU305" s="337" t="s">
        <v>83</v>
      </c>
      <c r="AV305" s="335" t="s">
        <v>83</v>
      </c>
      <c r="AW305" s="335" t="s">
        <v>34</v>
      </c>
      <c r="AX305" s="335" t="s">
        <v>81</v>
      </c>
      <c r="AY305" s="337" t="s">
        <v>146</v>
      </c>
    </row>
    <row r="306" spans="2:51" s="326" customFormat="1" ht="12">
      <c r="B306" s="327"/>
      <c r="D306" s="328" t="s">
        <v>155</v>
      </c>
      <c r="E306" s="329" t="s">
        <v>1</v>
      </c>
      <c r="F306" s="330" t="s">
        <v>2769</v>
      </c>
      <c r="H306" s="329" t="s">
        <v>1</v>
      </c>
      <c r="I306" s="497"/>
      <c r="L306" s="331"/>
      <c r="M306" s="332"/>
      <c r="N306" s="333"/>
      <c r="O306" s="333"/>
      <c r="P306" s="333"/>
      <c r="Q306" s="333"/>
      <c r="R306" s="333"/>
      <c r="S306" s="333"/>
      <c r="T306" s="334"/>
      <c r="AT306" s="329" t="s">
        <v>155</v>
      </c>
      <c r="AU306" s="329" t="s">
        <v>83</v>
      </c>
      <c r="AV306" s="326" t="s">
        <v>81</v>
      </c>
      <c r="AW306" s="326" t="s">
        <v>34</v>
      </c>
      <c r="AX306" s="326" t="s">
        <v>76</v>
      </c>
      <c r="AY306" s="329" t="s">
        <v>146</v>
      </c>
    </row>
    <row r="307" spans="2:51" s="335" customFormat="1" ht="12">
      <c r="B307" s="336"/>
      <c r="D307" s="328" t="s">
        <v>155</v>
      </c>
      <c r="E307" s="337" t="s">
        <v>1</v>
      </c>
      <c r="F307" s="338" t="s">
        <v>2770</v>
      </c>
      <c r="H307" s="339">
        <f>12.4*(1.25+0.35)/2</f>
        <v>9.920000000000002</v>
      </c>
      <c r="I307" s="498"/>
      <c r="L307" s="340"/>
      <c r="M307" s="341"/>
      <c r="N307" s="342"/>
      <c r="O307" s="342"/>
      <c r="P307" s="342"/>
      <c r="Q307" s="342"/>
      <c r="R307" s="342"/>
      <c r="S307" s="342"/>
      <c r="T307" s="343"/>
      <c r="AT307" s="337" t="s">
        <v>155</v>
      </c>
      <c r="AU307" s="337" t="s">
        <v>83</v>
      </c>
      <c r="AV307" s="335" t="s">
        <v>83</v>
      </c>
      <c r="AW307" s="335" t="s">
        <v>34</v>
      </c>
      <c r="AX307" s="335" t="s">
        <v>81</v>
      </c>
      <c r="AY307" s="337" t="s">
        <v>146</v>
      </c>
    </row>
    <row r="308" spans="2:51" s="347" customFormat="1" ht="12">
      <c r="B308" s="348"/>
      <c r="D308" s="328" t="s">
        <v>155</v>
      </c>
      <c r="E308" s="349" t="s">
        <v>1</v>
      </c>
      <c r="F308" s="356" t="s">
        <v>157</v>
      </c>
      <c r="H308" s="351">
        <f>SUM(H305:H307)</f>
        <v>21.080000000000002</v>
      </c>
      <c r="I308" s="499"/>
      <c r="L308" s="352"/>
      <c r="M308" s="353"/>
      <c r="N308" s="354"/>
      <c r="O308" s="354"/>
      <c r="P308" s="354"/>
      <c r="Q308" s="354"/>
      <c r="R308" s="354"/>
      <c r="S308" s="354"/>
      <c r="T308" s="355"/>
      <c r="AT308" s="349" t="s">
        <v>155</v>
      </c>
      <c r="AU308" s="349" t="s">
        <v>83</v>
      </c>
      <c r="AV308" s="347" t="s">
        <v>153</v>
      </c>
      <c r="AW308" s="347" t="s">
        <v>34</v>
      </c>
      <c r="AX308" s="347" t="s">
        <v>81</v>
      </c>
      <c r="AY308" s="349" t="s">
        <v>146</v>
      </c>
    </row>
    <row r="309" spans="1:65" s="225" customFormat="1" ht="33" customHeight="1">
      <c r="A309" s="222"/>
      <c r="B309" s="223"/>
      <c r="C309" s="314">
        <v>31</v>
      </c>
      <c r="D309" s="314" t="s">
        <v>148</v>
      </c>
      <c r="E309" s="315" t="s">
        <v>299</v>
      </c>
      <c r="F309" s="316" t="s">
        <v>300</v>
      </c>
      <c r="G309" s="317" t="s">
        <v>301</v>
      </c>
      <c r="H309" s="318">
        <f>SUM(H312:H314)</f>
        <v>7</v>
      </c>
      <c r="I309" s="79"/>
      <c r="J309" s="319">
        <f>ROUND(I309*H309,2)</f>
        <v>0</v>
      </c>
      <c r="K309" s="316"/>
      <c r="L309" s="229"/>
      <c r="M309" s="320" t="s">
        <v>1</v>
      </c>
      <c r="N309" s="321" t="s">
        <v>42</v>
      </c>
      <c r="O309" s="322">
        <v>0.19</v>
      </c>
      <c r="P309" s="322">
        <f>O309*H309</f>
        <v>1.33</v>
      </c>
      <c r="Q309" s="322">
        <v>0.02228</v>
      </c>
      <c r="R309" s="322">
        <f>Q309*H309</f>
        <v>0.15596000000000002</v>
      </c>
      <c r="S309" s="322">
        <v>0</v>
      </c>
      <c r="T309" s="323">
        <f>S309*H309</f>
        <v>0</v>
      </c>
      <c r="U309" s="222"/>
      <c r="V309" s="222"/>
      <c r="W309" s="222"/>
      <c r="X309" s="222"/>
      <c r="Y309" s="222"/>
      <c r="Z309" s="222"/>
      <c r="AA309" s="222"/>
      <c r="AB309" s="222"/>
      <c r="AC309" s="222"/>
      <c r="AD309" s="222"/>
      <c r="AE309" s="222"/>
      <c r="AR309" s="324" t="s">
        <v>153</v>
      </c>
      <c r="AT309" s="324" t="s">
        <v>148</v>
      </c>
      <c r="AU309" s="324" t="s">
        <v>83</v>
      </c>
      <c r="AY309" s="214" t="s">
        <v>146</v>
      </c>
      <c r="BE309" s="325">
        <f>IF(N309="základní",J309,0)</f>
        <v>0</v>
      </c>
      <c r="BF309" s="325">
        <f>IF(N309="snížená",J309,0)</f>
        <v>0</v>
      </c>
      <c r="BG309" s="325">
        <f>IF(N309="zákl. přenesená",J309,0)</f>
        <v>0</v>
      </c>
      <c r="BH309" s="325">
        <f>IF(N309="sníž. přenesená",J309,0)</f>
        <v>0</v>
      </c>
      <c r="BI309" s="325">
        <f>IF(N309="nulová",J309,0)</f>
        <v>0</v>
      </c>
      <c r="BJ309" s="214" t="s">
        <v>81</v>
      </c>
      <c r="BK309" s="325">
        <f>ROUND(I309*H309,2)</f>
        <v>0</v>
      </c>
      <c r="BL309" s="214" t="s">
        <v>153</v>
      </c>
      <c r="BM309" s="324" t="s">
        <v>302</v>
      </c>
    </row>
    <row r="310" spans="2:51" s="326" customFormat="1" ht="12">
      <c r="B310" s="327"/>
      <c r="D310" s="328" t="s">
        <v>155</v>
      </c>
      <c r="E310" s="329" t="s">
        <v>1</v>
      </c>
      <c r="F310" s="330" t="s">
        <v>303</v>
      </c>
      <c r="H310" s="329" t="s">
        <v>1</v>
      </c>
      <c r="I310" s="497"/>
      <c r="L310" s="331"/>
      <c r="M310" s="332"/>
      <c r="N310" s="333"/>
      <c r="O310" s="333"/>
      <c r="P310" s="333"/>
      <c r="Q310" s="333"/>
      <c r="R310" s="333"/>
      <c r="S310" s="333"/>
      <c r="T310" s="334"/>
      <c r="AT310" s="329" t="s">
        <v>155</v>
      </c>
      <c r="AU310" s="329" t="s">
        <v>83</v>
      </c>
      <c r="AV310" s="326" t="s">
        <v>81</v>
      </c>
      <c r="AW310" s="326" t="s">
        <v>34</v>
      </c>
      <c r="AX310" s="326" t="s">
        <v>76</v>
      </c>
      <c r="AY310" s="329" t="s">
        <v>146</v>
      </c>
    </row>
    <row r="311" spans="2:51" s="326" customFormat="1" ht="12">
      <c r="B311" s="327"/>
      <c r="D311" s="328" t="s">
        <v>155</v>
      </c>
      <c r="E311" s="329" t="s">
        <v>1</v>
      </c>
      <c r="F311" s="330" t="s">
        <v>304</v>
      </c>
      <c r="H311" s="329" t="s">
        <v>1</v>
      </c>
      <c r="I311" s="497"/>
      <c r="L311" s="331"/>
      <c r="M311" s="332"/>
      <c r="N311" s="333"/>
      <c r="O311" s="333"/>
      <c r="P311" s="333"/>
      <c r="Q311" s="333"/>
      <c r="R311" s="333"/>
      <c r="S311" s="333"/>
      <c r="T311" s="334"/>
      <c r="AT311" s="329" t="s">
        <v>155</v>
      </c>
      <c r="AU311" s="329" t="s">
        <v>83</v>
      </c>
      <c r="AV311" s="326" t="s">
        <v>81</v>
      </c>
      <c r="AW311" s="326" t="s">
        <v>34</v>
      </c>
      <c r="AX311" s="326" t="s">
        <v>76</v>
      </c>
      <c r="AY311" s="329" t="s">
        <v>146</v>
      </c>
    </row>
    <row r="312" spans="2:51" s="335" customFormat="1" ht="12">
      <c r="B312" s="336"/>
      <c r="D312" s="328" t="s">
        <v>155</v>
      </c>
      <c r="E312" s="337" t="s">
        <v>1</v>
      </c>
      <c r="F312" s="338" t="s">
        <v>177</v>
      </c>
      <c r="H312" s="339">
        <v>5</v>
      </c>
      <c r="I312" s="498"/>
      <c r="L312" s="340"/>
      <c r="M312" s="341"/>
      <c r="N312" s="342"/>
      <c r="O312" s="342"/>
      <c r="P312" s="342"/>
      <c r="Q312" s="342"/>
      <c r="R312" s="342"/>
      <c r="S312" s="342"/>
      <c r="T312" s="343"/>
      <c r="AT312" s="337" t="s">
        <v>155</v>
      </c>
      <c r="AU312" s="337" t="s">
        <v>83</v>
      </c>
      <c r="AV312" s="335" t="s">
        <v>83</v>
      </c>
      <c r="AW312" s="335" t="s">
        <v>34</v>
      </c>
      <c r="AX312" s="335" t="s">
        <v>81</v>
      </c>
      <c r="AY312" s="337" t="s">
        <v>146</v>
      </c>
    </row>
    <row r="313" spans="2:51" s="326" customFormat="1" ht="12">
      <c r="B313" s="327"/>
      <c r="D313" s="328" t="s">
        <v>155</v>
      </c>
      <c r="E313" s="329" t="s">
        <v>1</v>
      </c>
      <c r="F313" s="330" t="s">
        <v>309</v>
      </c>
      <c r="H313" s="329" t="s">
        <v>1</v>
      </c>
      <c r="I313" s="497"/>
      <c r="L313" s="331"/>
      <c r="M313" s="332"/>
      <c r="N313" s="333"/>
      <c r="O313" s="333"/>
      <c r="P313" s="333"/>
      <c r="Q313" s="333"/>
      <c r="R313" s="333"/>
      <c r="S313" s="333"/>
      <c r="T313" s="334"/>
      <c r="AT313" s="329" t="s">
        <v>155</v>
      </c>
      <c r="AU313" s="329" t="s">
        <v>83</v>
      </c>
      <c r="AV313" s="326" t="s">
        <v>81</v>
      </c>
      <c r="AW313" s="326" t="s">
        <v>34</v>
      </c>
      <c r="AX313" s="326" t="s">
        <v>76</v>
      </c>
      <c r="AY313" s="329" t="s">
        <v>146</v>
      </c>
    </row>
    <row r="314" spans="2:51" s="335" customFormat="1" ht="12">
      <c r="B314" s="336"/>
      <c r="D314" s="328" t="s">
        <v>155</v>
      </c>
      <c r="E314" s="337" t="s">
        <v>1</v>
      </c>
      <c r="F314" s="338">
        <v>2</v>
      </c>
      <c r="H314" s="339">
        <v>2</v>
      </c>
      <c r="I314" s="498"/>
      <c r="L314" s="340"/>
      <c r="M314" s="341"/>
      <c r="N314" s="342"/>
      <c r="O314" s="342"/>
      <c r="P314" s="342"/>
      <c r="Q314" s="342"/>
      <c r="R314" s="342"/>
      <c r="S314" s="342"/>
      <c r="T314" s="343"/>
      <c r="AT314" s="337" t="s">
        <v>155</v>
      </c>
      <c r="AU314" s="337" t="s">
        <v>83</v>
      </c>
      <c r="AV314" s="335" t="s">
        <v>83</v>
      </c>
      <c r="AW314" s="335" t="s">
        <v>34</v>
      </c>
      <c r="AX314" s="335" t="s">
        <v>76</v>
      </c>
      <c r="AY314" s="337" t="s">
        <v>146</v>
      </c>
    </row>
    <row r="315" spans="1:65" s="225" customFormat="1" ht="33" customHeight="1">
      <c r="A315" s="222"/>
      <c r="B315" s="223"/>
      <c r="C315" s="314">
        <v>32</v>
      </c>
      <c r="D315" s="314" t="s">
        <v>148</v>
      </c>
      <c r="E315" s="315" t="s">
        <v>306</v>
      </c>
      <c r="F315" s="316" t="s">
        <v>307</v>
      </c>
      <c r="G315" s="317" t="s">
        <v>301</v>
      </c>
      <c r="H315" s="318">
        <f>H321</f>
        <v>11</v>
      </c>
      <c r="I315" s="79"/>
      <c r="J315" s="319">
        <f>ROUND(I315*H315,2)</f>
        <v>0</v>
      </c>
      <c r="K315" s="316"/>
      <c r="L315" s="229"/>
      <c r="M315" s="320" t="s">
        <v>1</v>
      </c>
      <c r="N315" s="321" t="s">
        <v>42</v>
      </c>
      <c r="O315" s="322">
        <v>0.192</v>
      </c>
      <c r="P315" s="322">
        <f>O315*H315</f>
        <v>2.112</v>
      </c>
      <c r="Q315" s="322">
        <v>0.02628</v>
      </c>
      <c r="R315" s="322">
        <f>Q315*H315</f>
        <v>0.28908</v>
      </c>
      <c r="S315" s="322">
        <v>0</v>
      </c>
      <c r="T315" s="323">
        <f>S315*H315</f>
        <v>0</v>
      </c>
      <c r="U315" s="222"/>
      <c r="V315" s="222"/>
      <c r="W315" s="222"/>
      <c r="X315" s="222"/>
      <c r="Y315" s="222"/>
      <c r="Z315" s="222"/>
      <c r="AA315" s="222"/>
      <c r="AB315" s="222"/>
      <c r="AC315" s="222"/>
      <c r="AD315" s="222"/>
      <c r="AE315" s="222"/>
      <c r="AR315" s="324" t="s">
        <v>153</v>
      </c>
      <c r="AT315" s="324" t="s">
        <v>148</v>
      </c>
      <c r="AU315" s="324" t="s">
        <v>83</v>
      </c>
      <c r="AY315" s="214" t="s">
        <v>146</v>
      </c>
      <c r="BE315" s="325">
        <f>IF(N315="základní",J315,0)</f>
        <v>0</v>
      </c>
      <c r="BF315" s="325">
        <f>IF(N315="snížená",J315,0)</f>
        <v>0</v>
      </c>
      <c r="BG315" s="325">
        <f>IF(N315="zákl. přenesená",J315,0)</f>
        <v>0</v>
      </c>
      <c r="BH315" s="325">
        <f>IF(N315="sníž. přenesená",J315,0)</f>
        <v>0</v>
      </c>
      <c r="BI315" s="325">
        <f>IF(N315="nulová",J315,0)</f>
        <v>0</v>
      </c>
      <c r="BJ315" s="214" t="s">
        <v>81</v>
      </c>
      <c r="BK315" s="325">
        <f>ROUND(I315*H315,2)</f>
        <v>0</v>
      </c>
      <c r="BL315" s="214" t="s">
        <v>153</v>
      </c>
      <c r="BM315" s="324" t="s">
        <v>308</v>
      </c>
    </row>
    <row r="316" spans="2:51" s="326" customFormat="1" ht="12">
      <c r="B316" s="327"/>
      <c r="D316" s="328" t="s">
        <v>155</v>
      </c>
      <c r="E316" s="329" t="s">
        <v>1</v>
      </c>
      <c r="F316" s="330" t="s">
        <v>303</v>
      </c>
      <c r="H316" s="329" t="s">
        <v>1</v>
      </c>
      <c r="I316" s="497"/>
      <c r="L316" s="331"/>
      <c r="M316" s="332"/>
      <c r="N316" s="333"/>
      <c r="O316" s="333"/>
      <c r="P316" s="333"/>
      <c r="Q316" s="333"/>
      <c r="R316" s="333"/>
      <c r="S316" s="333"/>
      <c r="T316" s="334"/>
      <c r="AT316" s="329" t="s">
        <v>155</v>
      </c>
      <c r="AU316" s="329" t="s">
        <v>83</v>
      </c>
      <c r="AV316" s="326" t="s">
        <v>81</v>
      </c>
      <c r="AW316" s="326" t="s">
        <v>34</v>
      </c>
      <c r="AX316" s="326" t="s">
        <v>76</v>
      </c>
      <c r="AY316" s="329" t="s">
        <v>146</v>
      </c>
    </row>
    <row r="317" spans="2:51" s="326" customFormat="1" ht="12">
      <c r="B317" s="327"/>
      <c r="D317" s="328" t="s">
        <v>155</v>
      </c>
      <c r="E317" s="329" t="s">
        <v>1</v>
      </c>
      <c r="F317" s="330" t="s">
        <v>304</v>
      </c>
      <c r="H317" s="329" t="s">
        <v>1</v>
      </c>
      <c r="I317" s="497"/>
      <c r="L317" s="331"/>
      <c r="M317" s="332"/>
      <c r="N317" s="333"/>
      <c r="O317" s="333"/>
      <c r="P317" s="333"/>
      <c r="Q317" s="333"/>
      <c r="R317" s="333"/>
      <c r="S317" s="333"/>
      <c r="T317" s="334"/>
      <c r="AT317" s="329" t="s">
        <v>155</v>
      </c>
      <c r="AU317" s="329" t="s">
        <v>83</v>
      </c>
      <c r="AV317" s="326" t="s">
        <v>81</v>
      </c>
      <c r="AW317" s="326" t="s">
        <v>34</v>
      </c>
      <c r="AX317" s="326" t="s">
        <v>76</v>
      </c>
      <c r="AY317" s="329" t="s">
        <v>146</v>
      </c>
    </row>
    <row r="318" spans="2:51" s="335" customFormat="1" ht="12">
      <c r="B318" s="336"/>
      <c r="D318" s="328" t="s">
        <v>155</v>
      </c>
      <c r="E318" s="337" t="s">
        <v>1</v>
      </c>
      <c r="F318" s="338" t="s">
        <v>189</v>
      </c>
      <c r="H318" s="339">
        <v>8</v>
      </c>
      <c r="I318" s="498"/>
      <c r="L318" s="340"/>
      <c r="M318" s="341"/>
      <c r="N318" s="342"/>
      <c r="O318" s="342"/>
      <c r="P318" s="342"/>
      <c r="Q318" s="342"/>
      <c r="R318" s="342"/>
      <c r="S318" s="342"/>
      <c r="T318" s="343"/>
      <c r="AT318" s="337" t="s">
        <v>155</v>
      </c>
      <c r="AU318" s="337" t="s">
        <v>83</v>
      </c>
      <c r="AV318" s="335" t="s">
        <v>83</v>
      </c>
      <c r="AW318" s="335" t="s">
        <v>34</v>
      </c>
      <c r="AX318" s="335" t="s">
        <v>76</v>
      </c>
      <c r="AY318" s="337" t="s">
        <v>146</v>
      </c>
    </row>
    <row r="319" spans="2:51" s="326" customFormat="1" ht="12">
      <c r="B319" s="327"/>
      <c r="D319" s="328" t="s">
        <v>155</v>
      </c>
      <c r="E319" s="329" t="s">
        <v>1</v>
      </c>
      <c r="F319" s="330" t="s">
        <v>309</v>
      </c>
      <c r="H319" s="329" t="s">
        <v>1</v>
      </c>
      <c r="I319" s="497"/>
      <c r="L319" s="331"/>
      <c r="M319" s="332"/>
      <c r="N319" s="333"/>
      <c r="O319" s="333"/>
      <c r="P319" s="333"/>
      <c r="Q319" s="333"/>
      <c r="R319" s="333"/>
      <c r="S319" s="333"/>
      <c r="T319" s="334"/>
      <c r="AT319" s="329" t="s">
        <v>155</v>
      </c>
      <c r="AU319" s="329" t="s">
        <v>83</v>
      </c>
      <c r="AV319" s="326" t="s">
        <v>81</v>
      </c>
      <c r="AW319" s="326" t="s">
        <v>34</v>
      </c>
      <c r="AX319" s="326" t="s">
        <v>76</v>
      </c>
      <c r="AY319" s="329" t="s">
        <v>146</v>
      </c>
    </row>
    <row r="320" spans="2:51" s="335" customFormat="1" ht="12">
      <c r="B320" s="336"/>
      <c r="D320" s="328" t="s">
        <v>155</v>
      </c>
      <c r="E320" s="337" t="s">
        <v>1</v>
      </c>
      <c r="F320" s="338" t="s">
        <v>159</v>
      </c>
      <c r="H320" s="339">
        <v>3</v>
      </c>
      <c r="I320" s="498"/>
      <c r="L320" s="340"/>
      <c r="M320" s="341"/>
      <c r="N320" s="342"/>
      <c r="O320" s="342"/>
      <c r="P320" s="342"/>
      <c r="Q320" s="342"/>
      <c r="R320" s="342"/>
      <c r="S320" s="342"/>
      <c r="T320" s="343"/>
      <c r="AT320" s="337" t="s">
        <v>155</v>
      </c>
      <c r="AU320" s="337" t="s">
        <v>83</v>
      </c>
      <c r="AV320" s="335" t="s">
        <v>83</v>
      </c>
      <c r="AW320" s="335" t="s">
        <v>34</v>
      </c>
      <c r="AX320" s="335" t="s">
        <v>76</v>
      </c>
      <c r="AY320" s="337" t="s">
        <v>146</v>
      </c>
    </row>
    <row r="321" spans="2:51" s="347" customFormat="1" ht="12">
      <c r="B321" s="348"/>
      <c r="D321" s="328" t="s">
        <v>155</v>
      </c>
      <c r="E321" s="349" t="s">
        <v>1</v>
      </c>
      <c r="F321" s="356" t="s">
        <v>157</v>
      </c>
      <c r="H321" s="351">
        <f>SUM(H318:H320)</f>
        <v>11</v>
      </c>
      <c r="I321" s="499"/>
      <c r="L321" s="352"/>
      <c r="M321" s="353"/>
      <c r="N321" s="354"/>
      <c r="O321" s="354"/>
      <c r="P321" s="354"/>
      <c r="Q321" s="354"/>
      <c r="R321" s="354"/>
      <c r="S321" s="354"/>
      <c r="T321" s="355"/>
      <c r="AT321" s="349" t="s">
        <v>155</v>
      </c>
      <c r="AU321" s="349" t="s">
        <v>83</v>
      </c>
      <c r="AV321" s="347" t="s">
        <v>153</v>
      </c>
      <c r="AW321" s="347" t="s">
        <v>34</v>
      </c>
      <c r="AX321" s="347" t="s">
        <v>81</v>
      </c>
      <c r="AY321" s="349" t="s">
        <v>146</v>
      </c>
    </row>
    <row r="322" spans="1:65" s="225" customFormat="1" ht="33" customHeight="1">
      <c r="A322" s="222"/>
      <c r="B322" s="223"/>
      <c r="C322" s="314">
        <v>33</v>
      </c>
      <c r="D322" s="314" t="s">
        <v>148</v>
      </c>
      <c r="E322" s="315" t="s">
        <v>311</v>
      </c>
      <c r="F322" s="316" t="s">
        <v>312</v>
      </c>
      <c r="G322" s="317" t="s">
        <v>301</v>
      </c>
      <c r="H322" s="318">
        <f>H328</f>
        <v>8</v>
      </c>
      <c r="I322" s="79"/>
      <c r="J322" s="319">
        <f>ROUND(I322*H322,2)</f>
        <v>0</v>
      </c>
      <c r="K322" s="316"/>
      <c r="L322" s="229"/>
      <c r="M322" s="320" t="s">
        <v>1</v>
      </c>
      <c r="N322" s="321" t="s">
        <v>42</v>
      </c>
      <c r="O322" s="322">
        <v>0.246</v>
      </c>
      <c r="P322" s="322">
        <f>O322*H322</f>
        <v>1.968</v>
      </c>
      <c r="Q322" s="322">
        <v>0.03963</v>
      </c>
      <c r="R322" s="322">
        <f>Q322*H322</f>
        <v>0.31704</v>
      </c>
      <c r="S322" s="322">
        <v>0</v>
      </c>
      <c r="T322" s="323">
        <f>S322*H322</f>
        <v>0</v>
      </c>
      <c r="U322" s="222"/>
      <c r="V322" s="222"/>
      <c r="W322" s="222"/>
      <c r="X322" s="222"/>
      <c r="Y322" s="222"/>
      <c r="Z322" s="222"/>
      <c r="AA322" s="222"/>
      <c r="AB322" s="222"/>
      <c r="AC322" s="222"/>
      <c r="AD322" s="222"/>
      <c r="AE322" s="222"/>
      <c r="AR322" s="324" t="s">
        <v>153</v>
      </c>
      <c r="AT322" s="324" t="s">
        <v>148</v>
      </c>
      <c r="AU322" s="324" t="s">
        <v>83</v>
      </c>
      <c r="AY322" s="214" t="s">
        <v>146</v>
      </c>
      <c r="BE322" s="325">
        <f>IF(N322="základní",J322,0)</f>
        <v>0</v>
      </c>
      <c r="BF322" s="325">
        <f>IF(N322="snížená",J322,0)</f>
        <v>0</v>
      </c>
      <c r="BG322" s="325">
        <f>IF(N322="zákl. přenesená",J322,0)</f>
        <v>0</v>
      </c>
      <c r="BH322" s="325">
        <f>IF(N322="sníž. přenesená",J322,0)</f>
        <v>0</v>
      </c>
      <c r="BI322" s="325">
        <f>IF(N322="nulová",J322,0)</f>
        <v>0</v>
      </c>
      <c r="BJ322" s="214" t="s">
        <v>81</v>
      </c>
      <c r="BK322" s="325">
        <f>ROUND(I322*H322,2)</f>
        <v>0</v>
      </c>
      <c r="BL322" s="214" t="s">
        <v>153</v>
      </c>
      <c r="BM322" s="324" t="s">
        <v>313</v>
      </c>
    </row>
    <row r="323" spans="2:51" s="326" customFormat="1" ht="12">
      <c r="B323" s="327"/>
      <c r="D323" s="328" t="s">
        <v>155</v>
      </c>
      <c r="E323" s="329" t="s">
        <v>1</v>
      </c>
      <c r="F323" s="330" t="s">
        <v>303</v>
      </c>
      <c r="H323" s="329" t="s">
        <v>1</v>
      </c>
      <c r="I323" s="497"/>
      <c r="L323" s="331"/>
      <c r="M323" s="332"/>
      <c r="N323" s="333"/>
      <c r="O323" s="333"/>
      <c r="P323" s="333"/>
      <c r="Q323" s="333"/>
      <c r="R323" s="333"/>
      <c r="S323" s="333"/>
      <c r="T323" s="334"/>
      <c r="AT323" s="329" t="s">
        <v>155</v>
      </c>
      <c r="AU323" s="329" t="s">
        <v>83</v>
      </c>
      <c r="AV323" s="326" t="s">
        <v>81</v>
      </c>
      <c r="AW323" s="326" t="s">
        <v>34</v>
      </c>
      <c r="AX323" s="326" t="s">
        <v>76</v>
      </c>
      <c r="AY323" s="329" t="s">
        <v>146</v>
      </c>
    </row>
    <row r="324" spans="2:51" s="326" customFormat="1" ht="12">
      <c r="B324" s="327"/>
      <c r="D324" s="328" t="s">
        <v>155</v>
      </c>
      <c r="E324" s="329" t="s">
        <v>1</v>
      </c>
      <c r="F324" s="330" t="s">
        <v>304</v>
      </c>
      <c r="H324" s="329" t="s">
        <v>1</v>
      </c>
      <c r="I324" s="497"/>
      <c r="L324" s="331"/>
      <c r="M324" s="332"/>
      <c r="N324" s="333"/>
      <c r="O324" s="333"/>
      <c r="P324" s="333"/>
      <c r="Q324" s="333"/>
      <c r="R324" s="333"/>
      <c r="S324" s="333"/>
      <c r="T324" s="334"/>
      <c r="AT324" s="329" t="s">
        <v>155</v>
      </c>
      <c r="AU324" s="329" t="s">
        <v>83</v>
      </c>
      <c r="AV324" s="326" t="s">
        <v>81</v>
      </c>
      <c r="AW324" s="326" t="s">
        <v>34</v>
      </c>
      <c r="AX324" s="326" t="s">
        <v>76</v>
      </c>
      <c r="AY324" s="329" t="s">
        <v>146</v>
      </c>
    </row>
    <row r="325" spans="2:51" s="335" customFormat="1" ht="12">
      <c r="B325" s="336"/>
      <c r="D325" s="328" t="s">
        <v>155</v>
      </c>
      <c r="E325" s="337" t="s">
        <v>1</v>
      </c>
      <c r="F325" s="338">
        <v>2</v>
      </c>
      <c r="H325" s="339">
        <v>2</v>
      </c>
      <c r="I325" s="498"/>
      <c r="L325" s="340"/>
      <c r="M325" s="341"/>
      <c r="N325" s="342"/>
      <c r="O325" s="342"/>
      <c r="P325" s="342"/>
      <c r="Q325" s="342"/>
      <c r="R325" s="342"/>
      <c r="S325" s="342"/>
      <c r="T325" s="343"/>
      <c r="AT325" s="337" t="s">
        <v>155</v>
      </c>
      <c r="AU325" s="337" t="s">
        <v>83</v>
      </c>
      <c r="AV325" s="335" t="s">
        <v>83</v>
      </c>
      <c r="AW325" s="335" t="s">
        <v>34</v>
      </c>
      <c r="AX325" s="335" t="s">
        <v>76</v>
      </c>
      <c r="AY325" s="337" t="s">
        <v>146</v>
      </c>
    </row>
    <row r="326" spans="2:51" s="326" customFormat="1" ht="12">
      <c r="B326" s="327"/>
      <c r="D326" s="328" t="s">
        <v>155</v>
      </c>
      <c r="E326" s="329" t="s">
        <v>1</v>
      </c>
      <c r="F326" s="330" t="s">
        <v>309</v>
      </c>
      <c r="H326" s="329" t="s">
        <v>1</v>
      </c>
      <c r="I326" s="497"/>
      <c r="L326" s="331"/>
      <c r="M326" s="332"/>
      <c r="N326" s="333"/>
      <c r="O326" s="333"/>
      <c r="P326" s="333"/>
      <c r="Q326" s="333"/>
      <c r="R326" s="333"/>
      <c r="S326" s="333"/>
      <c r="T326" s="334"/>
      <c r="AT326" s="329" t="s">
        <v>155</v>
      </c>
      <c r="AU326" s="329" t="s">
        <v>83</v>
      </c>
      <c r="AV326" s="326" t="s">
        <v>81</v>
      </c>
      <c r="AW326" s="326" t="s">
        <v>34</v>
      </c>
      <c r="AX326" s="326" t="s">
        <v>76</v>
      </c>
      <c r="AY326" s="329" t="s">
        <v>146</v>
      </c>
    </row>
    <row r="327" spans="2:51" s="335" customFormat="1" ht="12">
      <c r="B327" s="336"/>
      <c r="D327" s="328" t="s">
        <v>155</v>
      </c>
      <c r="E327" s="337" t="s">
        <v>1</v>
      </c>
      <c r="F327" s="338" t="s">
        <v>181</v>
      </c>
      <c r="H327" s="339">
        <v>6</v>
      </c>
      <c r="I327" s="498"/>
      <c r="L327" s="340"/>
      <c r="M327" s="341"/>
      <c r="N327" s="342"/>
      <c r="O327" s="342"/>
      <c r="P327" s="342"/>
      <c r="Q327" s="342"/>
      <c r="R327" s="342"/>
      <c r="S327" s="342"/>
      <c r="T327" s="343"/>
      <c r="AT327" s="337" t="s">
        <v>155</v>
      </c>
      <c r="AU327" s="337" t="s">
        <v>83</v>
      </c>
      <c r="AV327" s="335" t="s">
        <v>83</v>
      </c>
      <c r="AW327" s="335" t="s">
        <v>34</v>
      </c>
      <c r="AX327" s="335" t="s">
        <v>76</v>
      </c>
      <c r="AY327" s="337" t="s">
        <v>146</v>
      </c>
    </row>
    <row r="328" spans="2:51" s="347" customFormat="1" ht="12">
      <c r="B328" s="348"/>
      <c r="D328" s="328" t="s">
        <v>155</v>
      </c>
      <c r="E328" s="349" t="s">
        <v>1</v>
      </c>
      <c r="F328" s="356" t="s">
        <v>157</v>
      </c>
      <c r="H328" s="351">
        <f>SUM(H325:H327)</f>
        <v>8</v>
      </c>
      <c r="I328" s="499"/>
      <c r="L328" s="352"/>
      <c r="M328" s="353"/>
      <c r="N328" s="354"/>
      <c r="O328" s="354"/>
      <c r="P328" s="354"/>
      <c r="Q328" s="354"/>
      <c r="R328" s="354"/>
      <c r="S328" s="354"/>
      <c r="T328" s="355"/>
      <c r="AT328" s="349" t="s">
        <v>155</v>
      </c>
      <c r="AU328" s="349" t="s">
        <v>83</v>
      </c>
      <c r="AV328" s="347" t="s">
        <v>153</v>
      </c>
      <c r="AW328" s="347" t="s">
        <v>34</v>
      </c>
      <c r="AX328" s="347" t="s">
        <v>81</v>
      </c>
      <c r="AY328" s="349" t="s">
        <v>146</v>
      </c>
    </row>
    <row r="329" spans="1:65" s="225" customFormat="1" ht="16.5" customHeight="1">
      <c r="A329" s="222"/>
      <c r="B329" s="223"/>
      <c r="C329" s="314">
        <v>34</v>
      </c>
      <c r="D329" s="314" t="s">
        <v>148</v>
      </c>
      <c r="E329" s="315" t="s">
        <v>315</v>
      </c>
      <c r="F329" s="316" t="s">
        <v>316</v>
      </c>
      <c r="G329" s="317" t="s">
        <v>162</v>
      </c>
      <c r="H329" s="318">
        <f>H334</f>
        <v>0.24768000000000004</v>
      </c>
      <c r="I329" s="79"/>
      <c r="J329" s="319">
        <f>ROUND(I329*H329,2)</f>
        <v>0</v>
      </c>
      <c r="K329" s="316"/>
      <c r="L329" s="229"/>
      <c r="M329" s="320" t="s">
        <v>1</v>
      </c>
      <c r="N329" s="321" t="s">
        <v>42</v>
      </c>
      <c r="O329" s="322">
        <v>6.77</v>
      </c>
      <c r="P329" s="322">
        <f>O329*H329</f>
        <v>1.6767936</v>
      </c>
      <c r="Q329" s="322">
        <v>1.94302</v>
      </c>
      <c r="R329" s="322">
        <f>Q329*H329</f>
        <v>0.48124719360000007</v>
      </c>
      <c r="S329" s="322">
        <v>0</v>
      </c>
      <c r="T329" s="323">
        <f>S329*H329</f>
        <v>0</v>
      </c>
      <c r="U329" s="222"/>
      <c r="V329" s="222"/>
      <c r="W329" s="222"/>
      <c r="X329" s="222"/>
      <c r="Y329" s="222"/>
      <c r="Z329" s="222"/>
      <c r="AA329" s="222"/>
      <c r="AB329" s="222"/>
      <c r="AC329" s="222"/>
      <c r="AD329" s="222"/>
      <c r="AE329" s="222"/>
      <c r="AR329" s="324" t="s">
        <v>153</v>
      </c>
      <c r="AT329" s="324" t="s">
        <v>148</v>
      </c>
      <c r="AU329" s="324" t="s">
        <v>83</v>
      </c>
      <c r="AY329" s="214" t="s">
        <v>146</v>
      </c>
      <c r="BE329" s="325">
        <f>IF(N329="základní",J329,0)</f>
        <v>0</v>
      </c>
      <c r="BF329" s="325">
        <f>IF(N329="snížená",J329,0)</f>
        <v>0</v>
      </c>
      <c r="BG329" s="325">
        <f>IF(N329="zákl. přenesená",J329,0)</f>
        <v>0</v>
      </c>
      <c r="BH329" s="325">
        <f>IF(N329="sníž. přenesená",J329,0)</f>
        <v>0</v>
      </c>
      <c r="BI329" s="325">
        <f>IF(N329="nulová",J329,0)</f>
        <v>0</v>
      </c>
      <c r="BJ329" s="214" t="s">
        <v>81</v>
      </c>
      <c r="BK329" s="325">
        <f>ROUND(I329*H329,2)</f>
        <v>0</v>
      </c>
      <c r="BL329" s="214" t="s">
        <v>153</v>
      </c>
      <c r="BM329" s="324" t="s">
        <v>317</v>
      </c>
    </row>
    <row r="330" spans="2:51" s="326" customFormat="1" ht="12">
      <c r="B330" s="327"/>
      <c r="D330" s="328" t="s">
        <v>155</v>
      </c>
      <c r="E330" s="329" t="s">
        <v>1</v>
      </c>
      <c r="F330" s="330" t="s">
        <v>318</v>
      </c>
      <c r="H330" s="329" t="s">
        <v>1</v>
      </c>
      <c r="I330" s="497"/>
      <c r="L330" s="331"/>
      <c r="M330" s="332"/>
      <c r="N330" s="333"/>
      <c r="O330" s="333"/>
      <c r="P330" s="333"/>
      <c r="Q330" s="333"/>
      <c r="R330" s="333"/>
      <c r="S330" s="333"/>
      <c r="T330" s="334"/>
      <c r="AT330" s="329" t="s">
        <v>155</v>
      </c>
      <c r="AU330" s="329" t="s">
        <v>83</v>
      </c>
      <c r="AV330" s="326" t="s">
        <v>81</v>
      </c>
      <c r="AW330" s="326" t="s">
        <v>34</v>
      </c>
      <c r="AX330" s="326" t="s">
        <v>76</v>
      </c>
      <c r="AY330" s="329" t="s">
        <v>146</v>
      </c>
    </row>
    <row r="331" spans="2:51" s="335" customFormat="1" ht="12">
      <c r="B331" s="336"/>
      <c r="D331" s="328" t="s">
        <v>155</v>
      </c>
      <c r="E331" s="337" t="s">
        <v>1</v>
      </c>
      <c r="F331" s="338" t="s">
        <v>319</v>
      </c>
      <c r="H331" s="339">
        <f>2.1*0.12*2*0.14*3</f>
        <v>0.21168000000000003</v>
      </c>
      <c r="I331" s="498"/>
      <c r="L331" s="340"/>
      <c r="M331" s="341"/>
      <c r="N331" s="342"/>
      <c r="O331" s="342"/>
      <c r="P331" s="342"/>
      <c r="Q331" s="342"/>
      <c r="R331" s="342"/>
      <c r="S331" s="342"/>
      <c r="T331" s="343"/>
      <c r="AT331" s="337" t="s">
        <v>155</v>
      </c>
      <c r="AU331" s="337" t="s">
        <v>83</v>
      </c>
      <c r="AV331" s="335" t="s">
        <v>83</v>
      </c>
      <c r="AW331" s="335" t="s">
        <v>34</v>
      </c>
      <c r="AX331" s="335" t="s">
        <v>76</v>
      </c>
      <c r="AY331" s="337" t="s">
        <v>146</v>
      </c>
    </row>
    <row r="332" spans="2:51" s="326" customFormat="1" ht="12">
      <c r="B332" s="327"/>
      <c r="D332" s="328" t="s">
        <v>155</v>
      </c>
      <c r="E332" s="329" t="s">
        <v>1</v>
      </c>
      <c r="F332" s="330" t="s">
        <v>320</v>
      </c>
      <c r="H332" s="329" t="s">
        <v>1</v>
      </c>
      <c r="I332" s="497"/>
      <c r="L332" s="331"/>
      <c r="M332" s="332"/>
      <c r="N332" s="333"/>
      <c r="O332" s="333"/>
      <c r="P332" s="333"/>
      <c r="Q332" s="333"/>
      <c r="R332" s="333"/>
      <c r="S332" s="333"/>
      <c r="T332" s="334"/>
      <c r="AT332" s="329" t="s">
        <v>155</v>
      </c>
      <c r="AU332" s="329" t="s">
        <v>83</v>
      </c>
      <c r="AV332" s="326" t="s">
        <v>81</v>
      </c>
      <c r="AW332" s="326" t="s">
        <v>34</v>
      </c>
      <c r="AX332" s="326" t="s">
        <v>76</v>
      </c>
      <c r="AY332" s="329" t="s">
        <v>146</v>
      </c>
    </row>
    <row r="333" spans="2:51" s="335" customFormat="1" ht="12">
      <c r="B333" s="336"/>
      <c r="D333" s="328" t="s">
        <v>155</v>
      </c>
      <c r="E333" s="337" t="s">
        <v>1</v>
      </c>
      <c r="F333" s="338" t="s">
        <v>321</v>
      </c>
      <c r="H333" s="339">
        <f>0.6*0.1*2*0.1*3</f>
        <v>0.036000000000000004</v>
      </c>
      <c r="I333" s="498"/>
      <c r="L333" s="340"/>
      <c r="M333" s="341"/>
      <c r="N333" s="342"/>
      <c r="O333" s="342"/>
      <c r="P333" s="342"/>
      <c r="Q333" s="342"/>
      <c r="R333" s="342"/>
      <c r="S333" s="342"/>
      <c r="T333" s="343"/>
      <c r="AT333" s="337" t="s">
        <v>155</v>
      </c>
      <c r="AU333" s="337" t="s">
        <v>83</v>
      </c>
      <c r="AV333" s="335" t="s">
        <v>83</v>
      </c>
      <c r="AW333" s="335" t="s">
        <v>34</v>
      </c>
      <c r="AX333" s="335" t="s">
        <v>76</v>
      </c>
      <c r="AY333" s="337" t="s">
        <v>146</v>
      </c>
    </row>
    <row r="334" spans="2:51" s="347" customFormat="1" ht="12">
      <c r="B334" s="348"/>
      <c r="D334" s="328" t="s">
        <v>155</v>
      </c>
      <c r="E334" s="349" t="s">
        <v>1</v>
      </c>
      <c r="F334" s="356" t="s">
        <v>157</v>
      </c>
      <c r="H334" s="351">
        <f>SUM(H331:H333)</f>
        <v>0.24768000000000004</v>
      </c>
      <c r="I334" s="499"/>
      <c r="L334" s="352"/>
      <c r="M334" s="353"/>
      <c r="N334" s="354"/>
      <c r="O334" s="354"/>
      <c r="P334" s="354"/>
      <c r="Q334" s="354"/>
      <c r="R334" s="354"/>
      <c r="S334" s="354"/>
      <c r="T334" s="355"/>
      <c r="AT334" s="349" t="s">
        <v>155</v>
      </c>
      <c r="AU334" s="349" t="s">
        <v>83</v>
      </c>
      <c r="AV334" s="347" t="s">
        <v>153</v>
      </c>
      <c r="AW334" s="347" t="s">
        <v>34</v>
      </c>
      <c r="AX334" s="347" t="s">
        <v>81</v>
      </c>
      <c r="AY334" s="349" t="s">
        <v>146</v>
      </c>
    </row>
    <row r="335" spans="1:65" s="225" customFormat="1" ht="24.2" customHeight="1">
      <c r="A335" s="222"/>
      <c r="B335" s="223"/>
      <c r="C335" s="314">
        <v>35</v>
      </c>
      <c r="D335" s="314" t="s">
        <v>148</v>
      </c>
      <c r="E335" s="315" t="s">
        <v>323</v>
      </c>
      <c r="F335" s="316" t="s">
        <v>324</v>
      </c>
      <c r="G335" s="317" t="s">
        <v>194</v>
      </c>
      <c r="H335" s="318">
        <f>H337</f>
        <v>0.09173999999999999</v>
      </c>
      <c r="I335" s="79"/>
      <c r="J335" s="319">
        <f>ROUND(I335*H335,2)</f>
        <v>0</v>
      </c>
      <c r="K335" s="316"/>
      <c r="L335" s="229"/>
      <c r="M335" s="320" t="s">
        <v>1</v>
      </c>
      <c r="N335" s="321" t="s">
        <v>42</v>
      </c>
      <c r="O335" s="322">
        <v>40.5</v>
      </c>
      <c r="P335" s="322">
        <f>O335*H335</f>
        <v>3.7154699999999994</v>
      </c>
      <c r="Q335" s="322">
        <v>1.09</v>
      </c>
      <c r="R335" s="322">
        <f>Q335*H335</f>
        <v>0.09999659999999999</v>
      </c>
      <c r="S335" s="322">
        <v>0</v>
      </c>
      <c r="T335" s="323">
        <f>S335*H335</f>
        <v>0</v>
      </c>
      <c r="U335" s="222"/>
      <c r="V335" s="222"/>
      <c r="W335" s="222"/>
      <c r="X335" s="222"/>
      <c r="Y335" s="222"/>
      <c r="Z335" s="222"/>
      <c r="AA335" s="222"/>
      <c r="AB335" s="222"/>
      <c r="AC335" s="222"/>
      <c r="AD335" s="222"/>
      <c r="AE335" s="222"/>
      <c r="AR335" s="324" t="s">
        <v>153</v>
      </c>
      <c r="AT335" s="324" t="s">
        <v>148</v>
      </c>
      <c r="AU335" s="324" t="s">
        <v>83</v>
      </c>
      <c r="AY335" s="214" t="s">
        <v>146</v>
      </c>
      <c r="BE335" s="325">
        <f>IF(N335="základní",J335,0)</f>
        <v>0</v>
      </c>
      <c r="BF335" s="325">
        <f>IF(N335="snížená",J335,0)</f>
        <v>0</v>
      </c>
      <c r="BG335" s="325">
        <f>IF(N335="zákl. přenesená",J335,0)</f>
        <v>0</v>
      </c>
      <c r="BH335" s="325">
        <f>IF(N335="sníž. přenesená",J335,0)</f>
        <v>0</v>
      </c>
      <c r="BI335" s="325">
        <f>IF(N335="nulová",J335,0)</f>
        <v>0</v>
      </c>
      <c r="BJ335" s="214" t="s">
        <v>81</v>
      </c>
      <c r="BK335" s="325">
        <f>ROUND(I335*H335,2)</f>
        <v>0</v>
      </c>
      <c r="BL335" s="214" t="s">
        <v>153</v>
      </c>
      <c r="BM335" s="324" t="s">
        <v>325</v>
      </c>
    </row>
    <row r="336" spans="2:51" s="326" customFormat="1" ht="22.5">
      <c r="B336" s="327"/>
      <c r="D336" s="328" t="s">
        <v>155</v>
      </c>
      <c r="E336" s="329" t="s">
        <v>1</v>
      </c>
      <c r="F336" s="330" t="s">
        <v>3018</v>
      </c>
      <c r="H336" s="329" t="s">
        <v>1</v>
      </c>
      <c r="I336" s="497"/>
      <c r="L336" s="331"/>
      <c r="M336" s="332"/>
      <c r="N336" s="333"/>
      <c r="O336" s="333"/>
      <c r="P336" s="333"/>
      <c r="Q336" s="333"/>
      <c r="R336" s="333"/>
      <c r="S336" s="333"/>
      <c r="T336" s="334"/>
      <c r="AT336" s="329" t="s">
        <v>155</v>
      </c>
      <c r="AU336" s="329" t="s">
        <v>83</v>
      </c>
      <c r="AV336" s="326" t="s">
        <v>81</v>
      </c>
      <c r="AW336" s="326" t="s">
        <v>34</v>
      </c>
      <c r="AX336" s="326" t="s">
        <v>76</v>
      </c>
      <c r="AY336" s="329" t="s">
        <v>146</v>
      </c>
    </row>
    <row r="337" spans="2:51" s="335" customFormat="1" ht="12">
      <c r="B337" s="336"/>
      <c r="D337" s="328" t="s">
        <v>155</v>
      </c>
      <c r="E337" s="337" t="s">
        <v>1</v>
      </c>
      <c r="F337" s="338" t="s">
        <v>3019</v>
      </c>
      <c r="H337" s="339">
        <f>11*1*8.34/1000</f>
        <v>0.09173999999999999</v>
      </c>
      <c r="I337" s="498"/>
      <c r="L337" s="340"/>
      <c r="M337" s="341"/>
      <c r="N337" s="342"/>
      <c r="O337" s="342"/>
      <c r="P337" s="342"/>
      <c r="Q337" s="342"/>
      <c r="R337" s="342"/>
      <c r="S337" s="342"/>
      <c r="T337" s="343"/>
      <c r="AT337" s="337" t="s">
        <v>155</v>
      </c>
      <c r="AU337" s="337" t="s">
        <v>83</v>
      </c>
      <c r="AV337" s="335" t="s">
        <v>83</v>
      </c>
      <c r="AW337" s="335" t="s">
        <v>34</v>
      </c>
      <c r="AX337" s="335" t="s">
        <v>81</v>
      </c>
      <c r="AY337" s="337" t="s">
        <v>146</v>
      </c>
    </row>
    <row r="338" spans="1:65" s="225" customFormat="1" ht="24.2" customHeight="1">
      <c r="A338" s="222"/>
      <c r="B338" s="223"/>
      <c r="C338" s="314">
        <v>36</v>
      </c>
      <c r="D338" s="314" t="s">
        <v>148</v>
      </c>
      <c r="E338" s="315" t="s">
        <v>327</v>
      </c>
      <c r="F338" s="316" t="s">
        <v>328</v>
      </c>
      <c r="G338" s="317" t="s">
        <v>194</v>
      </c>
      <c r="H338" s="318">
        <f>H343</f>
        <v>0.37323</v>
      </c>
      <c r="I338" s="79"/>
      <c r="J338" s="319">
        <f>ROUND(I338*H338,2)</f>
        <v>0</v>
      </c>
      <c r="K338" s="316"/>
      <c r="L338" s="229"/>
      <c r="M338" s="320" t="s">
        <v>1</v>
      </c>
      <c r="N338" s="321" t="s">
        <v>42</v>
      </c>
      <c r="O338" s="322">
        <v>36.9</v>
      </c>
      <c r="P338" s="322">
        <f>O338*H338</f>
        <v>13.772186999999999</v>
      </c>
      <c r="Q338" s="322">
        <v>1.09</v>
      </c>
      <c r="R338" s="322">
        <f>Q338*H338</f>
        <v>0.40682070000000004</v>
      </c>
      <c r="S338" s="322">
        <v>0</v>
      </c>
      <c r="T338" s="323">
        <f>S338*H338</f>
        <v>0</v>
      </c>
      <c r="U338" s="222"/>
      <c r="V338" s="222"/>
      <c r="W338" s="222"/>
      <c r="X338" s="222"/>
      <c r="Y338" s="222"/>
      <c r="Z338" s="222"/>
      <c r="AA338" s="222"/>
      <c r="AB338" s="222"/>
      <c r="AC338" s="222"/>
      <c r="AD338" s="222"/>
      <c r="AE338" s="222"/>
      <c r="AR338" s="324" t="s">
        <v>153</v>
      </c>
      <c r="AT338" s="324" t="s">
        <v>148</v>
      </c>
      <c r="AU338" s="324" t="s">
        <v>83</v>
      </c>
      <c r="AY338" s="214" t="s">
        <v>146</v>
      </c>
      <c r="BE338" s="325">
        <f>IF(N338="základní",J338,0)</f>
        <v>0</v>
      </c>
      <c r="BF338" s="325">
        <f>IF(N338="snížená",J338,0)</f>
        <v>0</v>
      </c>
      <c r="BG338" s="325">
        <f>IF(N338="zákl. přenesená",J338,0)</f>
        <v>0</v>
      </c>
      <c r="BH338" s="325">
        <f>IF(N338="sníž. přenesená",J338,0)</f>
        <v>0</v>
      </c>
      <c r="BI338" s="325">
        <f>IF(N338="nulová",J338,0)</f>
        <v>0</v>
      </c>
      <c r="BJ338" s="214" t="s">
        <v>81</v>
      </c>
      <c r="BK338" s="325">
        <f>ROUND(I338*H338,2)</f>
        <v>0</v>
      </c>
      <c r="BL338" s="214" t="s">
        <v>153</v>
      </c>
      <c r="BM338" s="324" t="s">
        <v>329</v>
      </c>
    </row>
    <row r="339" spans="2:51" s="326" customFormat="1" ht="22.5">
      <c r="B339" s="327"/>
      <c r="D339" s="328" t="s">
        <v>155</v>
      </c>
      <c r="E339" s="329" t="s">
        <v>1</v>
      </c>
      <c r="F339" s="330" t="s">
        <v>330</v>
      </c>
      <c r="H339" s="329" t="s">
        <v>1</v>
      </c>
      <c r="I339" s="497"/>
      <c r="L339" s="331"/>
      <c r="M339" s="332"/>
      <c r="N339" s="333"/>
      <c r="O339" s="333"/>
      <c r="P339" s="333"/>
      <c r="Q339" s="333"/>
      <c r="R339" s="333"/>
      <c r="S339" s="333"/>
      <c r="T339" s="334"/>
      <c r="AT339" s="329" t="s">
        <v>155</v>
      </c>
      <c r="AU339" s="329" t="s">
        <v>83</v>
      </c>
      <c r="AV339" s="326" t="s">
        <v>81</v>
      </c>
      <c r="AW339" s="326" t="s">
        <v>34</v>
      </c>
      <c r="AX339" s="326" t="s">
        <v>76</v>
      </c>
      <c r="AY339" s="329" t="s">
        <v>146</v>
      </c>
    </row>
    <row r="340" spans="2:51" s="335" customFormat="1" ht="12">
      <c r="B340" s="336"/>
      <c r="D340" s="328" t="s">
        <v>155</v>
      </c>
      <c r="E340" s="337" t="s">
        <v>1</v>
      </c>
      <c r="F340" s="338" t="s">
        <v>331</v>
      </c>
      <c r="H340" s="339">
        <f>9*2.5*14.3/1000</f>
        <v>0.32175</v>
      </c>
      <c r="I340" s="498"/>
      <c r="L340" s="340"/>
      <c r="M340" s="341"/>
      <c r="N340" s="342"/>
      <c r="O340" s="342"/>
      <c r="P340" s="342"/>
      <c r="Q340" s="342"/>
      <c r="R340" s="342"/>
      <c r="S340" s="342"/>
      <c r="T340" s="343"/>
      <c r="AT340" s="337" t="s">
        <v>155</v>
      </c>
      <c r="AU340" s="337" t="s">
        <v>83</v>
      </c>
      <c r="AV340" s="335" t="s">
        <v>83</v>
      </c>
      <c r="AW340" s="335" t="s">
        <v>34</v>
      </c>
      <c r="AX340" s="335" t="s">
        <v>81</v>
      </c>
      <c r="AY340" s="337" t="s">
        <v>146</v>
      </c>
    </row>
    <row r="341" spans="2:51" s="326" customFormat="1" ht="12">
      <c r="B341" s="327"/>
      <c r="D341" s="328" t="s">
        <v>155</v>
      </c>
      <c r="E341" s="329" t="s">
        <v>1</v>
      </c>
      <c r="F341" s="330" t="s">
        <v>2962</v>
      </c>
      <c r="H341" s="329" t="s">
        <v>1</v>
      </c>
      <c r="I341" s="497"/>
      <c r="L341" s="331"/>
      <c r="M341" s="332"/>
      <c r="N341" s="333"/>
      <c r="O341" s="333"/>
      <c r="P341" s="333"/>
      <c r="Q341" s="333"/>
      <c r="R341" s="333"/>
      <c r="S341" s="333"/>
      <c r="T341" s="334"/>
      <c r="AT341" s="329" t="s">
        <v>155</v>
      </c>
      <c r="AU341" s="329" t="s">
        <v>83</v>
      </c>
      <c r="AV341" s="326" t="s">
        <v>81</v>
      </c>
      <c r="AW341" s="326" t="s">
        <v>34</v>
      </c>
      <c r="AX341" s="326" t="s">
        <v>76</v>
      </c>
      <c r="AY341" s="329" t="s">
        <v>146</v>
      </c>
    </row>
    <row r="342" spans="2:51" s="335" customFormat="1" ht="12">
      <c r="B342" s="336"/>
      <c r="D342" s="328" t="s">
        <v>155</v>
      </c>
      <c r="E342" s="337" t="s">
        <v>1</v>
      </c>
      <c r="F342" s="338" t="s">
        <v>2963</v>
      </c>
      <c r="H342" s="339">
        <f>2*1.8*14.3/1000</f>
        <v>0.051480000000000005</v>
      </c>
      <c r="I342" s="498"/>
      <c r="L342" s="340"/>
      <c r="M342" s="341"/>
      <c r="N342" s="342"/>
      <c r="O342" s="342"/>
      <c r="P342" s="342"/>
      <c r="Q342" s="342"/>
      <c r="R342" s="342"/>
      <c r="S342" s="342"/>
      <c r="T342" s="343"/>
      <c r="AT342" s="337" t="s">
        <v>155</v>
      </c>
      <c r="AU342" s="337" t="s">
        <v>83</v>
      </c>
      <c r="AV342" s="335" t="s">
        <v>83</v>
      </c>
      <c r="AW342" s="335" t="s">
        <v>34</v>
      </c>
      <c r="AX342" s="335" t="s">
        <v>81</v>
      </c>
      <c r="AY342" s="337" t="s">
        <v>146</v>
      </c>
    </row>
    <row r="343" spans="2:51" s="347" customFormat="1" ht="12">
      <c r="B343" s="348"/>
      <c r="D343" s="328" t="s">
        <v>155</v>
      </c>
      <c r="E343" s="349" t="s">
        <v>1</v>
      </c>
      <c r="F343" s="356" t="s">
        <v>157</v>
      </c>
      <c r="H343" s="351">
        <f>SUM(H340:H342)</f>
        <v>0.37323</v>
      </c>
      <c r="I343" s="499"/>
      <c r="L343" s="352"/>
      <c r="M343" s="353"/>
      <c r="N343" s="354"/>
      <c r="O343" s="354"/>
      <c r="P343" s="354"/>
      <c r="Q343" s="354"/>
      <c r="R343" s="354"/>
      <c r="S343" s="354"/>
      <c r="T343" s="355"/>
      <c r="AT343" s="349" t="s">
        <v>155</v>
      </c>
      <c r="AU343" s="349" t="s">
        <v>83</v>
      </c>
      <c r="AV343" s="347" t="s">
        <v>153</v>
      </c>
      <c r="AW343" s="347" t="s">
        <v>34</v>
      </c>
      <c r="AX343" s="347" t="s">
        <v>81</v>
      </c>
      <c r="AY343" s="349" t="s">
        <v>146</v>
      </c>
    </row>
    <row r="344" spans="1:65" s="225" customFormat="1" ht="33" customHeight="1">
      <c r="A344" s="222"/>
      <c r="B344" s="223"/>
      <c r="C344" s="314">
        <v>37</v>
      </c>
      <c r="D344" s="314" t="s">
        <v>148</v>
      </c>
      <c r="E344" s="315" t="s">
        <v>334</v>
      </c>
      <c r="F344" s="316" t="s">
        <v>335</v>
      </c>
      <c r="G344" s="317" t="s">
        <v>151</v>
      </c>
      <c r="H344" s="318">
        <f>H349</f>
        <v>2.3200000000000003</v>
      </c>
      <c r="I344" s="79"/>
      <c r="J344" s="319">
        <f>ROUND(I344*H344,2)</f>
        <v>0</v>
      </c>
      <c r="K344" s="316"/>
      <c r="L344" s="229"/>
      <c r="M344" s="320" t="s">
        <v>1</v>
      </c>
      <c r="N344" s="321" t="s">
        <v>42</v>
      </c>
      <c r="O344" s="322">
        <v>0.68</v>
      </c>
      <c r="P344" s="322">
        <f>O344*H344</f>
        <v>1.5776000000000003</v>
      </c>
      <c r="Q344" s="322">
        <v>0.06307</v>
      </c>
      <c r="R344" s="322">
        <f>Q344*H344</f>
        <v>0.14632240000000002</v>
      </c>
      <c r="S344" s="322">
        <v>0</v>
      </c>
      <c r="T344" s="323">
        <f>S344*H344</f>
        <v>0</v>
      </c>
      <c r="U344" s="222"/>
      <c r="V344" s="222"/>
      <c r="W344" s="222"/>
      <c r="X344" s="222"/>
      <c r="Y344" s="222"/>
      <c r="Z344" s="222"/>
      <c r="AA344" s="222"/>
      <c r="AB344" s="222"/>
      <c r="AC344" s="222"/>
      <c r="AD344" s="222"/>
      <c r="AE344" s="222"/>
      <c r="AR344" s="324" t="s">
        <v>153</v>
      </c>
      <c r="AT344" s="324" t="s">
        <v>148</v>
      </c>
      <c r="AU344" s="324" t="s">
        <v>83</v>
      </c>
      <c r="AY344" s="214" t="s">
        <v>146</v>
      </c>
      <c r="BE344" s="325">
        <f>IF(N344="základní",J344,0)</f>
        <v>0</v>
      </c>
      <c r="BF344" s="325">
        <f>IF(N344="snížená",J344,0)</f>
        <v>0</v>
      </c>
      <c r="BG344" s="325">
        <f>IF(N344="zákl. přenesená",J344,0)</f>
        <v>0</v>
      </c>
      <c r="BH344" s="325">
        <f>IF(N344="sníž. přenesená",J344,0)</f>
        <v>0</v>
      </c>
      <c r="BI344" s="325">
        <f>IF(N344="nulová",J344,0)</f>
        <v>0</v>
      </c>
      <c r="BJ344" s="214" t="s">
        <v>81</v>
      </c>
      <c r="BK344" s="325">
        <f>ROUND(I344*H344,2)</f>
        <v>0</v>
      </c>
      <c r="BL344" s="214" t="s">
        <v>153</v>
      </c>
      <c r="BM344" s="324" t="s">
        <v>336</v>
      </c>
    </row>
    <row r="345" spans="2:51" s="326" customFormat="1" ht="12">
      <c r="B345" s="327"/>
      <c r="D345" s="328" t="s">
        <v>155</v>
      </c>
      <c r="E345" s="329" t="s">
        <v>1</v>
      </c>
      <c r="F345" s="330" t="s">
        <v>337</v>
      </c>
      <c r="H345" s="329" t="s">
        <v>1</v>
      </c>
      <c r="I345" s="497"/>
      <c r="L345" s="331"/>
      <c r="M345" s="332"/>
      <c r="N345" s="333"/>
      <c r="O345" s="333"/>
      <c r="P345" s="333"/>
      <c r="Q345" s="333"/>
      <c r="R345" s="333"/>
      <c r="S345" s="333"/>
      <c r="T345" s="334"/>
      <c r="AT345" s="329" t="s">
        <v>155</v>
      </c>
      <c r="AU345" s="329" t="s">
        <v>83</v>
      </c>
      <c r="AV345" s="326" t="s">
        <v>81</v>
      </c>
      <c r="AW345" s="326" t="s">
        <v>34</v>
      </c>
      <c r="AX345" s="326" t="s">
        <v>76</v>
      </c>
      <c r="AY345" s="329" t="s">
        <v>146</v>
      </c>
    </row>
    <row r="346" spans="2:51" s="335" customFormat="1" ht="12">
      <c r="B346" s="336"/>
      <c r="D346" s="328" t="s">
        <v>155</v>
      </c>
      <c r="E346" s="337" t="s">
        <v>1</v>
      </c>
      <c r="F346" s="338" t="s">
        <v>2676</v>
      </c>
      <c r="H346" s="339">
        <f>0.8*0.65</f>
        <v>0.52</v>
      </c>
      <c r="I346" s="498"/>
      <c r="L346" s="340"/>
      <c r="M346" s="341"/>
      <c r="N346" s="342"/>
      <c r="O346" s="342"/>
      <c r="P346" s="342"/>
      <c r="Q346" s="342"/>
      <c r="R346" s="342"/>
      <c r="S346" s="342"/>
      <c r="T346" s="343"/>
      <c r="AT346" s="337" t="s">
        <v>155</v>
      </c>
      <c r="AU346" s="337" t="s">
        <v>83</v>
      </c>
      <c r="AV346" s="335" t="s">
        <v>83</v>
      </c>
      <c r="AW346" s="335" t="s">
        <v>34</v>
      </c>
      <c r="AX346" s="335" t="s">
        <v>76</v>
      </c>
      <c r="AY346" s="337" t="s">
        <v>146</v>
      </c>
    </row>
    <row r="347" spans="2:51" s="326" customFormat="1" ht="12">
      <c r="B347" s="327"/>
      <c r="D347" s="328" t="s">
        <v>155</v>
      </c>
      <c r="E347" s="329" t="s">
        <v>1</v>
      </c>
      <c r="F347" s="330" t="s">
        <v>338</v>
      </c>
      <c r="H347" s="329" t="s">
        <v>1</v>
      </c>
      <c r="I347" s="497"/>
      <c r="L347" s="331"/>
      <c r="M347" s="332"/>
      <c r="N347" s="333"/>
      <c r="O347" s="333"/>
      <c r="P347" s="333"/>
      <c r="Q347" s="333"/>
      <c r="R347" s="333"/>
      <c r="S347" s="333"/>
      <c r="T347" s="334"/>
      <c r="AT347" s="329" t="s">
        <v>155</v>
      </c>
      <c r="AU347" s="329" t="s">
        <v>83</v>
      </c>
      <c r="AV347" s="326" t="s">
        <v>81</v>
      </c>
      <c r="AW347" s="326" t="s">
        <v>34</v>
      </c>
      <c r="AX347" s="326" t="s">
        <v>76</v>
      </c>
      <c r="AY347" s="329" t="s">
        <v>146</v>
      </c>
    </row>
    <row r="348" spans="2:51" s="335" customFormat="1" ht="12">
      <c r="B348" s="336"/>
      <c r="D348" s="328" t="s">
        <v>155</v>
      </c>
      <c r="E348" s="337" t="s">
        <v>1</v>
      </c>
      <c r="F348" s="338" t="s">
        <v>339</v>
      </c>
      <c r="H348" s="339">
        <v>1.8</v>
      </c>
      <c r="I348" s="498"/>
      <c r="L348" s="340"/>
      <c r="M348" s="341"/>
      <c r="N348" s="342"/>
      <c r="O348" s="342"/>
      <c r="P348" s="342"/>
      <c r="Q348" s="342"/>
      <c r="R348" s="342"/>
      <c r="S348" s="342"/>
      <c r="T348" s="343"/>
      <c r="AT348" s="337" t="s">
        <v>155</v>
      </c>
      <c r="AU348" s="337" t="s">
        <v>83</v>
      </c>
      <c r="AV348" s="335" t="s">
        <v>83</v>
      </c>
      <c r="AW348" s="335" t="s">
        <v>34</v>
      </c>
      <c r="AX348" s="335" t="s">
        <v>76</v>
      </c>
      <c r="AY348" s="337" t="s">
        <v>146</v>
      </c>
    </row>
    <row r="349" spans="2:51" s="347" customFormat="1" ht="12">
      <c r="B349" s="348"/>
      <c r="D349" s="328" t="s">
        <v>155</v>
      </c>
      <c r="E349" s="349" t="s">
        <v>1</v>
      </c>
      <c r="F349" s="356" t="s">
        <v>157</v>
      </c>
      <c r="H349" s="351">
        <f>H346+H348</f>
        <v>2.3200000000000003</v>
      </c>
      <c r="I349" s="499"/>
      <c r="L349" s="352"/>
      <c r="M349" s="353"/>
      <c r="N349" s="354"/>
      <c r="O349" s="354"/>
      <c r="P349" s="354"/>
      <c r="Q349" s="354"/>
      <c r="R349" s="354"/>
      <c r="S349" s="354"/>
      <c r="T349" s="355"/>
      <c r="AT349" s="349" t="s">
        <v>155</v>
      </c>
      <c r="AU349" s="349" t="s">
        <v>83</v>
      </c>
      <c r="AV349" s="347" t="s">
        <v>153</v>
      </c>
      <c r="AW349" s="347" t="s">
        <v>34</v>
      </c>
      <c r="AX349" s="347" t="s">
        <v>81</v>
      </c>
      <c r="AY349" s="349" t="s">
        <v>146</v>
      </c>
    </row>
    <row r="350" spans="1:65" s="225" customFormat="1" ht="33" customHeight="1">
      <c r="A350" s="222"/>
      <c r="B350" s="223"/>
      <c r="C350" s="314">
        <v>38</v>
      </c>
      <c r="D350" s="314" t="s">
        <v>148</v>
      </c>
      <c r="E350" s="315"/>
      <c r="F350" s="316" t="s">
        <v>2966</v>
      </c>
      <c r="G350" s="317" t="s">
        <v>151</v>
      </c>
      <c r="H350" s="318">
        <f>H352</f>
        <v>3.296000000000001</v>
      </c>
      <c r="I350" s="79"/>
      <c r="J350" s="319">
        <f>ROUND(I350*H350,2)</f>
        <v>0</v>
      </c>
      <c r="K350" s="316"/>
      <c r="L350" s="229"/>
      <c r="M350" s="320" t="s">
        <v>1</v>
      </c>
      <c r="N350" s="321" t="s">
        <v>42</v>
      </c>
      <c r="O350" s="322">
        <v>0.68</v>
      </c>
      <c r="P350" s="322">
        <f>O350*H350</f>
        <v>2.241280000000001</v>
      </c>
      <c r="Q350" s="322">
        <v>0.102</v>
      </c>
      <c r="R350" s="322">
        <f>Q350*H350</f>
        <v>0.3361920000000001</v>
      </c>
      <c r="S350" s="322">
        <v>0</v>
      </c>
      <c r="T350" s="323">
        <f>S350*H350</f>
        <v>0</v>
      </c>
      <c r="U350" s="222"/>
      <c r="V350" s="222"/>
      <c r="W350" s="222"/>
      <c r="X350" s="222"/>
      <c r="Y350" s="222"/>
      <c r="Z350" s="222"/>
      <c r="AA350" s="222"/>
      <c r="AB350" s="222"/>
      <c r="AC350" s="222"/>
      <c r="AD350" s="222"/>
      <c r="AE350" s="222"/>
      <c r="AR350" s="324" t="s">
        <v>153</v>
      </c>
      <c r="AT350" s="324" t="s">
        <v>148</v>
      </c>
      <c r="AU350" s="324" t="s">
        <v>83</v>
      </c>
      <c r="AY350" s="214" t="s">
        <v>146</v>
      </c>
      <c r="BE350" s="325">
        <f>IF(N350="základní",J350,0)</f>
        <v>0</v>
      </c>
      <c r="BF350" s="325">
        <f>IF(N350="snížená",J350,0)</f>
        <v>0</v>
      </c>
      <c r="BG350" s="325">
        <f>IF(N350="zákl. přenesená",J350,0)</f>
        <v>0</v>
      </c>
      <c r="BH350" s="325">
        <f>IF(N350="sníž. přenesená",J350,0)</f>
        <v>0</v>
      </c>
      <c r="BI350" s="325">
        <f>IF(N350="nulová",J350,0)</f>
        <v>0</v>
      </c>
      <c r="BJ350" s="214" t="s">
        <v>81</v>
      </c>
      <c r="BK350" s="325">
        <f>ROUND(I350*H350,2)</f>
        <v>0</v>
      </c>
      <c r="BL350" s="214" t="s">
        <v>153</v>
      </c>
      <c r="BM350" s="324" t="s">
        <v>336</v>
      </c>
    </row>
    <row r="351" spans="2:51" s="326" customFormat="1" ht="12">
      <c r="B351" s="327"/>
      <c r="D351" s="328" t="s">
        <v>155</v>
      </c>
      <c r="E351" s="329" t="s">
        <v>1</v>
      </c>
      <c r="F351" s="330" t="s">
        <v>2965</v>
      </c>
      <c r="H351" s="329"/>
      <c r="I351" s="497"/>
      <c r="L351" s="331"/>
      <c r="M351" s="332"/>
      <c r="N351" s="333"/>
      <c r="O351" s="333"/>
      <c r="P351" s="333"/>
      <c r="Q351" s="333"/>
      <c r="R351" s="333"/>
      <c r="S351" s="333"/>
      <c r="T351" s="334"/>
      <c r="AT351" s="329" t="s">
        <v>155</v>
      </c>
      <c r="AU351" s="329" t="s">
        <v>83</v>
      </c>
      <c r="AV351" s="326" t="s">
        <v>81</v>
      </c>
      <c r="AW351" s="326" t="s">
        <v>34</v>
      </c>
      <c r="AX351" s="326" t="s">
        <v>76</v>
      </c>
      <c r="AY351" s="329" t="s">
        <v>146</v>
      </c>
    </row>
    <row r="352" spans="2:51" s="335" customFormat="1" ht="12">
      <c r="B352" s="336"/>
      <c r="D352" s="328" t="s">
        <v>155</v>
      </c>
      <c r="E352" s="337" t="s">
        <v>1</v>
      </c>
      <c r="F352" s="338" t="s">
        <v>3234</v>
      </c>
      <c r="H352" s="339">
        <f>1.6*(3.18-2.15)*2</f>
        <v>3.296000000000001</v>
      </c>
      <c r="I352" s="498"/>
      <c r="L352" s="340"/>
      <c r="M352" s="341"/>
      <c r="N352" s="342"/>
      <c r="O352" s="342"/>
      <c r="P352" s="342"/>
      <c r="Q352" s="342"/>
      <c r="R352" s="342"/>
      <c r="S352" s="342"/>
      <c r="T352" s="343"/>
      <c r="AT352" s="337" t="s">
        <v>155</v>
      </c>
      <c r="AU352" s="337" t="s">
        <v>83</v>
      </c>
      <c r="AV352" s="335" t="s">
        <v>83</v>
      </c>
      <c r="AW352" s="335" t="s">
        <v>34</v>
      </c>
      <c r="AX352" s="335" t="s">
        <v>76</v>
      </c>
      <c r="AY352" s="337" t="s">
        <v>146</v>
      </c>
    </row>
    <row r="353" spans="1:65" s="225" customFormat="1" ht="24.2" customHeight="1">
      <c r="A353" s="222"/>
      <c r="B353" s="223"/>
      <c r="C353" s="314">
        <v>39</v>
      </c>
      <c r="D353" s="314" t="s">
        <v>148</v>
      </c>
      <c r="E353" s="315" t="s">
        <v>341</v>
      </c>
      <c r="F353" s="316" t="s">
        <v>342</v>
      </c>
      <c r="G353" s="317" t="s">
        <v>151</v>
      </c>
      <c r="H353" s="318">
        <f>H355</f>
        <v>5.0325</v>
      </c>
      <c r="I353" s="79"/>
      <c r="J353" s="319">
        <f>ROUND(I353*H353,2)</f>
        <v>0</v>
      </c>
      <c r="K353" s="316"/>
      <c r="L353" s="229"/>
      <c r="M353" s="320" t="s">
        <v>1</v>
      </c>
      <c r="N353" s="321" t="s">
        <v>42</v>
      </c>
      <c r="O353" s="322">
        <v>0.514</v>
      </c>
      <c r="P353" s="322">
        <f>O353*H353</f>
        <v>2.586705</v>
      </c>
      <c r="Q353" s="322">
        <v>0.05015</v>
      </c>
      <c r="R353" s="322">
        <f>Q353*H353</f>
        <v>0.252379875</v>
      </c>
      <c r="S353" s="322">
        <v>0</v>
      </c>
      <c r="T353" s="323">
        <f>S353*H353</f>
        <v>0</v>
      </c>
      <c r="U353" s="222"/>
      <c r="V353" s="222"/>
      <c r="W353" s="222"/>
      <c r="X353" s="222"/>
      <c r="Y353" s="222"/>
      <c r="Z353" s="222"/>
      <c r="AA353" s="222"/>
      <c r="AB353" s="222"/>
      <c r="AC353" s="222"/>
      <c r="AD353" s="222"/>
      <c r="AE353" s="222"/>
      <c r="AR353" s="324" t="s">
        <v>153</v>
      </c>
      <c r="AT353" s="324" t="s">
        <v>148</v>
      </c>
      <c r="AU353" s="324" t="s">
        <v>83</v>
      </c>
      <c r="AY353" s="214" t="s">
        <v>146</v>
      </c>
      <c r="BE353" s="325">
        <f>IF(N353="základní",J353,0)</f>
        <v>0</v>
      </c>
      <c r="BF353" s="325">
        <f>IF(N353="snížená",J353,0)</f>
        <v>0</v>
      </c>
      <c r="BG353" s="325">
        <f>IF(N353="zákl. přenesená",J353,0)</f>
        <v>0</v>
      </c>
      <c r="BH353" s="325">
        <f>IF(N353="sníž. přenesená",J353,0)</f>
        <v>0</v>
      </c>
      <c r="BI353" s="325">
        <f>IF(N353="nulová",J353,0)</f>
        <v>0</v>
      </c>
      <c r="BJ353" s="214" t="s">
        <v>81</v>
      </c>
      <c r="BK353" s="325">
        <f>ROUND(I353*H353,2)</f>
        <v>0</v>
      </c>
      <c r="BL353" s="214" t="s">
        <v>153</v>
      </c>
      <c r="BM353" s="324" t="s">
        <v>343</v>
      </c>
    </row>
    <row r="354" spans="2:51" s="326" customFormat="1" ht="12">
      <c r="B354" s="327"/>
      <c r="D354" s="328" t="s">
        <v>155</v>
      </c>
      <c r="E354" s="329" t="s">
        <v>1</v>
      </c>
      <c r="F354" s="330" t="s">
        <v>344</v>
      </c>
      <c r="H354" s="329" t="s">
        <v>1</v>
      </c>
      <c r="I354" s="497"/>
      <c r="L354" s="331"/>
      <c r="M354" s="332"/>
      <c r="N354" s="333"/>
      <c r="O354" s="333"/>
      <c r="P354" s="333"/>
      <c r="Q354" s="333"/>
      <c r="R354" s="333"/>
      <c r="S354" s="333"/>
      <c r="T354" s="334"/>
      <c r="AT354" s="329" t="s">
        <v>155</v>
      </c>
      <c r="AU354" s="329" t="s">
        <v>83</v>
      </c>
      <c r="AV354" s="326" t="s">
        <v>81</v>
      </c>
      <c r="AW354" s="326" t="s">
        <v>34</v>
      </c>
      <c r="AX354" s="326" t="s">
        <v>76</v>
      </c>
      <c r="AY354" s="329" t="s">
        <v>146</v>
      </c>
    </row>
    <row r="355" spans="2:51" s="335" customFormat="1" ht="12">
      <c r="B355" s="336"/>
      <c r="D355" s="328" t="s">
        <v>155</v>
      </c>
      <c r="E355" s="337" t="s">
        <v>1</v>
      </c>
      <c r="F355" s="338" t="s">
        <v>2677</v>
      </c>
      <c r="H355" s="339">
        <f>1.65*3.05</f>
        <v>5.0325</v>
      </c>
      <c r="I355" s="498"/>
      <c r="L355" s="340"/>
      <c r="M355" s="341"/>
      <c r="N355" s="342"/>
      <c r="O355" s="342"/>
      <c r="P355" s="342"/>
      <c r="Q355" s="342"/>
      <c r="R355" s="342"/>
      <c r="S355" s="342"/>
      <c r="T355" s="343"/>
      <c r="AT355" s="337" t="s">
        <v>155</v>
      </c>
      <c r="AU355" s="337" t="s">
        <v>83</v>
      </c>
      <c r="AV355" s="335" t="s">
        <v>83</v>
      </c>
      <c r="AW355" s="335" t="s">
        <v>34</v>
      </c>
      <c r="AX355" s="335" t="s">
        <v>76</v>
      </c>
      <c r="AY355" s="337" t="s">
        <v>146</v>
      </c>
    </row>
    <row r="356" spans="1:65" s="225" customFormat="1" ht="24.2" customHeight="1">
      <c r="A356" s="222"/>
      <c r="B356" s="223"/>
      <c r="C356" s="314">
        <v>40</v>
      </c>
      <c r="D356" s="314" t="s">
        <v>148</v>
      </c>
      <c r="E356" s="315" t="s">
        <v>346</v>
      </c>
      <c r="F356" s="316" t="s">
        <v>347</v>
      </c>
      <c r="G356" s="317" t="s">
        <v>151</v>
      </c>
      <c r="H356" s="318">
        <f>H373</f>
        <v>71.06875</v>
      </c>
      <c r="I356" s="79"/>
      <c r="J356" s="319">
        <f>ROUND(I356*H356,2)</f>
        <v>0</v>
      </c>
      <c r="K356" s="316"/>
      <c r="L356" s="229"/>
      <c r="M356" s="320" t="s">
        <v>1</v>
      </c>
      <c r="N356" s="321" t="s">
        <v>42</v>
      </c>
      <c r="O356" s="322">
        <v>0.525</v>
      </c>
      <c r="P356" s="322">
        <f>O356*H356</f>
        <v>37.31109375</v>
      </c>
      <c r="Q356" s="322">
        <v>0.05897</v>
      </c>
      <c r="R356" s="322">
        <f>Q356*H356</f>
        <v>4.190924187499999</v>
      </c>
      <c r="S356" s="322">
        <v>0</v>
      </c>
      <c r="T356" s="323">
        <f>S356*H356</f>
        <v>0</v>
      </c>
      <c r="U356" s="222"/>
      <c r="V356" s="222"/>
      <c r="W356" s="222"/>
      <c r="X356" s="222"/>
      <c r="Y356" s="222"/>
      <c r="Z356" s="222"/>
      <c r="AA356" s="222"/>
      <c r="AB356" s="222"/>
      <c r="AC356" s="222"/>
      <c r="AD356" s="222"/>
      <c r="AE356" s="222"/>
      <c r="AR356" s="324" t="s">
        <v>153</v>
      </c>
      <c r="AT356" s="324" t="s">
        <v>148</v>
      </c>
      <c r="AU356" s="324" t="s">
        <v>83</v>
      </c>
      <c r="AY356" s="214" t="s">
        <v>146</v>
      </c>
      <c r="BE356" s="325">
        <f>IF(N356="základní",J356,0)</f>
        <v>0</v>
      </c>
      <c r="BF356" s="325">
        <f>IF(N356="snížená",J356,0)</f>
        <v>0</v>
      </c>
      <c r="BG356" s="325">
        <f>IF(N356="zákl. přenesená",J356,0)</f>
        <v>0</v>
      </c>
      <c r="BH356" s="325">
        <f>IF(N356="sníž. přenesená",J356,0)</f>
        <v>0</v>
      </c>
      <c r="BI356" s="325">
        <f>IF(N356="nulová",J356,0)</f>
        <v>0</v>
      </c>
      <c r="BJ356" s="214" t="s">
        <v>81</v>
      </c>
      <c r="BK356" s="325">
        <f>ROUND(I356*H356,2)</f>
        <v>0</v>
      </c>
      <c r="BL356" s="214" t="s">
        <v>153</v>
      </c>
      <c r="BM356" s="324" t="s">
        <v>348</v>
      </c>
    </row>
    <row r="357" spans="2:51" s="326" customFormat="1" ht="12">
      <c r="B357" s="327"/>
      <c r="D357" s="328" t="s">
        <v>155</v>
      </c>
      <c r="E357" s="329" t="s">
        <v>1</v>
      </c>
      <c r="F357" s="330" t="s">
        <v>349</v>
      </c>
      <c r="H357" s="329" t="s">
        <v>1</v>
      </c>
      <c r="I357" s="497"/>
      <c r="L357" s="331"/>
      <c r="M357" s="332"/>
      <c r="N357" s="333"/>
      <c r="O357" s="333"/>
      <c r="P357" s="333"/>
      <c r="Q357" s="333"/>
      <c r="R357" s="333"/>
      <c r="S357" s="333"/>
      <c r="T357" s="334"/>
      <c r="AT357" s="329" t="s">
        <v>155</v>
      </c>
      <c r="AU357" s="329" t="s">
        <v>83</v>
      </c>
      <c r="AV357" s="326" t="s">
        <v>81</v>
      </c>
      <c r="AW357" s="326" t="s">
        <v>34</v>
      </c>
      <c r="AX357" s="326" t="s">
        <v>76</v>
      </c>
      <c r="AY357" s="329" t="s">
        <v>146</v>
      </c>
    </row>
    <row r="358" spans="2:51" s="335" customFormat="1" ht="12">
      <c r="B358" s="336"/>
      <c r="D358" s="328" t="s">
        <v>155</v>
      </c>
      <c r="E358" s="337" t="s">
        <v>1</v>
      </c>
      <c r="F358" s="338" t="s">
        <v>2678</v>
      </c>
      <c r="H358" s="339">
        <f>(1.15+2.775+0.9)*3.25-0.7*2</f>
        <v>14.28125</v>
      </c>
      <c r="I358" s="498"/>
      <c r="L358" s="340"/>
      <c r="M358" s="341"/>
      <c r="N358" s="342"/>
      <c r="O358" s="342"/>
      <c r="P358" s="342"/>
      <c r="Q358" s="342"/>
      <c r="R358" s="342"/>
      <c r="S358" s="342"/>
      <c r="T358" s="343"/>
      <c r="AT358" s="337" t="s">
        <v>155</v>
      </c>
      <c r="AU358" s="337" t="s">
        <v>83</v>
      </c>
      <c r="AV358" s="335" t="s">
        <v>83</v>
      </c>
      <c r="AW358" s="335" t="s">
        <v>34</v>
      </c>
      <c r="AX358" s="335" t="s">
        <v>76</v>
      </c>
      <c r="AY358" s="337" t="s">
        <v>146</v>
      </c>
    </row>
    <row r="359" spans="2:51" s="326" customFormat="1" ht="12">
      <c r="B359" s="327"/>
      <c r="D359" s="328" t="s">
        <v>155</v>
      </c>
      <c r="E359" s="329" t="s">
        <v>1</v>
      </c>
      <c r="F359" s="330" t="s">
        <v>350</v>
      </c>
      <c r="H359" s="329" t="s">
        <v>1</v>
      </c>
      <c r="I359" s="497"/>
      <c r="L359" s="331"/>
      <c r="M359" s="332"/>
      <c r="N359" s="333"/>
      <c r="O359" s="333"/>
      <c r="P359" s="333"/>
      <c r="Q359" s="333"/>
      <c r="R359" s="333"/>
      <c r="S359" s="333"/>
      <c r="T359" s="334"/>
      <c r="AT359" s="329" t="s">
        <v>155</v>
      </c>
      <c r="AU359" s="329" t="s">
        <v>83</v>
      </c>
      <c r="AV359" s="326" t="s">
        <v>81</v>
      </c>
      <c r="AW359" s="326" t="s">
        <v>34</v>
      </c>
      <c r="AX359" s="326" t="s">
        <v>76</v>
      </c>
      <c r="AY359" s="329" t="s">
        <v>146</v>
      </c>
    </row>
    <row r="360" spans="2:51" s="335" customFormat="1" ht="12">
      <c r="B360" s="336"/>
      <c r="D360" s="328" t="s">
        <v>155</v>
      </c>
      <c r="E360" s="337" t="s">
        <v>1</v>
      </c>
      <c r="F360" s="338" t="s">
        <v>2679</v>
      </c>
      <c r="H360" s="339">
        <f>1*3.25-0.7*2</f>
        <v>1.85</v>
      </c>
      <c r="I360" s="498"/>
      <c r="L360" s="340"/>
      <c r="M360" s="341"/>
      <c r="N360" s="342"/>
      <c r="O360" s="342"/>
      <c r="P360" s="342"/>
      <c r="Q360" s="342"/>
      <c r="R360" s="342"/>
      <c r="S360" s="342"/>
      <c r="T360" s="343"/>
      <c r="AT360" s="337" t="s">
        <v>155</v>
      </c>
      <c r="AU360" s="337" t="s">
        <v>83</v>
      </c>
      <c r="AV360" s="335" t="s">
        <v>83</v>
      </c>
      <c r="AW360" s="335" t="s">
        <v>34</v>
      </c>
      <c r="AX360" s="335" t="s">
        <v>76</v>
      </c>
      <c r="AY360" s="337" t="s">
        <v>146</v>
      </c>
    </row>
    <row r="361" spans="2:51" s="335" customFormat="1" ht="12">
      <c r="B361" s="336"/>
      <c r="D361" s="328"/>
      <c r="E361" s="337"/>
      <c r="F361" s="330" t="s">
        <v>354</v>
      </c>
      <c r="H361" s="339"/>
      <c r="I361" s="498"/>
      <c r="L361" s="340"/>
      <c r="M361" s="341"/>
      <c r="N361" s="342"/>
      <c r="O361" s="342"/>
      <c r="P361" s="342"/>
      <c r="Q361" s="342"/>
      <c r="R361" s="342"/>
      <c r="S361" s="342"/>
      <c r="T361" s="343"/>
      <c r="AT361" s="337"/>
      <c r="AU361" s="337"/>
      <c r="AY361" s="337"/>
    </row>
    <row r="362" spans="2:51" s="335" customFormat="1" ht="12">
      <c r="B362" s="336"/>
      <c r="D362" s="328"/>
      <c r="E362" s="337"/>
      <c r="F362" s="338" t="s">
        <v>3682</v>
      </c>
      <c r="H362" s="339">
        <f>(2.1+0.6)*2.9</f>
        <v>7.83</v>
      </c>
      <c r="I362" s="498"/>
      <c r="L362" s="340"/>
      <c r="M362" s="341"/>
      <c r="N362" s="342"/>
      <c r="O362" s="342"/>
      <c r="P362" s="342"/>
      <c r="Q362" s="342"/>
      <c r="R362" s="342"/>
      <c r="S362" s="342"/>
      <c r="T362" s="343"/>
      <c r="AT362" s="337"/>
      <c r="AU362" s="337"/>
      <c r="AY362" s="337"/>
    </row>
    <row r="363" spans="2:51" s="326" customFormat="1" ht="12">
      <c r="B363" s="327"/>
      <c r="D363" s="328" t="s">
        <v>155</v>
      </c>
      <c r="E363" s="329" t="s">
        <v>1</v>
      </c>
      <c r="F363" s="330" t="s">
        <v>351</v>
      </c>
      <c r="H363" s="329" t="s">
        <v>1</v>
      </c>
      <c r="I363" s="497"/>
      <c r="L363" s="331"/>
      <c r="M363" s="332"/>
      <c r="N363" s="333"/>
      <c r="O363" s="333"/>
      <c r="P363" s="333"/>
      <c r="Q363" s="333"/>
      <c r="R363" s="333"/>
      <c r="S363" s="333"/>
      <c r="T363" s="334"/>
      <c r="AT363" s="329" t="s">
        <v>155</v>
      </c>
      <c r="AU363" s="329" t="s">
        <v>83</v>
      </c>
      <c r="AV363" s="326" t="s">
        <v>81</v>
      </c>
      <c r="AW363" s="326" t="s">
        <v>34</v>
      </c>
      <c r="AX363" s="326" t="s">
        <v>76</v>
      </c>
      <c r="AY363" s="329" t="s">
        <v>146</v>
      </c>
    </row>
    <row r="364" spans="2:51" s="335" customFormat="1" ht="12">
      <c r="B364" s="336"/>
      <c r="D364" s="328" t="s">
        <v>155</v>
      </c>
      <c r="E364" s="337" t="s">
        <v>1</v>
      </c>
      <c r="F364" s="338" t="s">
        <v>3681</v>
      </c>
      <c r="H364" s="339">
        <f>(1.55*2+2.2)*2.9-0.7*2*2</f>
        <v>12.57</v>
      </c>
      <c r="I364" s="498"/>
      <c r="L364" s="340"/>
      <c r="M364" s="341"/>
      <c r="N364" s="342"/>
      <c r="O364" s="342"/>
      <c r="P364" s="342"/>
      <c r="Q364" s="342"/>
      <c r="R364" s="342"/>
      <c r="S364" s="342"/>
      <c r="T364" s="343"/>
      <c r="AT364" s="337" t="s">
        <v>155</v>
      </c>
      <c r="AU364" s="337" t="s">
        <v>83</v>
      </c>
      <c r="AV364" s="335" t="s">
        <v>83</v>
      </c>
      <c r="AW364" s="335" t="s">
        <v>34</v>
      </c>
      <c r="AX364" s="335" t="s">
        <v>76</v>
      </c>
      <c r="AY364" s="337" t="s">
        <v>146</v>
      </c>
    </row>
    <row r="365" spans="2:51" s="326" customFormat="1" ht="12">
      <c r="B365" s="327"/>
      <c r="D365" s="328" t="s">
        <v>155</v>
      </c>
      <c r="E365" s="329" t="s">
        <v>1</v>
      </c>
      <c r="F365" s="330" t="s">
        <v>352</v>
      </c>
      <c r="H365" s="329" t="s">
        <v>1</v>
      </c>
      <c r="I365" s="497"/>
      <c r="L365" s="331"/>
      <c r="M365" s="332"/>
      <c r="N365" s="333"/>
      <c r="O365" s="333"/>
      <c r="P365" s="333"/>
      <c r="Q365" s="333"/>
      <c r="R365" s="333"/>
      <c r="S365" s="333"/>
      <c r="T365" s="334"/>
      <c r="AT365" s="329" t="s">
        <v>155</v>
      </c>
      <c r="AU365" s="329" t="s">
        <v>83</v>
      </c>
      <c r="AV365" s="326" t="s">
        <v>81</v>
      </c>
      <c r="AW365" s="326" t="s">
        <v>34</v>
      </c>
      <c r="AX365" s="326" t="s">
        <v>76</v>
      </c>
      <c r="AY365" s="329" t="s">
        <v>146</v>
      </c>
    </row>
    <row r="366" spans="2:51" s="335" customFormat="1" ht="12">
      <c r="B366" s="336"/>
      <c r="D366" s="328" t="s">
        <v>155</v>
      </c>
      <c r="E366" s="337" t="s">
        <v>1</v>
      </c>
      <c r="F366" s="338" t="s">
        <v>3683</v>
      </c>
      <c r="H366" s="339">
        <f>(2.025+2.025+0.475+1.1)*2.9-0.7*2</f>
        <v>14.9125</v>
      </c>
      <c r="I366" s="498"/>
      <c r="L366" s="340"/>
      <c r="M366" s="341"/>
      <c r="N366" s="342"/>
      <c r="O366" s="342"/>
      <c r="P366" s="342"/>
      <c r="Q366" s="342"/>
      <c r="R366" s="342"/>
      <c r="S366" s="342"/>
      <c r="T366" s="343"/>
      <c r="AT366" s="337" t="s">
        <v>155</v>
      </c>
      <c r="AU366" s="337" t="s">
        <v>83</v>
      </c>
      <c r="AV366" s="335" t="s">
        <v>83</v>
      </c>
      <c r="AW366" s="335" t="s">
        <v>34</v>
      </c>
      <c r="AX366" s="335" t="s">
        <v>76</v>
      </c>
      <c r="AY366" s="337" t="s">
        <v>146</v>
      </c>
    </row>
    <row r="367" spans="2:51" s="326" customFormat="1" ht="12">
      <c r="B367" s="327"/>
      <c r="D367" s="328" t="s">
        <v>155</v>
      </c>
      <c r="E367" s="329" t="s">
        <v>1</v>
      </c>
      <c r="F367" s="330" t="s">
        <v>353</v>
      </c>
      <c r="H367" s="329" t="s">
        <v>1</v>
      </c>
      <c r="I367" s="497"/>
      <c r="L367" s="331"/>
      <c r="M367" s="332"/>
      <c r="N367" s="333"/>
      <c r="O367" s="333"/>
      <c r="P367" s="333"/>
      <c r="Q367" s="333"/>
      <c r="R367" s="333"/>
      <c r="S367" s="333"/>
      <c r="T367" s="334"/>
      <c r="AT367" s="329" t="s">
        <v>155</v>
      </c>
      <c r="AU367" s="329" t="s">
        <v>83</v>
      </c>
      <c r="AV367" s="326" t="s">
        <v>81</v>
      </c>
      <c r="AW367" s="326" t="s">
        <v>34</v>
      </c>
      <c r="AX367" s="326" t="s">
        <v>76</v>
      </c>
      <c r="AY367" s="329" t="s">
        <v>146</v>
      </c>
    </row>
    <row r="368" spans="2:51" s="335" customFormat="1" ht="12">
      <c r="B368" s="336"/>
      <c r="D368" s="328" t="s">
        <v>155</v>
      </c>
      <c r="E368" s="337" t="s">
        <v>1</v>
      </c>
      <c r="F368" s="338" t="s">
        <v>3684</v>
      </c>
      <c r="H368" s="339">
        <f>0.9*2.9*2</f>
        <v>5.22</v>
      </c>
      <c r="I368" s="498"/>
      <c r="L368" s="340"/>
      <c r="M368" s="341"/>
      <c r="N368" s="342"/>
      <c r="O368" s="342"/>
      <c r="P368" s="342"/>
      <c r="Q368" s="342"/>
      <c r="R368" s="342"/>
      <c r="S368" s="342"/>
      <c r="T368" s="343"/>
      <c r="AT368" s="337" t="s">
        <v>155</v>
      </c>
      <c r="AU368" s="337" t="s">
        <v>83</v>
      </c>
      <c r="AV368" s="335" t="s">
        <v>83</v>
      </c>
      <c r="AW368" s="335" t="s">
        <v>34</v>
      </c>
      <c r="AX368" s="335" t="s">
        <v>76</v>
      </c>
      <c r="AY368" s="337" t="s">
        <v>146</v>
      </c>
    </row>
    <row r="369" spans="2:51" s="326" customFormat="1" ht="12">
      <c r="B369" s="327"/>
      <c r="D369" s="328" t="s">
        <v>155</v>
      </c>
      <c r="E369" s="329" t="s">
        <v>1</v>
      </c>
      <c r="F369" s="330" t="s">
        <v>344</v>
      </c>
      <c r="H369" s="329" t="s">
        <v>1</v>
      </c>
      <c r="I369" s="497"/>
      <c r="L369" s="331"/>
      <c r="M369" s="332"/>
      <c r="N369" s="333"/>
      <c r="O369" s="333"/>
      <c r="P369" s="333"/>
      <c r="Q369" s="333"/>
      <c r="R369" s="333"/>
      <c r="S369" s="333"/>
      <c r="T369" s="334"/>
      <c r="AT369" s="329" t="s">
        <v>155</v>
      </c>
      <c r="AU369" s="329" t="s">
        <v>83</v>
      </c>
      <c r="AV369" s="326" t="s">
        <v>81</v>
      </c>
      <c r="AW369" s="326" t="s">
        <v>34</v>
      </c>
      <c r="AX369" s="326" t="s">
        <v>76</v>
      </c>
      <c r="AY369" s="329" t="s">
        <v>146</v>
      </c>
    </row>
    <row r="370" spans="2:51" s="335" customFormat="1" ht="12">
      <c r="B370" s="336"/>
      <c r="D370" s="328" t="s">
        <v>155</v>
      </c>
      <c r="E370" s="337" t="s">
        <v>1</v>
      </c>
      <c r="F370" s="338" t="s">
        <v>2680</v>
      </c>
      <c r="H370" s="339">
        <f>3.35*3.05-0.7*2*2</f>
        <v>7.4174999999999995</v>
      </c>
      <c r="I370" s="498"/>
      <c r="L370" s="340"/>
      <c r="M370" s="341"/>
      <c r="N370" s="342"/>
      <c r="O370" s="342"/>
      <c r="P370" s="342"/>
      <c r="Q370" s="342"/>
      <c r="R370" s="342"/>
      <c r="S370" s="342"/>
      <c r="T370" s="343"/>
      <c r="AT370" s="337" t="s">
        <v>155</v>
      </c>
      <c r="AU370" s="337" t="s">
        <v>83</v>
      </c>
      <c r="AV370" s="335" t="s">
        <v>83</v>
      </c>
      <c r="AW370" s="335" t="s">
        <v>34</v>
      </c>
      <c r="AX370" s="335" t="s">
        <v>76</v>
      </c>
      <c r="AY370" s="337" t="s">
        <v>146</v>
      </c>
    </row>
    <row r="371" spans="2:51" s="326" customFormat="1" ht="12">
      <c r="B371" s="327"/>
      <c r="D371" s="328" t="s">
        <v>155</v>
      </c>
      <c r="E371" s="329" t="s">
        <v>1</v>
      </c>
      <c r="F371" s="330" t="s">
        <v>280</v>
      </c>
      <c r="H371" s="329" t="s">
        <v>1</v>
      </c>
      <c r="I371" s="497"/>
      <c r="L371" s="331"/>
      <c r="M371" s="332"/>
      <c r="N371" s="333"/>
      <c r="O371" s="333"/>
      <c r="P371" s="333"/>
      <c r="Q371" s="333"/>
      <c r="R371" s="333"/>
      <c r="S371" s="333"/>
      <c r="T371" s="334"/>
      <c r="AT371" s="329" t="s">
        <v>155</v>
      </c>
      <c r="AU371" s="329" t="s">
        <v>83</v>
      </c>
      <c r="AV371" s="326" t="s">
        <v>81</v>
      </c>
      <c r="AW371" s="326" t="s">
        <v>34</v>
      </c>
      <c r="AX371" s="326" t="s">
        <v>76</v>
      </c>
      <c r="AY371" s="329" t="s">
        <v>146</v>
      </c>
    </row>
    <row r="372" spans="2:51" s="335" customFormat="1" ht="12">
      <c r="B372" s="336"/>
      <c r="D372" s="328" t="s">
        <v>155</v>
      </c>
      <c r="E372" s="337" t="s">
        <v>1</v>
      </c>
      <c r="F372" s="338" t="s">
        <v>2681</v>
      </c>
      <c r="H372" s="339">
        <f>2.75*3.05-0.7*2</f>
        <v>6.987499999999999</v>
      </c>
      <c r="I372" s="498"/>
      <c r="L372" s="340"/>
      <c r="M372" s="341"/>
      <c r="N372" s="342"/>
      <c r="O372" s="342"/>
      <c r="P372" s="342"/>
      <c r="Q372" s="342"/>
      <c r="R372" s="342"/>
      <c r="S372" s="342"/>
      <c r="T372" s="343"/>
      <c r="AT372" s="337" t="s">
        <v>155</v>
      </c>
      <c r="AU372" s="337" t="s">
        <v>83</v>
      </c>
      <c r="AV372" s="335" t="s">
        <v>83</v>
      </c>
      <c r="AW372" s="335" t="s">
        <v>34</v>
      </c>
      <c r="AX372" s="335" t="s">
        <v>76</v>
      </c>
      <c r="AY372" s="337" t="s">
        <v>146</v>
      </c>
    </row>
    <row r="373" spans="2:51" s="347" customFormat="1" ht="12">
      <c r="B373" s="348"/>
      <c r="D373" s="328" t="s">
        <v>155</v>
      </c>
      <c r="E373" s="349" t="s">
        <v>1</v>
      </c>
      <c r="F373" s="356" t="s">
        <v>157</v>
      </c>
      <c r="H373" s="351">
        <f>SUM(H358:H372)</f>
        <v>71.06875</v>
      </c>
      <c r="I373" s="499"/>
      <c r="L373" s="352"/>
      <c r="M373" s="353"/>
      <c r="N373" s="354"/>
      <c r="O373" s="354"/>
      <c r="P373" s="354"/>
      <c r="Q373" s="354"/>
      <c r="R373" s="354"/>
      <c r="S373" s="354"/>
      <c r="T373" s="355"/>
      <c r="AT373" s="349" t="s">
        <v>155</v>
      </c>
      <c r="AU373" s="349" t="s">
        <v>83</v>
      </c>
      <c r="AV373" s="347" t="s">
        <v>153</v>
      </c>
      <c r="AW373" s="347" t="s">
        <v>34</v>
      </c>
      <c r="AX373" s="347" t="s">
        <v>81</v>
      </c>
      <c r="AY373" s="349" t="s">
        <v>146</v>
      </c>
    </row>
    <row r="374" spans="1:65" s="225" customFormat="1" ht="24.2" customHeight="1">
      <c r="A374" s="222"/>
      <c r="B374" s="223"/>
      <c r="C374" s="314">
        <v>41</v>
      </c>
      <c r="D374" s="314" t="s">
        <v>148</v>
      </c>
      <c r="E374" s="315" t="s">
        <v>356</v>
      </c>
      <c r="F374" s="316" t="s">
        <v>357</v>
      </c>
      <c r="G374" s="317" t="s">
        <v>151</v>
      </c>
      <c r="H374" s="318">
        <f>H376</f>
        <v>5.5249999999999995</v>
      </c>
      <c r="I374" s="79"/>
      <c r="J374" s="319">
        <f>ROUND(I374*H374,2)</f>
        <v>0</v>
      </c>
      <c r="K374" s="316"/>
      <c r="L374" s="229"/>
      <c r="M374" s="320" t="s">
        <v>1</v>
      </c>
      <c r="N374" s="321" t="s">
        <v>42</v>
      </c>
      <c r="O374" s="322">
        <v>0.54</v>
      </c>
      <c r="P374" s="322">
        <f>O374*H374</f>
        <v>2.9835</v>
      </c>
      <c r="Q374" s="322">
        <v>0.06688</v>
      </c>
      <c r="R374" s="322">
        <f>Q374*H374</f>
        <v>0.36951199999999995</v>
      </c>
      <c r="S374" s="322">
        <v>0</v>
      </c>
      <c r="T374" s="323">
        <f>S374*H374</f>
        <v>0</v>
      </c>
      <c r="U374" s="222"/>
      <c r="V374" s="222"/>
      <c r="W374" s="222"/>
      <c r="X374" s="222"/>
      <c r="Y374" s="222"/>
      <c r="Z374" s="222"/>
      <c r="AA374" s="222"/>
      <c r="AB374" s="222"/>
      <c r="AC374" s="222"/>
      <c r="AD374" s="222"/>
      <c r="AE374" s="222"/>
      <c r="AR374" s="324" t="s">
        <v>153</v>
      </c>
      <c r="AT374" s="324" t="s">
        <v>148</v>
      </c>
      <c r="AU374" s="324" t="s">
        <v>83</v>
      </c>
      <c r="AY374" s="214" t="s">
        <v>146</v>
      </c>
      <c r="BE374" s="325">
        <f>IF(N374="základní",J374,0)</f>
        <v>0</v>
      </c>
      <c r="BF374" s="325">
        <f>IF(N374="snížená",J374,0)</f>
        <v>0</v>
      </c>
      <c r="BG374" s="325">
        <f>IF(N374="zákl. přenesená",J374,0)</f>
        <v>0</v>
      </c>
      <c r="BH374" s="325">
        <f>IF(N374="sníž. přenesená",J374,0)</f>
        <v>0</v>
      </c>
      <c r="BI374" s="325">
        <f>IF(N374="nulová",J374,0)</f>
        <v>0</v>
      </c>
      <c r="BJ374" s="214" t="s">
        <v>81</v>
      </c>
      <c r="BK374" s="325">
        <f>ROUND(I374*H374,2)</f>
        <v>0</v>
      </c>
      <c r="BL374" s="214" t="s">
        <v>153</v>
      </c>
      <c r="BM374" s="324" t="s">
        <v>358</v>
      </c>
    </row>
    <row r="375" spans="2:51" s="326" customFormat="1" ht="12">
      <c r="B375" s="327"/>
      <c r="D375" s="328" t="s">
        <v>155</v>
      </c>
      <c r="E375" s="329" t="s">
        <v>1</v>
      </c>
      <c r="F375" s="330" t="s">
        <v>359</v>
      </c>
      <c r="H375" s="329" t="s">
        <v>1</v>
      </c>
      <c r="I375" s="497"/>
      <c r="L375" s="331"/>
      <c r="M375" s="332"/>
      <c r="N375" s="333"/>
      <c r="O375" s="333"/>
      <c r="P375" s="333"/>
      <c r="Q375" s="333"/>
      <c r="R375" s="333"/>
      <c r="S375" s="333"/>
      <c r="T375" s="334"/>
      <c r="AT375" s="329" t="s">
        <v>155</v>
      </c>
      <c r="AU375" s="329" t="s">
        <v>83</v>
      </c>
      <c r="AV375" s="326" t="s">
        <v>81</v>
      </c>
      <c r="AW375" s="326" t="s">
        <v>34</v>
      </c>
      <c r="AX375" s="326" t="s">
        <v>76</v>
      </c>
      <c r="AY375" s="329" t="s">
        <v>146</v>
      </c>
    </row>
    <row r="376" spans="2:51" s="335" customFormat="1" ht="12">
      <c r="B376" s="336"/>
      <c r="D376" s="328" t="s">
        <v>155</v>
      </c>
      <c r="E376" s="337" t="s">
        <v>1</v>
      </c>
      <c r="F376" s="338" t="s">
        <v>2682</v>
      </c>
      <c r="H376" s="339">
        <f>1.7*3.25</f>
        <v>5.5249999999999995</v>
      </c>
      <c r="I376" s="498"/>
      <c r="L376" s="340"/>
      <c r="M376" s="341"/>
      <c r="N376" s="342"/>
      <c r="O376" s="342"/>
      <c r="P376" s="342"/>
      <c r="Q376" s="342"/>
      <c r="R376" s="342"/>
      <c r="S376" s="342"/>
      <c r="T376" s="343"/>
      <c r="AT376" s="337" t="s">
        <v>155</v>
      </c>
      <c r="AU376" s="337" t="s">
        <v>83</v>
      </c>
      <c r="AV376" s="335" t="s">
        <v>83</v>
      </c>
      <c r="AW376" s="335" t="s">
        <v>34</v>
      </c>
      <c r="AX376" s="335" t="s">
        <v>76</v>
      </c>
      <c r="AY376" s="337" t="s">
        <v>146</v>
      </c>
    </row>
    <row r="377" spans="1:65" s="225" customFormat="1" ht="24.2" customHeight="1">
      <c r="A377" s="222"/>
      <c r="B377" s="223"/>
      <c r="C377" s="314">
        <v>42</v>
      </c>
      <c r="D377" s="314" t="s">
        <v>148</v>
      </c>
      <c r="E377" s="315" t="s">
        <v>361</v>
      </c>
      <c r="F377" s="316" t="s">
        <v>362</v>
      </c>
      <c r="G377" s="317" t="s">
        <v>151</v>
      </c>
      <c r="H377" s="318">
        <f>H398</f>
        <v>95.24925</v>
      </c>
      <c r="I377" s="79"/>
      <c r="J377" s="319">
        <f>ROUND(I377*H377,2)</f>
        <v>0</v>
      </c>
      <c r="K377" s="316"/>
      <c r="L377" s="229"/>
      <c r="M377" s="320" t="s">
        <v>1</v>
      </c>
      <c r="N377" s="321" t="s">
        <v>42</v>
      </c>
      <c r="O377" s="322">
        <v>0.556</v>
      </c>
      <c r="P377" s="322">
        <f>O377*H377</f>
        <v>52.958583000000004</v>
      </c>
      <c r="Q377" s="322">
        <v>0.07571</v>
      </c>
      <c r="R377" s="322">
        <f>Q377*H377</f>
        <v>7.2113207175000005</v>
      </c>
      <c r="S377" s="322">
        <v>0</v>
      </c>
      <c r="T377" s="323">
        <f>S377*H377</f>
        <v>0</v>
      </c>
      <c r="U377" s="222"/>
      <c r="V377" s="222"/>
      <c r="W377" s="222"/>
      <c r="X377" s="222"/>
      <c r="Y377" s="222"/>
      <c r="Z377" s="222"/>
      <c r="AA377" s="222"/>
      <c r="AB377" s="222"/>
      <c r="AC377" s="222"/>
      <c r="AD377" s="222"/>
      <c r="AE377" s="222"/>
      <c r="AR377" s="324" t="s">
        <v>153</v>
      </c>
      <c r="AT377" s="324" t="s">
        <v>148</v>
      </c>
      <c r="AU377" s="324" t="s">
        <v>83</v>
      </c>
      <c r="AY377" s="214" t="s">
        <v>146</v>
      </c>
      <c r="BE377" s="325">
        <f>IF(N377="základní",J377,0)</f>
        <v>0</v>
      </c>
      <c r="BF377" s="325">
        <f>IF(N377="snížená",J377,0)</f>
        <v>0</v>
      </c>
      <c r="BG377" s="325">
        <f>IF(N377="zákl. přenesená",J377,0)</f>
        <v>0</v>
      </c>
      <c r="BH377" s="325">
        <f>IF(N377="sníž. přenesená",J377,0)</f>
        <v>0</v>
      </c>
      <c r="BI377" s="325">
        <f>IF(N377="nulová",J377,0)</f>
        <v>0</v>
      </c>
      <c r="BJ377" s="214" t="s">
        <v>81</v>
      </c>
      <c r="BK377" s="325">
        <f>ROUND(I377*H377,2)</f>
        <v>0</v>
      </c>
      <c r="BL377" s="214" t="s">
        <v>153</v>
      </c>
      <c r="BM377" s="324" t="s">
        <v>363</v>
      </c>
    </row>
    <row r="378" spans="2:51" s="326" customFormat="1" ht="12">
      <c r="B378" s="327"/>
      <c r="D378" s="328" t="s">
        <v>155</v>
      </c>
      <c r="E378" s="329" t="s">
        <v>1</v>
      </c>
      <c r="F378" s="330" t="s">
        <v>364</v>
      </c>
      <c r="H378" s="329" t="s">
        <v>1</v>
      </c>
      <c r="I378" s="497"/>
      <c r="L378" s="331"/>
      <c r="M378" s="332"/>
      <c r="N378" s="333"/>
      <c r="O378" s="333"/>
      <c r="P378" s="333"/>
      <c r="Q378" s="333"/>
      <c r="R378" s="333"/>
      <c r="S378" s="333"/>
      <c r="T378" s="334"/>
      <c r="AT378" s="329" t="s">
        <v>155</v>
      </c>
      <c r="AU378" s="329" t="s">
        <v>83</v>
      </c>
      <c r="AV378" s="326" t="s">
        <v>81</v>
      </c>
      <c r="AW378" s="326" t="s">
        <v>34</v>
      </c>
      <c r="AX378" s="326" t="s">
        <v>76</v>
      </c>
      <c r="AY378" s="329" t="s">
        <v>146</v>
      </c>
    </row>
    <row r="379" spans="2:51" s="335" customFormat="1" ht="12">
      <c r="B379" s="336"/>
      <c r="D379" s="328" t="s">
        <v>155</v>
      </c>
      <c r="E379" s="337" t="s">
        <v>1</v>
      </c>
      <c r="F379" s="338" t="s">
        <v>2683</v>
      </c>
      <c r="H379" s="339">
        <f>1.2*3.25</f>
        <v>3.9</v>
      </c>
      <c r="I379" s="498"/>
      <c r="L379" s="340"/>
      <c r="M379" s="341"/>
      <c r="N379" s="342"/>
      <c r="O379" s="342"/>
      <c r="P379" s="342"/>
      <c r="Q379" s="342"/>
      <c r="R379" s="342"/>
      <c r="S379" s="342"/>
      <c r="T379" s="343"/>
      <c r="AT379" s="337" t="s">
        <v>155</v>
      </c>
      <c r="AU379" s="337" t="s">
        <v>83</v>
      </c>
      <c r="AV379" s="335" t="s">
        <v>83</v>
      </c>
      <c r="AW379" s="335" t="s">
        <v>34</v>
      </c>
      <c r="AX379" s="335" t="s">
        <v>76</v>
      </c>
      <c r="AY379" s="337" t="s">
        <v>146</v>
      </c>
    </row>
    <row r="380" spans="2:51" s="326" customFormat="1" ht="12">
      <c r="B380" s="327"/>
      <c r="D380" s="328" t="s">
        <v>155</v>
      </c>
      <c r="E380" s="329" t="s">
        <v>1</v>
      </c>
      <c r="F380" s="330" t="s">
        <v>365</v>
      </c>
      <c r="H380" s="329" t="s">
        <v>1</v>
      </c>
      <c r="I380" s="497"/>
      <c r="L380" s="331"/>
      <c r="M380" s="332"/>
      <c r="N380" s="333"/>
      <c r="O380" s="333"/>
      <c r="P380" s="333"/>
      <c r="Q380" s="333"/>
      <c r="R380" s="333"/>
      <c r="S380" s="333"/>
      <c r="T380" s="334"/>
      <c r="AT380" s="329" t="s">
        <v>155</v>
      </c>
      <c r="AU380" s="329" t="s">
        <v>83</v>
      </c>
      <c r="AV380" s="326" t="s">
        <v>81</v>
      </c>
      <c r="AW380" s="326" t="s">
        <v>34</v>
      </c>
      <c r="AX380" s="326" t="s">
        <v>76</v>
      </c>
      <c r="AY380" s="329" t="s">
        <v>146</v>
      </c>
    </row>
    <row r="381" spans="2:51" s="335" customFormat="1" ht="12">
      <c r="B381" s="336"/>
      <c r="D381" s="328" t="s">
        <v>155</v>
      </c>
      <c r="E381" s="337" t="s">
        <v>1</v>
      </c>
      <c r="F381" s="338" t="s">
        <v>2684</v>
      </c>
      <c r="H381" s="339">
        <f>1.95*3.25</f>
        <v>6.3374999999999995</v>
      </c>
      <c r="I381" s="498"/>
      <c r="L381" s="340"/>
      <c r="M381" s="341"/>
      <c r="N381" s="342"/>
      <c r="O381" s="342"/>
      <c r="P381" s="342"/>
      <c r="Q381" s="342"/>
      <c r="R381" s="342"/>
      <c r="S381" s="342"/>
      <c r="T381" s="343"/>
      <c r="AT381" s="337" t="s">
        <v>155</v>
      </c>
      <c r="AU381" s="337" t="s">
        <v>83</v>
      </c>
      <c r="AV381" s="335" t="s">
        <v>83</v>
      </c>
      <c r="AW381" s="335" t="s">
        <v>34</v>
      </c>
      <c r="AX381" s="335" t="s">
        <v>76</v>
      </c>
      <c r="AY381" s="337" t="s">
        <v>146</v>
      </c>
    </row>
    <row r="382" spans="2:51" s="326" customFormat="1" ht="12">
      <c r="B382" s="327"/>
      <c r="D382" s="328" t="s">
        <v>155</v>
      </c>
      <c r="E382" s="329" t="s">
        <v>1</v>
      </c>
      <c r="F382" s="330" t="s">
        <v>366</v>
      </c>
      <c r="H382" s="329" t="s">
        <v>1</v>
      </c>
      <c r="I382" s="497"/>
      <c r="L382" s="331"/>
      <c r="M382" s="332"/>
      <c r="N382" s="333"/>
      <c r="O382" s="333"/>
      <c r="P382" s="333"/>
      <c r="Q382" s="333"/>
      <c r="R382" s="333"/>
      <c r="S382" s="333"/>
      <c r="T382" s="334"/>
      <c r="AT382" s="329" t="s">
        <v>155</v>
      </c>
      <c r="AU382" s="329" t="s">
        <v>83</v>
      </c>
      <c r="AV382" s="326" t="s">
        <v>81</v>
      </c>
      <c r="AW382" s="326" t="s">
        <v>34</v>
      </c>
      <c r="AX382" s="326" t="s">
        <v>76</v>
      </c>
      <c r="AY382" s="329" t="s">
        <v>146</v>
      </c>
    </row>
    <row r="383" spans="2:51" s="335" customFormat="1" ht="12">
      <c r="B383" s="336"/>
      <c r="D383" s="328" t="s">
        <v>155</v>
      </c>
      <c r="E383" s="337" t="s">
        <v>1</v>
      </c>
      <c r="F383" s="338" t="s">
        <v>3685</v>
      </c>
      <c r="H383" s="339">
        <f>1.9*2.9</f>
        <v>5.51</v>
      </c>
      <c r="I383" s="498"/>
      <c r="L383" s="340"/>
      <c r="M383" s="341"/>
      <c r="N383" s="342"/>
      <c r="O383" s="342"/>
      <c r="P383" s="342"/>
      <c r="Q383" s="342"/>
      <c r="R383" s="342"/>
      <c r="S383" s="342"/>
      <c r="T383" s="343"/>
      <c r="AT383" s="337" t="s">
        <v>155</v>
      </c>
      <c r="AU383" s="337" t="s">
        <v>83</v>
      </c>
      <c r="AV383" s="335" t="s">
        <v>83</v>
      </c>
      <c r="AW383" s="335" t="s">
        <v>34</v>
      </c>
      <c r="AX383" s="335" t="s">
        <v>76</v>
      </c>
      <c r="AY383" s="337" t="s">
        <v>146</v>
      </c>
    </row>
    <row r="384" spans="2:51" s="326" customFormat="1" ht="12">
      <c r="B384" s="327"/>
      <c r="D384" s="328" t="s">
        <v>155</v>
      </c>
      <c r="E384" s="329" t="s">
        <v>1</v>
      </c>
      <c r="F384" s="330" t="s">
        <v>367</v>
      </c>
      <c r="H384" s="329" t="s">
        <v>1</v>
      </c>
      <c r="I384" s="497"/>
      <c r="L384" s="331"/>
      <c r="M384" s="332"/>
      <c r="N384" s="333"/>
      <c r="O384" s="333"/>
      <c r="P384" s="333"/>
      <c r="Q384" s="333"/>
      <c r="R384" s="333"/>
      <c r="S384" s="333"/>
      <c r="T384" s="334"/>
      <c r="AT384" s="329" t="s">
        <v>155</v>
      </c>
      <c r="AU384" s="329" t="s">
        <v>83</v>
      </c>
      <c r="AV384" s="326" t="s">
        <v>81</v>
      </c>
      <c r="AW384" s="326" t="s">
        <v>34</v>
      </c>
      <c r="AX384" s="326" t="s">
        <v>76</v>
      </c>
      <c r="AY384" s="329" t="s">
        <v>146</v>
      </c>
    </row>
    <row r="385" spans="2:51" s="335" customFormat="1" ht="12">
      <c r="B385" s="336"/>
      <c r="D385" s="328" t="s">
        <v>155</v>
      </c>
      <c r="E385" s="337" t="s">
        <v>1</v>
      </c>
      <c r="F385" s="338" t="s">
        <v>3686</v>
      </c>
      <c r="H385" s="339">
        <f>4.15*3.15-0.8*2</f>
        <v>11.472500000000002</v>
      </c>
      <c r="I385" s="498"/>
      <c r="L385" s="340"/>
      <c r="M385" s="341"/>
      <c r="N385" s="342"/>
      <c r="O385" s="342"/>
      <c r="P385" s="342"/>
      <c r="Q385" s="342"/>
      <c r="R385" s="342"/>
      <c r="S385" s="342"/>
      <c r="T385" s="343"/>
      <c r="AT385" s="337" t="s">
        <v>155</v>
      </c>
      <c r="AU385" s="337" t="s">
        <v>83</v>
      </c>
      <c r="AV385" s="335" t="s">
        <v>83</v>
      </c>
      <c r="AW385" s="335" t="s">
        <v>34</v>
      </c>
      <c r="AX385" s="335" t="s">
        <v>76</v>
      </c>
      <c r="AY385" s="337" t="s">
        <v>146</v>
      </c>
    </row>
    <row r="386" spans="2:51" s="326" customFormat="1" ht="12">
      <c r="B386" s="327"/>
      <c r="D386" s="328" t="s">
        <v>155</v>
      </c>
      <c r="E386" s="329" t="s">
        <v>1</v>
      </c>
      <c r="F386" s="330" t="s">
        <v>368</v>
      </c>
      <c r="H386" s="329" t="s">
        <v>1</v>
      </c>
      <c r="I386" s="497"/>
      <c r="L386" s="331"/>
      <c r="M386" s="332"/>
      <c r="N386" s="333"/>
      <c r="O386" s="333"/>
      <c r="P386" s="333"/>
      <c r="Q386" s="333"/>
      <c r="R386" s="333"/>
      <c r="S386" s="333"/>
      <c r="T386" s="334"/>
      <c r="AT386" s="329" t="s">
        <v>155</v>
      </c>
      <c r="AU386" s="329" t="s">
        <v>83</v>
      </c>
      <c r="AV386" s="326" t="s">
        <v>81</v>
      </c>
      <c r="AW386" s="326" t="s">
        <v>34</v>
      </c>
      <c r="AX386" s="326" t="s">
        <v>76</v>
      </c>
      <c r="AY386" s="329" t="s">
        <v>146</v>
      </c>
    </row>
    <row r="387" spans="2:51" s="335" customFormat="1" ht="12">
      <c r="B387" s="336"/>
      <c r="D387" s="328" t="s">
        <v>155</v>
      </c>
      <c r="E387" s="337" t="s">
        <v>1</v>
      </c>
      <c r="F387" s="338" t="s">
        <v>3687</v>
      </c>
      <c r="H387" s="339">
        <f>4.15*3.37</f>
        <v>13.985500000000002</v>
      </c>
      <c r="I387" s="498"/>
      <c r="L387" s="340"/>
      <c r="M387" s="341"/>
      <c r="N387" s="342"/>
      <c r="O387" s="342"/>
      <c r="P387" s="342"/>
      <c r="Q387" s="342"/>
      <c r="R387" s="342"/>
      <c r="S387" s="342"/>
      <c r="T387" s="343"/>
      <c r="AT387" s="337" t="s">
        <v>155</v>
      </c>
      <c r="AU387" s="337" t="s">
        <v>83</v>
      </c>
      <c r="AV387" s="335" t="s">
        <v>83</v>
      </c>
      <c r="AW387" s="335" t="s">
        <v>34</v>
      </c>
      <c r="AX387" s="335" t="s">
        <v>76</v>
      </c>
      <c r="AY387" s="337" t="s">
        <v>146</v>
      </c>
    </row>
    <row r="388" spans="2:51" s="326" customFormat="1" ht="12">
      <c r="B388" s="327"/>
      <c r="D388" s="328" t="s">
        <v>155</v>
      </c>
      <c r="E388" s="329" t="s">
        <v>1</v>
      </c>
      <c r="F388" s="330" t="s">
        <v>291</v>
      </c>
      <c r="H388" s="329" t="s">
        <v>1</v>
      </c>
      <c r="I388" s="497"/>
      <c r="L388" s="331"/>
      <c r="M388" s="332"/>
      <c r="N388" s="333"/>
      <c r="O388" s="333"/>
      <c r="P388" s="333"/>
      <c r="Q388" s="333"/>
      <c r="R388" s="333"/>
      <c r="S388" s="333"/>
      <c r="T388" s="334"/>
      <c r="AT388" s="329" t="s">
        <v>155</v>
      </c>
      <c r="AU388" s="329" t="s">
        <v>83</v>
      </c>
      <c r="AV388" s="326" t="s">
        <v>81</v>
      </c>
      <c r="AW388" s="326" t="s">
        <v>34</v>
      </c>
      <c r="AX388" s="326" t="s">
        <v>76</v>
      </c>
      <c r="AY388" s="329" t="s">
        <v>146</v>
      </c>
    </row>
    <row r="389" spans="2:51" s="335" customFormat="1" ht="12">
      <c r="B389" s="336"/>
      <c r="D389" s="328" t="s">
        <v>155</v>
      </c>
      <c r="E389" s="337" t="s">
        <v>1</v>
      </c>
      <c r="F389" s="338" t="s">
        <v>3689</v>
      </c>
      <c r="H389" s="339">
        <f>1.5*3.37-0.8*2</f>
        <v>3.4549999999999996</v>
      </c>
      <c r="I389" s="498"/>
      <c r="L389" s="340"/>
      <c r="M389" s="341"/>
      <c r="N389" s="342"/>
      <c r="O389" s="342"/>
      <c r="P389" s="342"/>
      <c r="Q389" s="342"/>
      <c r="R389" s="342"/>
      <c r="S389" s="342"/>
      <c r="T389" s="343"/>
      <c r="AT389" s="337" t="s">
        <v>155</v>
      </c>
      <c r="AU389" s="337" t="s">
        <v>83</v>
      </c>
      <c r="AV389" s="335" t="s">
        <v>83</v>
      </c>
      <c r="AW389" s="335" t="s">
        <v>34</v>
      </c>
      <c r="AX389" s="335" t="s">
        <v>76</v>
      </c>
      <c r="AY389" s="337" t="s">
        <v>146</v>
      </c>
    </row>
    <row r="390" spans="2:51" s="326" customFormat="1" ht="12">
      <c r="B390" s="327"/>
      <c r="D390" s="328" t="s">
        <v>155</v>
      </c>
      <c r="E390" s="329" t="s">
        <v>1</v>
      </c>
      <c r="F390" s="330" t="s">
        <v>369</v>
      </c>
      <c r="H390" s="329" t="s">
        <v>1</v>
      </c>
      <c r="I390" s="497"/>
      <c r="L390" s="331"/>
      <c r="M390" s="332"/>
      <c r="N390" s="333"/>
      <c r="O390" s="333"/>
      <c r="P390" s="333"/>
      <c r="Q390" s="333"/>
      <c r="R390" s="333"/>
      <c r="S390" s="333"/>
      <c r="T390" s="334"/>
      <c r="AT390" s="329" t="s">
        <v>155</v>
      </c>
      <c r="AU390" s="329" t="s">
        <v>83</v>
      </c>
      <c r="AV390" s="326" t="s">
        <v>81</v>
      </c>
      <c r="AW390" s="326" t="s">
        <v>34</v>
      </c>
      <c r="AX390" s="326" t="s">
        <v>76</v>
      </c>
      <c r="AY390" s="329" t="s">
        <v>146</v>
      </c>
    </row>
    <row r="391" spans="2:51" s="335" customFormat="1" ht="12">
      <c r="B391" s="336"/>
      <c r="D391" s="328" t="s">
        <v>155</v>
      </c>
      <c r="E391" s="337" t="s">
        <v>1</v>
      </c>
      <c r="F391" s="338" t="s">
        <v>370</v>
      </c>
      <c r="H391" s="339">
        <f>(0.45+2.25)*2.95</f>
        <v>7.965000000000001</v>
      </c>
      <c r="I391" s="498"/>
      <c r="L391" s="340"/>
      <c r="M391" s="341"/>
      <c r="N391" s="342"/>
      <c r="O391" s="342"/>
      <c r="P391" s="342"/>
      <c r="Q391" s="342"/>
      <c r="R391" s="342"/>
      <c r="S391" s="342"/>
      <c r="T391" s="343"/>
      <c r="AT391" s="337" t="s">
        <v>155</v>
      </c>
      <c r="AU391" s="337" t="s">
        <v>83</v>
      </c>
      <c r="AV391" s="335" t="s">
        <v>83</v>
      </c>
      <c r="AW391" s="335" t="s">
        <v>34</v>
      </c>
      <c r="AX391" s="335" t="s">
        <v>76</v>
      </c>
      <c r="AY391" s="337" t="s">
        <v>146</v>
      </c>
    </row>
    <row r="392" spans="2:51" s="326" customFormat="1" ht="12">
      <c r="B392" s="327"/>
      <c r="D392" s="328" t="s">
        <v>155</v>
      </c>
      <c r="E392" s="329" t="s">
        <v>1</v>
      </c>
      <c r="F392" s="330" t="s">
        <v>371</v>
      </c>
      <c r="H392" s="329" t="s">
        <v>1</v>
      </c>
      <c r="I392" s="497"/>
      <c r="L392" s="331"/>
      <c r="M392" s="332"/>
      <c r="N392" s="333"/>
      <c r="O392" s="333"/>
      <c r="P392" s="333"/>
      <c r="Q392" s="333"/>
      <c r="R392" s="333"/>
      <c r="S392" s="333"/>
      <c r="T392" s="334"/>
      <c r="AT392" s="329" t="s">
        <v>155</v>
      </c>
      <c r="AU392" s="329" t="s">
        <v>83</v>
      </c>
      <c r="AV392" s="326" t="s">
        <v>81</v>
      </c>
      <c r="AW392" s="326" t="s">
        <v>34</v>
      </c>
      <c r="AX392" s="326" t="s">
        <v>76</v>
      </c>
      <c r="AY392" s="329" t="s">
        <v>146</v>
      </c>
    </row>
    <row r="393" spans="2:51" s="335" customFormat="1" ht="12">
      <c r="B393" s="336"/>
      <c r="D393" s="328" t="s">
        <v>155</v>
      </c>
      <c r="E393" s="337" t="s">
        <v>1</v>
      </c>
      <c r="F393" s="338" t="s">
        <v>372</v>
      </c>
      <c r="H393" s="339">
        <f>3.85*2.95</f>
        <v>11.357500000000002</v>
      </c>
      <c r="I393" s="498"/>
      <c r="L393" s="340"/>
      <c r="M393" s="341"/>
      <c r="N393" s="342"/>
      <c r="O393" s="342"/>
      <c r="P393" s="342"/>
      <c r="Q393" s="342"/>
      <c r="R393" s="342"/>
      <c r="S393" s="342"/>
      <c r="T393" s="343"/>
      <c r="AT393" s="337" t="s">
        <v>155</v>
      </c>
      <c r="AU393" s="337" t="s">
        <v>83</v>
      </c>
      <c r="AV393" s="335" t="s">
        <v>83</v>
      </c>
      <c r="AW393" s="335" t="s">
        <v>34</v>
      </c>
      <c r="AX393" s="335" t="s">
        <v>76</v>
      </c>
      <c r="AY393" s="337" t="s">
        <v>146</v>
      </c>
    </row>
    <row r="394" spans="2:51" s="326" customFormat="1" ht="12">
      <c r="B394" s="327"/>
      <c r="D394" s="328" t="s">
        <v>155</v>
      </c>
      <c r="E394" s="329" t="s">
        <v>1</v>
      </c>
      <c r="F394" s="330" t="s">
        <v>278</v>
      </c>
      <c r="H394" s="329" t="s">
        <v>1</v>
      </c>
      <c r="I394" s="497"/>
      <c r="L394" s="331"/>
      <c r="M394" s="332"/>
      <c r="N394" s="333"/>
      <c r="O394" s="333"/>
      <c r="P394" s="333"/>
      <c r="Q394" s="333"/>
      <c r="R394" s="333"/>
      <c r="S394" s="333"/>
      <c r="T394" s="334"/>
      <c r="AT394" s="329" t="s">
        <v>155</v>
      </c>
      <c r="AU394" s="329" t="s">
        <v>83</v>
      </c>
      <c r="AV394" s="326" t="s">
        <v>81</v>
      </c>
      <c r="AW394" s="326" t="s">
        <v>34</v>
      </c>
      <c r="AX394" s="326" t="s">
        <v>76</v>
      </c>
      <c r="AY394" s="329" t="s">
        <v>146</v>
      </c>
    </row>
    <row r="395" spans="2:51" s="335" customFormat="1" ht="12">
      <c r="B395" s="336"/>
      <c r="D395" s="328" t="s">
        <v>155</v>
      </c>
      <c r="E395" s="337" t="s">
        <v>1</v>
      </c>
      <c r="F395" s="338" t="s">
        <v>2685</v>
      </c>
      <c r="H395" s="339">
        <f>4.5*3.05-0.8*2</f>
        <v>12.125</v>
      </c>
      <c r="I395" s="498"/>
      <c r="L395" s="340"/>
      <c r="M395" s="341"/>
      <c r="N395" s="342"/>
      <c r="O395" s="342"/>
      <c r="P395" s="342"/>
      <c r="Q395" s="342"/>
      <c r="R395" s="342"/>
      <c r="S395" s="342"/>
      <c r="T395" s="343"/>
      <c r="AT395" s="337" t="s">
        <v>155</v>
      </c>
      <c r="AU395" s="337" t="s">
        <v>83</v>
      </c>
      <c r="AV395" s="335" t="s">
        <v>83</v>
      </c>
      <c r="AW395" s="335" t="s">
        <v>34</v>
      </c>
      <c r="AX395" s="335" t="s">
        <v>76</v>
      </c>
      <c r="AY395" s="337" t="s">
        <v>146</v>
      </c>
    </row>
    <row r="396" spans="2:51" s="326" customFormat="1" ht="12">
      <c r="B396" s="327"/>
      <c r="D396" s="328" t="s">
        <v>155</v>
      </c>
      <c r="E396" s="329" t="s">
        <v>1</v>
      </c>
      <c r="F396" s="330" t="s">
        <v>373</v>
      </c>
      <c r="H396" s="329" t="s">
        <v>1</v>
      </c>
      <c r="I396" s="497"/>
      <c r="L396" s="331"/>
      <c r="M396" s="332"/>
      <c r="N396" s="333"/>
      <c r="O396" s="333"/>
      <c r="P396" s="333"/>
      <c r="Q396" s="333"/>
      <c r="R396" s="333"/>
      <c r="S396" s="333"/>
      <c r="T396" s="334"/>
      <c r="AT396" s="329" t="s">
        <v>155</v>
      </c>
      <c r="AU396" s="329" t="s">
        <v>83</v>
      </c>
      <c r="AV396" s="326" t="s">
        <v>81</v>
      </c>
      <c r="AW396" s="326" t="s">
        <v>34</v>
      </c>
      <c r="AX396" s="326" t="s">
        <v>76</v>
      </c>
      <c r="AY396" s="329" t="s">
        <v>146</v>
      </c>
    </row>
    <row r="397" spans="2:51" s="335" customFormat="1" ht="12">
      <c r="B397" s="336"/>
      <c r="D397" s="328" t="s">
        <v>155</v>
      </c>
      <c r="E397" s="337" t="s">
        <v>1</v>
      </c>
      <c r="F397" s="338" t="s">
        <v>2686</v>
      </c>
      <c r="H397" s="339">
        <f>(3.35+0.15+3.825)*3.05-0.8*2*2</f>
        <v>19.14125</v>
      </c>
      <c r="I397" s="498"/>
      <c r="L397" s="340"/>
      <c r="M397" s="341"/>
      <c r="N397" s="342"/>
      <c r="O397" s="342"/>
      <c r="P397" s="342"/>
      <c r="Q397" s="342"/>
      <c r="R397" s="342"/>
      <c r="S397" s="342"/>
      <c r="T397" s="343"/>
      <c r="AT397" s="337" t="s">
        <v>155</v>
      </c>
      <c r="AU397" s="337" t="s">
        <v>83</v>
      </c>
      <c r="AV397" s="335" t="s">
        <v>83</v>
      </c>
      <c r="AW397" s="335" t="s">
        <v>34</v>
      </c>
      <c r="AX397" s="335" t="s">
        <v>76</v>
      </c>
      <c r="AY397" s="337" t="s">
        <v>146</v>
      </c>
    </row>
    <row r="398" spans="2:51" s="347" customFormat="1" ht="12">
      <c r="B398" s="348"/>
      <c r="D398" s="328" t="s">
        <v>155</v>
      </c>
      <c r="E398" s="349" t="s">
        <v>1</v>
      </c>
      <c r="F398" s="356" t="s">
        <v>157</v>
      </c>
      <c r="H398" s="351">
        <f>SUM(H379:H397)</f>
        <v>95.24925</v>
      </c>
      <c r="I398" s="499"/>
      <c r="L398" s="352"/>
      <c r="M398" s="353"/>
      <c r="N398" s="354"/>
      <c r="O398" s="354"/>
      <c r="P398" s="354"/>
      <c r="Q398" s="354"/>
      <c r="R398" s="354"/>
      <c r="S398" s="354"/>
      <c r="T398" s="355"/>
      <c r="AT398" s="349" t="s">
        <v>155</v>
      </c>
      <c r="AU398" s="349" t="s">
        <v>83</v>
      </c>
      <c r="AV398" s="347" t="s">
        <v>153</v>
      </c>
      <c r="AW398" s="347" t="s">
        <v>34</v>
      </c>
      <c r="AX398" s="347" t="s">
        <v>81</v>
      </c>
      <c r="AY398" s="349" t="s">
        <v>146</v>
      </c>
    </row>
    <row r="399" spans="1:65" s="225" customFormat="1" ht="24.2" customHeight="1">
      <c r="A399" s="222"/>
      <c r="B399" s="223"/>
      <c r="C399" s="314">
        <v>43</v>
      </c>
      <c r="D399" s="314" t="s">
        <v>148</v>
      </c>
      <c r="E399" s="315" t="s">
        <v>375</v>
      </c>
      <c r="F399" s="316" t="s">
        <v>376</v>
      </c>
      <c r="G399" s="317" t="s">
        <v>151</v>
      </c>
      <c r="H399" s="318">
        <f>H404</f>
        <v>2.9000000000000004</v>
      </c>
      <c r="I399" s="79"/>
      <c r="J399" s="319">
        <f>ROUND(I399*H399,2)</f>
        <v>0</v>
      </c>
      <c r="K399" s="316"/>
      <c r="L399" s="229"/>
      <c r="M399" s="320" t="s">
        <v>1</v>
      </c>
      <c r="N399" s="321" t="s">
        <v>42</v>
      </c>
      <c r="O399" s="322">
        <v>1.21</v>
      </c>
      <c r="P399" s="322">
        <f>O399*H399</f>
        <v>3.5090000000000003</v>
      </c>
      <c r="Q399" s="322">
        <v>0.178184</v>
      </c>
      <c r="R399" s="322">
        <f>Q399*H399</f>
        <v>0.5167336000000001</v>
      </c>
      <c r="S399" s="322">
        <v>0</v>
      </c>
      <c r="T399" s="323">
        <f>S399*H399</f>
        <v>0</v>
      </c>
      <c r="U399" s="222"/>
      <c r="V399" s="222"/>
      <c r="W399" s="222"/>
      <c r="X399" s="222"/>
      <c r="Y399" s="222"/>
      <c r="Z399" s="222"/>
      <c r="AA399" s="222"/>
      <c r="AB399" s="222"/>
      <c r="AC399" s="222"/>
      <c r="AD399" s="222"/>
      <c r="AE399" s="222"/>
      <c r="AR399" s="324" t="s">
        <v>153</v>
      </c>
      <c r="AT399" s="324" t="s">
        <v>148</v>
      </c>
      <c r="AU399" s="324" t="s">
        <v>83</v>
      </c>
      <c r="AY399" s="214" t="s">
        <v>146</v>
      </c>
      <c r="BE399" s="325">
        <f>IF(N399="základní",J399,0)</f>
        <v>0</v>
      </c>
      <c r="BF399" s="325">
        <f>IF(N399="snížená",J399,0)</f>
        <v>0</v>
      </c>
      <c r="BG399" s="325">
        <f>IF(N399="zákl. přenesená",J399,0)</f>
        <v>0</v>
      </c>
      <c r="BH399" s="325">
        <f>IF(N399="sníž. přenesená",J399,0)</f>
        <v>0</v>
      </c>
      <c r="BI399" s="325">
        <f>IF(N399="nulová",J399,0)</f>
        <v>0</v>
      </c>
      <c r="BJ399" s="214" t="s">
        <v>81</v>
      </c>
      <c r="BK399" s="325">
        <f>ROUND(I399*H399,2)</f>
        <v>0</v>
      </c>
      <c r="BL399" s="214" t="s">
        <v>153</v>
      </c>
      <c r="BM399" s="324" t="s">
        <v>377</v>
      </c>
    </row>
    <row r="400" spans="2:51" s="326" customFormat="1" ht="12">
      <c r="B400" s="327"/>
      <c r="D400" s="328" t="s">
        <v>155</v>
      </c>
      <c r="E400" s="329" t="s">
        <v>1</v>
      </c>
      <c r="F400" s="330" t="s">
        <v>318</v>
      </c>
      <c r="H400" s="329" t="s">
        <v>1</v>
      </c>
      <c r="I400" s="497"/>
      <c r="L400" s="331"/>
      <c r="M400" s="332"/>
      <c r="N400" s="333"/>
      <c r="O400" s="333"/>
      <c r="P400" s="333"/>
      <c r="Q400" s="333"/>
      <c r="R400" s="333"/>
      <c r="S400" s="333"/>
      <c r="T400" s="334"/>
      <c r="AT400" s="329" t="s">
        <v>155</v>
      </c>
      <c r="AU400" s="329" t="s">
        <v>83</v>
      </c>
      <c r="AV400" s="326" t="s">
        <v>81</v>
      </c>
      <c r="AW400" s="326" t="s">
        <v>34</v>
      </c>
      <c r="AX400" s="326" t="s">
        <v>76</v>
      </c>
      <c r="AY400" s="329" t="s">
        <v>146</v>
      </c>
    </row>
    <row r="401" spans="2:51" s="335" customFormat="1" ht="12">
      <c r="B401" s="336"/>
      <c r="D401" s="328" t="s">
        <v>155</v>
      </c>
      <c r="E401" s="337" t="s">
        <v>1</v>
      </c>
      <c r="F401" s="338" t="s">
        <v>2964</v>
      </c>
      <c r="H401" s="339">
        <f>2.5*0.14*2*3</f>
        <v>2.1</v>
      </c>
      <c r="I401" s="498"/>
      <c r="L401" s="340"/>
      <c r="M401" s="341"/>
      <c r="N401" s="342"/>
      <c r="O401" s="342"/>
      <c r="P401" s="342"/>
      <c r="Q401" s="342"/>
      <c r="R401" s="342"/>
      <c r="S401" s="342"/>
      <c r="T401" s="343"/>
      <c r="AT401" s="337" t="s">
        <v>155</v>
      </c>
      <c r="AU401" s="337" t="s">
        <v>83</v>
      </c>
      <c r="AV401" s="335" t="s">
        <v>83</v>
      </c>
      <c r="AW401" s="335" t="s">
        <v>34</v>
      </c>
      <c r="AX401" s="335" t="s">
        <v>76</v>
      </c>
      <c r="AY401" s="337" t="s">
        <v>146</v>
      </c>
    </row>
    <row r="402" spans="2:51" s="326" customFormat="1" ht="12">
      <c r="B402" s="327"/>
      <c r="D402" s="328" t="s">
        <v>155</v>
      </c>
      <c r="E402" s="329" t="s">
        <v>1</v>
      </c>
      <c r="F402" s="330" t="s">
        <v>320</v>
      </c>
      <c r="H402" s="329" t="s">
        <v>1</v>
      </c>
      <c r="I402" s="497"/>
      <c r="L402" s="331"/>
      <c r="M402" s="332"/>
      <c r="N402" s="333"/>
      <c r="O402" s="333"/>
      <c r="P402" s="333"/>
      <c r="Q402" s="333"/>
      <c r="R402" s="333"/>
      <c r="S402" s="333"/>
      <c r="T402" s="334"/>
      <c r="AT402" s="329" t="s">
        <v>155</v>
      </c>
      <c r="AU402" s="329" t="s">
        <v>83</v>
      </c>
      <c r="AV402" s="326" t="s">
        <v>81</v>
      </c>
      <c r="AW402" s="326" t="s">
        <v>34</v>
      </c>
      <c r="AX402" s="326" t="s">
        <v>76</v>
      </c>
      <c r="AY402" s="329" t="s">
        <v>146</v>
      </c>
    </row>
    <row r="403" spans="2:51" s="335" customFormat="1" ht="12">
      <c r="B403" s="336"/>
      <c r="D403" s="328" t="s">
        <v>155</v>
      </c>
      <c r="E403" s="337" t="s">
        <v>1</v>
      </c>
      <c r="F403" s="338" t="s">
        <v>3020</v>
      </c>
      <c r="H403" s="339">
        <f>1*0.1*2*3+1*2*0.1</f>
        <v>0.8</v>
      </c>
      <c r="I403" s="498"/>
      <c r="L403" s="340"/>
      <c r="M403" s="341"/>
      <c r="N403" s="342"/>
      <c r="O403" s="342"/>
      <c r="P403" s="342"/>
      <c r="Q403" s="342"/>
      <c r="R403" s="342"/>
      <c r="S403" s="342"/>
      <c r="T403" s="343"/>
      <c r="AT403" s="337" t="s">
        <v>155</v>
      </c>
      <c r="AU403" s="337" t="s">
        <v>83</v>
      </c>
      <c r="AV403" s="335" t="s">
        <v>83</v>
      </c>
      <c r="AW403" s="335" t="s">
        <v>34</v>
      </c>
      <c r="AX403" s="335" t="s">
        <v>76</v>
      </c>
      <c r="AY403" s="337" t="s">
        <v>146</v>
      </c>
    </row>
    <row r="404" spans="2:51" s="347" customFormat="1" ht="12">
      <c r="B404" s="348"/>
      <c r="D404" s="328" t="s">
        <v>155</v>
      </c>
      <c r="E404" s="349" t="s">
        <v>1</v>
      </c>
      <c r="F404" s="356" t="s">
        <v>157</v>
      </c>
      <c r="H404" s="351">
        <f>SUM(H401:H403)</f>
        <v>2.9000000000000004</v>
      </c>
      <c r="I404" s="499"/>
      <c r="L404" s="352"/>
      <c r="M404" s="353"/>
      <c r="N404" s="354"/>
      <c r="O404" s="354"/>
      <c r="P404" s="354"/>
      <c r="Q404" s="354"/>
      <c r="R404" s="354"/>
      <c r="S404" s="354"/>
      <c r="T404" s="355"/>
      <c r="AT404" s="349" t="s">
        <v>155</v>
      </c>
      <c r="AU404" s="349" t="s">
        <v>83</v>
      </c>
      <c r="AV404" s="347" t="s">
        <v>153</v>
      </c>
      <c r="AW404" s="347" t="s">
        <v>34</v>
      </c>
      <c r="AX404" s="347" t="s">
        <v>81</v>
      </c>
      <c r="AY404" s="349" t="s">
        <v>146</v>
      </c>
    </row>
    <row r="405" spans="1:65" s="225" customFormat="1" ht="16.5" customHeight="1">
      <c r="A405" s="222"/>
      <c r="B405" s="223"/>
      <c r="C405" s="314">
        <v>44</v>
      </c>
      <c r="D405" s="314" t="s">
        <v>148</v>
      </c>
      <c r="E405" s="315" t="s">
        <v>379</v>
      </c>
      <c r="F405" s="316" t="s">
        <v>380</v>
      </c>
      <c r="G405" s="317" t="s">
        <v>151</v>
      </c>
      <c r="H405" s="318">
        <f>H410</f>
        <v>20.330000000000002</v>
      </c>
      <c r="I405" s="79"/>
      <c r="J405" s="319">
        <f>ROUND(I405*H405,2)</f>
        <v>0</v>
      </c>
      <c r="K405" s="316"/>
      <c r="L405" s="229"/>
      <c r="M405" s="320" t="s">
        <v>1</v>
      </c>
      <c r="N405" s="321" t="s">
        <v>42</v>
      </c>
      <c r="O405" s="322">
        <v>0.734</v>
      </c>
      <c r="P405" s="322">
        <f>O405*H405</f>
        <v>14.922220000000001</v>
      </c>
      <c r="Q405" s="322">
        <v>0.06177</v>
      </c>
      <c r="R405" s="322">
        <f>Q405*H405</f>
        <v>1.2557841</v>
      </c>
      <c r="S405" s="322">
        <v>0</v>
      </c>
      <c r="T405" s="323">
        <f>S405*H405</f>
        <v>0</v>
      </c>
      <c r="U405" s="222"/>
      <c r="V405" s="222"/>
      <c r="W405" s="222"/>
      <c r="X405" s="222"/>
      <c r="Y405" s="222"/>
      <c r="Z405" s="222"/>
      <c r="AA405" s="222"/>
      <c r="AB405" s="222"/>
      <c r="AC405" s="222"/>
      <c r="AD405" s="222"/>
      <c r="AE405" s="222"/>
      <c r="AR405" s="324" t="s">
        <v>153</v>
      </c>
      <c r="AT405" s="324" t="s">
        <v>148</v>
      </c>
      <c r="AU405" s="324" t="s">
        <v>83</v>
      </c>
      <c r="AY405" s="214" t="s">
        <v>146</v>
      </c>
      <c r="BE405" s="325">
        <f>IF(N405="základní",J405,0)</f>
        <v>0</v>
      </c>
      <c r="BF405" s="325">
        <f>IF(N405="snížená",J405,0)</f>
        <v>0</v>
      </c>
      <c r="BG405" s="325">
        <f>IF(N405="zákl. přenesená",J405,0)</f>
        <v>0</v>
      </c>
      <c r="BH405" s="325">
        <f>IF(N405="sníž. přenesená",J405,0)</f>
        <v>0</v>
      </c>
      <c r="BI405" s="325">
        <f>IF(N405="nulová",J405,0)</f>
        <v>0</v>
      </c>
      <c r="BJ405" s="214" t="s">
        <v>81</v>
      </c>
      <c r="BK405" s="325">
        <f>ROUND(I405*H405,2)</f>
        <v>0</v>
      </c>
      <c r="BL405" s="214" t="s">
        <v>153</v>
      </c>
      <c r="BM405" s="324" t="s">
        <v>381</v>
      </c>
    </row>
    <row r="406" spans="2:51" s="326" customFormat="1" ht="12">
      <c r="B406" s="327"/>
      <c r="D406" s="328" t="s">
        <v>155</v>
      </c>
      <c r="E406" s="329" t="s">
        <v>1</v>
      </c>
      <c r="F406" s="330" t="s">
        <v>382</v>
      </c>
      <c r="H406" s="329" t="s">
        <v>1</v>
      </c>
      <c r="I406" s="497"/>
      <c r="L406" s="331"/>
      <c r="M406" s="332"/>
      <c r="N406" s="333"/>
      <c r="O406" s="333"/>
      <c r="P406" s="333"/>
      <c r="Q406" s="333"/>
      <c r="R406" s="333"/>
      <c r="S406" s="333"/>
      <c r="T406" s="334"/>
      <c r="AT406" s="329" t="s">
        <v>155</v>
      </c>
      <c r="AU406" s="329" t="s">
        <v>83</v>
      </c>
      <c r="AV406" s="326" t="s">
        <v>81</v>
      </c>
      <c r="AW406" s="326" t="s">
        <v>34</v>
      </c>
      <c r="AX406" s="326" t="s">
        <v>76</v>
      </c>
      <c r="AY406" s="329" t="s">
        <v>146</v>
      </c>
    </row>
    <row r="407" spans="2:51" s="335" customFormat="1" ht="12">
      <c r="B407" s="336"/>
      <c r="D407" s="328" t="s">
        <v>155</v>
      </c>
      <c r="E407" s="337" t="s">
        <v>1</v>
      </c>
      <c r="F407" s="338" t="s">
        <v>2687</v>
      </c>
      <c r="H407" s="339">
        <f>(3.1+2.85)*3.05</f>
        <v>18.1475</v>
      </c>
      <c r="I407" s="498"/>
      <c r="L407" s="340"/>
      <c r="M407" s="341"/>
      <c r="N407" s="342"/>
      <c r="O407" s="342"/>
      <c r="P407" s="342"/>
      <c r="Q407" s="342"/>
      <c r="R407" s="342"/>
      <c r="S407" s="342"/>
      <c r="T407" s="343"/>
      <c r="AT407" s="337" t="s">
        <v>155</v>
      </c>
      <c r="AU407" s="337" t="s">
        <v>83</v>
      </c>
      <c r="AV407" s="335" t="s">
        <v>83</v>
      </c>
      <c r="AW407" s="335" t="s">
        <v>34</v>
      </c>
      <c r="AX407" s="335" t="s">
        <v>76</v>
      </c>
      <c r="AY407" s="337" t="s">
        <v>146</v>
      </c>
    </row>
    <row r="408" spans="2:51" s="326" customFormat="1" ht="12">
      <c r="B408" s="327"/>
      <c r="D408" s="328" t="s">
        <v>155</v>
      </c>
      <c r="E408" s="329" t="s">
        <v>1</v>
      </c>
      <c r="F408" s="330" t="s">
        <v>279</v>
      </c>
      <c r="H408" s="329" t="s">
        <v>1</v>
      </c>
      <c r="I408" s="497"/>
      <c r="L408" s="331"/>
      <c r="M408" s="332"/>
      <c r="N408" s="333"/>
      <c r="O408" s="333"/>
      <c r="P408" s="333"/>
      <c r="Q408" s="333"/>
      <c r="R408" s="333"/>
      <c r="S408" s="333"/>
      <c r="T408" s="334"/>
      <c r="AT408" s="329" t="s">
        <v>155</v>
      </c>
      <c r="AU408" s="329" t="s">
        <v>83</v>
      </c>
      <c r="AV408" s="326" t="s">
        <v>81</v>
      </c>
      <c r="AW408" s="326" t="s">
        <v>34</v>
      </c>
      <c r="AX408" s="326" t="s">
        <v>76</v>
      </c>
      <c r="AY408" s="329" t="s">
        <v>146</v>
      </c>
    </row>
    <row r="409" spans="2:51" s="335" customFormat="1" ht="12">
      <c r="B409" s="336"/>
      <c r="D409" s="328" t="s">
        <v>155</v>
      </c>
      <c r="E409" s="337" t="s">
        <v>1</v>
      </c>
      <c r="F409" s="338" t="s">
        <v>2688</v>
      </c>
      <c r="H409" s="339">
        <f>0.97*2.25</f>
        <v>2.1825</v>
      </c>
      <c r="I409" s="498"/>
      <c r="L409" s="340"/>
      <c r="M409" s="341"/>
      <c r="N409" s="342"/>
      <c r="O409" s="342"/>
      <c r="P409" s="342"/>
      <c r="Q409" s="342"/>
      <c r="R409" s="342"/>
      <c r="S409" s="342"/>
      <c r="T409" s="343"/>
      <c r="AT409" s="337" t="s">
        <v>155</v>
      </c>
      <c r="AU409" s="337" t="s">
        <v>83</v>
      </c>
      <c r="AV409" s="335" t="s">
        <v>83</v>
      </c>
      <c r="AW409" s="335" t="s">
        <v>34</v>
      </c>
      <c r="AX409" s="335" t="s">
        <v>76</v>
      </c>
      <c r="AY409" s="337" t="s">
        <v>146</v>
      </c>
    </row>
    <row r="410" spans="2:51" s="347" customFormat="1" ht="12">
      <c r="B410" s="348"/>
      <c r="D410" s="328" t="s">
        <v>155</v>
      </c>
      <c r="E410" s="349" t="s">
        <v>1</v>
      </c>
      <c r="F410" s="356" t="s">
        <v>157</v>
      </c>
      <c r="H410" s="351">
        <f>SUM(H407:H409)</f>
        <v>20.330000000000002</v>
      </c>
      <c r="I410" s="499"/>
      <c r="L410" s="352"/>
      <c r="M410" s="353"/>
      <c r="N410" s="354"/>
      <c r="O410" s="354"/>
      <c r="P410" s="354"/>
      <c r="Q410" s="354"/>
      <c r="R410" s="354"/>
      <c r="S410" s="354"/>
      <c r="T410" s="355"/>
      <c r="AT410" s="349" t="s">
        <v>155</v>
      </c>
      <c r="AU410" s="349" t="s">
        <v>83</v>
      </c>
      <c r="AV410" s="347" t="s">
        <v>153</v>
      </c>
      <c r="AW410" s="347" t="s">
        <v>34</v>
      </c>
      <c r="AX410" s="347" t="s">
        <v>81</v>
      </c>
      <c r="AY410" s="349" t="s">
        <v>146</v>
      </c>
    </row>
    <row r="411" spans="1:65" s="225" customFormat="1" ht="16.5" customHeight="1">
      <c r="A411" s="222"/>
      <c r="B411" s="223"/>
      <c r="C411" s="314">
        <v>45</v>
      </c>
      <c r="D411" s="314" t="s">
        <v>148</v>
      </c>
      <c r="E411" s="315" t="s">
        <v>384</v>
      </c>
      <c r="F411" s="344" t="s">
        <v>385</v>
      </c>
      <c r="G411" s="317" t="s">
        <v>151</v>
      </c>
      <c r="H411" s="318">
        <f>H422</f>
        <v>18.735500000000002</v>
      </c>
      <c r="I411" s="79"/>
      <c r="J411" s="319">
        <f>ROUND(I411*H411,2)</f>
        <v>0</v>
      </c>
      <c r="K411" s="316"/>
      <c r="L411" s="229"/>
      <c r="M411" s="320" t="s">
        <v>1</v>
      </c>
      <c r="N411" s="321" t="s">
        <v>42</v>
      </c>
      <c r="O411" s="322">
        <v>0.788</v>
      </c>
      <c r="P411" s="322">
        <f>O411*H411</f>
        <v>14.763574000000002</v>
      </c>
      <c r="Q411" s="322">
        <v>0.07991</v>
      </c>
      <c r="R411" s="322">
        <f>Q411*H411</f>
        <v>1.497153805</v>
      </c>
      <c r="S411" s="322">
        <v>0</v>
      </c>
      <c r="T411" s="323">
        <f>S411*H411</f>
        <v>0</v>
      </c>
      <c r="U411" s="222"/>
      <c r="V411" s="222"/>
      <c r="W411" s="222"/>
      <c r="X411" s="222"/>
      <c r="Y411" s="222"/>
      <c r="Z411" s="222"/>
      <c r="AA411" s="222"/>
      <c r="AB411" s="222"/>
      <c r="AC411" s="222"/>
      <c r="AD411" s="222"/>
      <c r="AE411" s="222"/>
      <c r="AR411" s="324" t="s">
        <v>153</v>
      </c>
      <c r="AT411" s="324" t="s">
        <v>148</v>
      </c>
      <c r="AU411" s="324" t="s">
        <v>83</v>
      </c>
      <c r="AY411" s="214" t="s">
        <v>146</v>
      </c>
      <c r="BE411" s="325">
        <f>IF(N411="základní",J411,0)</f>
        <v>0</v>
      </c>
      <c r="BF411" s="325">
        <f>IF(N411="snížená",J411,0)</f>
        <v>0</v>
      </c>
      <c r="BG411" s="325">
        <f>IF(N411="zákl. přenesená",J411,0)</f>
        <v>0</v>
      </c>
      <c r="BH411" s="325">
        <f>IF(N411="sníž. přenesená",J411,0)</f>
        <v>0</v>
      </c>
      <c r="BI411" s="325">
        <f>IF(N411="nulová",J411,0)</f>
        <v>0</v>
      </c>
      <c r="BJ411" s="214" t="s">
        <v>81</v>
      </c>
      <c r="BK411" s="325">
        <f>ROUND(I411*H411,2)</f>
        <v>0</v>
      </c>
      <c r="BL411" s="214" t="s">
        <v>153</v>
      </c>
      <c r="BM411" s="324" t="s">
        <v>386</v>
      </c>
    </row>
    <row r="412" spans="2:51" s="326" customFormat="1" ht="12">
      <c r="B412" s="327"/>
      <c r="D412" s="328" t="s">
        <v>155</v>
      </c>
      <c r="E412" s="329" t="s">
        <v>1</v>
      </c>
      <c r="F412" s="345" t="s">
        <v>2674</v>
      </c>
      <c r="H412" s="329" t="s">
        <v>1</v>
      </c>
      <c r="I412" s="497"/>
      <c r="L412" s="331"/>
      <c r="M412" s="332"/>
      <c r="N412" s="333"/>
      <c r="O412" s="333"/>
      <c r="P412" s="333"/>
      <c r="Q412" s="333"/>
      <c r="R412" s="333"/>
      <c r="S412" s="333"/>
      <c r="T412" s="334"/>
      <c r="AT412" s="329" t="s">
        <v>155</v>
      </c>
      <c r="AU412" s="329" t="s">
        <v>83</v>
      </c>
      <c r="AV412" s="326" t="s">
        <v>81</v>
      </c>
      <c r="AW412" s="326" t="s">
        <v>34</v>
      </c>
      <c r="AX412" s="326" t="s">
        <v>76</v>
      </c>
      <c r="AY412" s="329" t="s">
        <v>146</v>
      </c>
    </row>
    <row r="413" spans="2:51" s="335" customFormat="1" ht="12">
      <c r="B413" s="336"/>
      <c r="D413" s="328" t="s">
        <v>155</v>
      </c>
      <c r="E413" s="337" t="s">
        <v>1</v>
      </c>
      <c r="F413" s="346" t="s">
        <v>2689</v>
      </c>
      <c r="H413" s="339">
        <f>3.35*2.85</f>
        <v>9.547500000000001</v>
      </c>
      <c r="I413" s="498"/>
      <c r="L413" s="340"/>
      <c r="M413" s="341"/>
      <c r="N413" s="342"/>
      <c r="O413" s="342"/>
      <c r="P413" s="342"/>
      <c r="Q413" s="342"/>
      <c r="R413" s="342"/>
      <c r="S413" s="342"/>
      <c r="T413" s="343"/>
      <c r="AT413" s="337" t="s">
        <v>155</v>
      </c>
      <c r="AU413" s="337" t="s">
        <v>83</v>
      </c>
      <c r="AV413" s="335" t="s">
        <v>83</v>
      </c>
      <c r="AW413" s="335" t="s">
        <v>34</v>
      </c>
      <c r="AX413" s="335" t="s">
        <v>76</v>
      </c>
      <c r="AY413" s="337" t="s">
        <v>146</v>
      </c>
    </row>
    <row r="414" spans="2:51" s="326" customFormat="1" ht="12">
      <c r="B414" s="327"/>
      <c r="D414" s="328" t="s">
        <v>155</v>
      </c>
      <c r="E414" s="329" t="s">
        <v>1</v>
      </c>
      <c r="F414" s="345" t="s">
        <v>350</v>
      </c>
      <c r="H414" s="329" t="s">
        <v>1</v>
      </c>
      <c r="I414" s="497"/>
      <c r="L414" s="331"/>
      <c r="M414" s="332"/>
      <c r="N414" s="333"/>
      <c r="O414" s="333"/>
      <c r="P414" s="333"/>
      <c r="Q414" s="333"/>
      <c r="R414" s="333"/>
      <c r="S414" s="333"/>
      <c r="T414" s="334"/>
      <c r="AT414" s="329" t="s">
        <v>155</v>
      </c>
      <c r="AU414" s="329" t="s">
        <v>83</v>
      </c>
      <c r="AV414" s="326" t="s">
        <v>81</v>
      </c>
      <c r="AW414" s="326" t="s">
        <v>34</v>
      </c>
      <c r="AX414" s="326" t="s">
        <v>76</v>
      </c>
      <c r="AY414" s="329" t="s">
        <v>146</v>
      </c>
    </row>
    <row r="415" spans="2:51" s="335" customFormat="1" ht="12">
      <c r="B415" s="336"/>
      <c r="D415" s="328" t="s">
        <v>155</v>
      </c>
      <c r="E415" s="337" t="s">
        <v>1</v>
      </c>
      <c r="F415" s="346" t="s">
        <v>3011</v>
      </c>
      <c r="H415" s="339">
        <f>0.9*1.3</f>
        <v>1.1700000000000002</v>
      </c>
      <c r="I415" s="498"/>
      <c r="L415" s="340"/>
      <c r="M415" s="341"/>
      <c r="N415" s="342"/>
      <c r="O415" s="342"/>
      <c r="P415" s="342"/>
      <c r="Q415" s="342"/>
      <c r="R415" s="342"/>
      <c r="S415" s="342"/>
      <c r="T415" s="343"/>
      <c r="AT415" s="337" t="s">
        <v>155</v>
      </c>
      <c r="AU415" s="337" t="s">
        <v>83</v>
      </c>
      <c r="AV415" s="335" t="s">
        <v>83</v>
      </c>
      <c r="AW415" s="335" t="s">
        <v>34</v>
      </c>
      <c r="AX415" s="335" t="s">
        <v>76</v>
      </c>
      <c r="AY415" s="337" t="s">
        <v>146</v>
      </c>
    </row>
    <row r="416" spans="2:51" s="326" customFormat="1" ht="12">
      <c r="B416" s="327"/>
      <c r="D416" s="328" t="s">
        <v>155</v>
      </c>
      <c r="E416" s="329" t="s">
        <v>1</v>
      </c>
      <c r="F416" s="345" t="s">
        <v>3023</v>
      </c>
      <c r="H416" s="329" t="s">
        <v>1</v>
      </c>
      <c r="I416" s="497"/>
      <c r="L416" s="331"/>
      <c r="M416" s="332"/>
      <c r="N416" s="333"/>
      <c r="O416" s="333"/>
      <c r="P416" s="333"/>
      <c r="Q416" s="333"/>
      <c r="R416" s="333"/>
      <c r="S416" s="333"/>
      <c r="T416" s="334"/>
      <c r="AT416" s="329" t="s">
        <v>155</v>
      </c>
      <c r="AU416" s="329" t="s">
        <v>83</v>
      </c>
      <c r="AV416" s="326" t="s">
        <v>81</v>
      </c>
      <c r="AW416" s="326" t="s">
        <v>34</v>
      </c>
      <c r="AX416" s="326" t="s">
        <v>76</v>
      </c>
      <c r="AY416" s="329" t="s">
        <v>146</v>
      </c>
    </row>
    <row r="417" spans="2:51" s="335" customFormat="1" ht="12">
      <c r="B417" s="336"/>
      <c r="D417" s="328" t="s">
        <v>155</v>
      </c>
      <c r="E417" s="337" t="s">
        <v>1</v>
      </c>
      <c r="F417" s="346" t="s">
        <v>3024</v>
      </c>
      <c r="H417" s="339">
        <f>1.6*2.98</f>
        <v>4.768</v>
      </c>
      <c r="I417" s="498"/>
      <c r="L417" s="340"/>
      <c r="M417" s="341"/>
      <c r="N417" s="342"/>
      <c r="O417" s="342"/>
      <c r="P417" s="342"/>
      <c r="Q417" s="342"/>
      <c r="R417" s="342"/>
      <c r="S417" s="342"/>
      <c r="T417" s="343"/>
      <c r="AT417" s="337" t="s">
        <v>155</v>
      </c>
      <c r="AU417" s="337" t="s">
        <v>83</v>
      </c>
      <c r="AV417" s="335" t="s">
        <v>83</v>
      </c>
      <c r="AW417" s="335" t="s">
        <v>34</v>
      </c>
      <c r="AX417" s="335" t="s">
        <v>76</v>
      </c>
      <c r="AY417" s="337" t="s">
        <v>146</v>
      </c>
    </row>
    <row r="418" spans="2:51" s="326" customFormat="1" ht="12">
      <c r="B418" s="327"/>
      <c r="D418" s="328" t="s">
        <v>155</v>
      </c>
      <c r="E418" s="329" t="s">
        <v>1</v>
      </c>
      <c r="F418" s="345" t="s">
        <v>870</v>
      </c>
      <c r="H418" s="329" t="s">
        <v>1</v>
      </c>
      <c r="I418" s="497"/>
      <c r="L418" s="331"/>
      <c r="M418" s="332"/>
      <c r="N418" s="333"/>
      <c r="O418" s="333"/>
      <c r="P418" s="333"/>
      <c r="Q418" s="333"/>
      <c r="R418" s="333"/>
      <c r="S418" s="333"/>
      <c r="T418" s="334"/>
      <c r="AT418" s="329" t="s">
        <v>155</v>
      </c>
      <c r="AU418" s="329" t="s">
        <v>83</v>
      </c>
      <c r="AV418" s="326" t="s">
        <v>81</v>
      </c>
      <c r="AW418" s="326" t="s">
        <v>34</v>
      </c>
      <c r="AX418" s="326" t="s">
        <v>76</v>
      </c>
      <c r="AY418" s="329" t="s">
        <v>146</v>
      </c>
    </row>
    <row r="419" spans="2:51" s="335" customFormat="1" ht="12">
      <c r="B419" s="336"/>
      <c r="D419" s="328" t="s">
        <v>155</v>
      </c>
      <c r="E419" s="337" t="s">
        <v>1</v>
      </c>
      <c r="F419" s="346" t="s">
        <v>3012</v>
      </c>
      <c r="H419" s="339">
        <f>1.5*1.3</f>
        <v>1.9500000000000002</v>
      </c>
      <c r="I419" s="498"/>
      <c r="L419" s="340"/>
      <c r="M419" s="341"/>
      <c r="N419" s="342"/>
      <c r="O419" s="342"/>
      <c r="P419" s="342"/>
      <c r="Q419" s="342"/>
      <c r="R419" s="342"/>
      <c r="S419" s="342"/>
      <c r="T419" s="343"/>
      <c r="AT419" s="337" t="s">
        <v>155</v>
      </c>
      <c r="AU419" s="337" t="s">
        <v>83</v>
      </c>
      <c r="AV419" s="335" t="s">
        <v>83</v>
      </c>
      <c r="AW419" s="335" t="s">
        <v>34</v>
      </c>
      <c r="AX419" s="335" t="s">
        <v>76</v>
      </c>
      <c r="AY419" s="337" t="s">
        <v>146</v>
      </c>
    </row>
    <row r="420" spans="2:51" s="326" customFormat="1" ht="12">
      <c r="B420" s="327"/>
      <c r="D420" s="328" t="s">
        <v>155</v>
      </c>
      <c r="E420" s="329" t="s">
        <v>1</v>
      </c>
      <c r="F420" s="345" t="s">
        <v>3021</v>
      </c>
      <c r="H420" s="329" t="s">
        <v>1</v>
      </c>
      <c r="I420" s="497"/>
      <c r="L420" s="331"/>
      <c r="M420" s="332"/>
      <c r="N420" s="333"/>
      <c r="O420" s="333"/>
      <c r="P420" s="333"/>
      <c r="Q420" s="333"/>
      <c r="R420" s="333"/>
      <c r="S420" s="333"/>
      <c r="T420" s="334"/>
      <c r="AT420" s="329" t="s">
        <v>155</v>
      </c>
      <c r="AU420" s="329" t="s">
        <v>83</v>
      </c>
      <c r="AV420" s="326" t="s">
        <v>81</v>
      </c>
      <c r="AW420" s="326" t="s">
        <v>34</v>
      </c>
      <c r="AX420" s="326" t="s">
        <v>76</v>
      </c>
      <c r="AY420" s="329" t="s">
        <v>146</v>
      </c>
    </row>
    <row r="421" spans="2:51" s="335" customFormat="1" ht="12">
      <c r="B421" s="336"/>
      <c r="D421" s="328" t="s">
        <v>155</v>
      </c>
      <c r="E421" s="337" t="s">
        <v>1</v>
      </c>
      <c r="F421" s="346" t="s">
        <v>3022</v>
      </c>
      <c r="H421" s="339">
        <f>1*1.3</f>
        <v>1.3</v>
      </c>
      <c r="I421" s="498"/>
      <c r="L421" s="340"/>
      <c r="M421" s="341"/>
      <c r="N421" s="342"/>
      <c r="O421" s="342"/>
      <c r="P421" s="342"/>
      <c r="Q421" s="342"/>
      <c r="R421" s="342"/>
      <c r="S421" s="342"/>
      <c r="T421" s="343"/>
      <c r="AT421" s="337" t="s">
        <v>155</v>
      </c>
      <c r="AU421" s="337" t="s">
        <v>83</v>
      </c>
      <c r="AV421" s="335" t="s">
        <v>83</v>
      </c>
      <c r="AW421" s="335" t="s">
        <v>34</v>
      </c>
      <c r="AX421" s="335" t="s">
        <v>76</v>
      </c>
      <c r="AY421" s="337" t="s">
        <v>146</v>
      </c>
    </row>
    <row r="422" spans="2:51" s="347" customFormat="1" ht="12">
      <c r="B422" s="348"/>
      <c r="D422" s="328" t="s">
        <v>155</v>
      </c>
      <c r="E422" s="349" t="s">
        <v>1</v>
      </c>
      <c r="F422" s="356" t="s">
        <v>157</v>
      </c>
      <c r="H422" s="351">
        <f>SUM(H413:H421)</f>
        <v>18.735500000000002</v>
      </c>
      <c r="I422" s="499"/>
      <c r="L422" s="352"/>
      <c r="M422" s="353"/>
      <c r="N422" s="354"/>
      <c r="O422" s="354"/>
      <c r="P422" s="354"/>
      <c r="Q422" s="354"/>
      <c r="R422" s="354"/>
      <c r="S422" s="354"/>
      <c r="T422" s="355"/>
      <c r="AT422" s="349" t="s">
        <v>155</v>
      </c>
      <c r="AU422" s="349" t="s">
        <v>83</v>
      </c>
      <c r="AV422" s="347" t="s">
        <v>153</v>
      </c>
      <c r="AW422" s="347" t="s">
        <v>34</v>
      </c>
      <c r="AX422" s="347" t="s">
        <v>81</v>
      </c>
      <c r="AY422" s="349" t="s">
        <v>146</v>
      </c>
    </row>
    <row r="423" spans="1:65" s="225" customFormat="1" ht="33" customHeight="1">
      <c r="A423" s="222"/>
      <c r="B423" s="223"/>
      <c r="C423" s="314">
        <v>46</v>
      </c>
      <c r="D423" s="314" t="s">
        <v>148</v>
      </c>
      <c r="E423" s="315" t="s">
        <v>391</v>
      </c>
      <c r="F423" s="344" t="s">
        <v>2690</v>
      </c>
      <c r="G423" s="317" t="s">
        <v>301</v>
      </c>
      <c r="H423" s="318">
        <v>1</v>
      </c>
      <c r="I423" s="79"/>
      <c r="J423" s="319">
        <f>ROUND(I423*H423,2)</f>
        <v>0</v>
      </c>
      <c r="K423" s="316"/>
      <c r="L423" s="229"/>
      <c r="M423" s="320" t="s">
        <v>1</v>
      </c>
      <c r="N423" s="321" t="s">
        <v>42</v>
      </c>
      <c r="O423" s="322">
        <v>6.7</v>
      </c>
      <c r="P423" s="322">
        <f>O423*H423</f>
        <v>6.7</v>
      </c>
      <c r="Q423" s="322">
        <v>0</v>
      </c>
      <c r="R423" s="322">
        <f>Q423*H423</f>
        <v>0</v>
      </c>
      <c r="S423" s="322">
        <v>0</v>
      </c>
      <c r="T423" s="323">
        <f>S423*H423</f>
        <v>0</v>
      </c>
      <c r="U423" s="222"/>
      <c r="V423" s="222"/>
      <c r="W423" s="222"/>
      <c r="X423" s="222"/>
      <c r="Y423" s="222"/>
      <c r="Z423" s="222"/>
      <c r="AA423" s="222"/>
      <c r="AB423" s="222"/>
      <c r="AC423" s="222"/>
      <c r="AD423" s="222"/>
      <c r="AE423" s="222"/>
      <c r="AR423" s="324" t="s">
        <v>153</v>
      </c>
      <c r="AT423" s="324" t="s">
        <v>148</v>
      </c>
      <c r="AU423" s="324" t="s">
        <v>83</v>
      </c>
      <c r="AY423" s="214" t="s">
        <v>146</v>
      </c>
      <c r="BE423" s="325">
        <f>IF(N423="základní",J423,0)</f>
        <v>0</v>
      </c>
      <c r="BF423" s="325">
        <f>IF(N423="snížená",J423,0)</f>
        <v>0</v>
      </c>
      <c r="BG423" s="325">
        <f>IF(N423="zákl. přenesená",J423,0)</f>
        <v>0</v>
      </c>
      <c r="BH423" s="325">
        <f>IF(N423="sníž. přenesená",J423,0)</f>
        <v>0</v>
      </c>
      <c r="BI423" s="325">
        <f>IF(N423="nulová",J423,0)</f>
        <v>0</v>
      </c>
      <c r="BJ423" s="214" t="s">
        <v>81</v>
      </c>
      <c r="BK423" s="325">
        <f>ROUND(I423*H423,2)</f>
        <v>0</v>
      </c>
      <c r="BL423" s="214" t="s">
        <v>153</v>
      </c>
      <c r="BM423" s="324" t="s">
        <v>392</v>
      </c>
    </row>
    <row r="424" spans="2:51" s="326" customFormat="1" ht="12">
      <c r="B424" s="327"/>
      <c r="D424" s="328" t="s">
        <v>155</v>
      </c>
      <c r="E424" s="329" t="s">
        <v>1</v>
      </c>
      <c r="F424" s="330" t="s">
        <v>393</v>
      </c>
      <c r="H424" s="329" t="s">
        <v>1</v>
      </c>
      <c r="I424" s="497"/>
      <c r="L424" s="331"/>
      <c r="M424" s="332"/>
      <c r="N424" s="333"/>
      <c r="O424" s="333"/>
      <c r="P424" s="333"/>
      <c r="Q424" s="333"/>
      <c r="R424" s="333"/>
      <c r="S424" s="333"/>
      <c r="T424" s="334"/>
      <c r="AT424" s="329" t="s">
        <v>155</v>
      </c>
      <c r="AU424" s="329" t="s">
        <v>83</v>
      </c>
      <c r="AV424" s="326" t="s">
        <v>81</v>
      </c>
      <c r="AW424" s="326" t="s">
        <v>34</v>
      </c>
      <c r="AX424" s="326" t="s">
        <v>76</v>
      </c>
      <c r="AY424" s="329" t="s">
        <v>146</v>
      </c>
    </row>
    <row r="425" spans="2:51" s="326" customFormat="1" ht="12">
      <c r="B425" s="327"/>
      <c r="D425" s="328" t="s">
        <v>155</v>
      </c>
      <c r="E425" s="329" t="s">
        <v>1</v>
      </c>
      <c r="F425" s="330" t="s">
        <v>394</v>
      </c>
      <c r="H425" s="329" t="s">
        <v>1</v>
      </c>
      <c r="I425" s="497"/>
      <c r="L425" s="331"/>
      <c r="M425" s="332"/>
      <c r="N425" s="333"/>
      <c r="O425" s="333"/>
      <c r="P425" s="333"/>
      <c r="Q425" s="333"/>
      <c r="R425" s="333"/>
      <c r="S425" s="333"/>
      <c r="T425" s="334"/>
      <c r="AT425" s="329" t="s">
        <v>155</v>
      </c>
      <c r="AU425" s="329" t="s">
        <v>83</v>
      </c>
      <c r="AV425" s="326" t="s">
        <v>81</v>
      </c>
      <c r="AW425" s="326" t="s">
        <v>34</v>
      </c>
      <c r="AX425" s="326" t="s">
        <v>76</v>
      </c>
      <c r="AY425" s="329" t="s">
        <v>146</v>
      </c>
    </row>
    <row r="426" spans="2:51" s="335" customFormat="1" ht="12">
      <c r="B426" s="336"/>
      <c r="D426" s="328" t="s">
        <v>155</v>
      </c>
      <c r="E426" s="337" t="s">
        <v>1</v>
      </c>
      <c r="F426" s="338" t="s">
        <v>81</v>
      </c>
      <c r="H426" s="339">
        <v>1</v>
      </c>
      <c r="I426" s="498"/>
      <c r="L426" s="340"/>
      <c r="M426" s="341"/>
      <c r="N426" s="342"/>
      <c r="O426" s="342"/>
      <c r="P426" s="342"/>
      <c r="Q426" s="342"/>
      <c r="R426" s="342"/>
      <c r="S426" s="342"/>
      <c r="T426" s="343"/>
      <c r="AT426" s="337" t="s">
        <v>155</v>
      </c>
      <c r="AU426" s="337" t="s">
        <v>83</v>
      </c>
      <c r="AV426" s="335" t="s">
        <v>83</v>
      </c>
      <c r="AW426" s="335" t="s">
        <v>34</v>
      </c>
      <c r="AX426" s="335" t="s">
        <v>81</v>
      </c>
      <c r="AY426" s="337" t="s">
        <v>146</v>
      </c>
    </row>
    <row r="427" spans="1:65" s="225" customFormat="1" ht="210.75" customHeight="1">
      <c r="A427" s="222"/>
      <c r="B427" s="223"/>
      <c r="C427" s="358">
        <v>47</v>
      </c>
      <c r="D427" s="358" t="s">
        <v>208</v>
      </c>
      <c r="E427" s="359"/>
      <c r="F427" s="364" t="s">
        <v>3920</v>
      </c>
      <c r="G427" s="361" t="s">
        <v>301</v>
      </c>
      <c r="H427" s="362">
        <v>1</v>
      </c>
      <c r="I427" s="80"/>
      <c r="J427" s="363">
        <f>ROUND(I427*H427,2)</f>
        <v>0</v>
      </c>
      <c r="K427" s="364"/>
      <c r="L427" s="365"/>
      <c r="M427" s="366" t="s">
        <v>1</v>
      </c>
      <c r="N427" s="367" t="s">
        <v>42</v>
      </c>
      <c r="O427" s="322">
        <v>0</v>
      </c>
      <c r="P427" s="322">
        <f>O427*H427</f>
        <v>0</v>
      </c>
      <c r="Q427" s="322">
        <v>0.158</v>
      </c>
      <c r="R427" s="322">
        <f>Q427*H427</f>
        <v>0.158</v>
      </c>
      <c r="S427" s="322">
        <v>0</v>
      </c>
      <c r="T427" s="323">
        <f>S427*H427</f>
        <v>0</v>
      </c>
      <c r="U427" s="222"/>
      <c r="V427" s="222"/>
      <c r="W427" s="222"/>
      <c r="X427" s="222"/>
      <c r="Y427" s="222"/>
      <c r="Z427" s="222"/>
      <c r="AA427" s="222"/>
      <c r="AB427" s="222"/>
      <c r="AC427" s="222"/>
      <c r="AD427" s="222"/>
      <c r="AE427" s="222"/>
      <c r="AR427" s="324" t="s">
        <v>189</v>
      </c>
      <c r="AT427" s="324" t="s">
        <v>208</v>
      </c>
      <c r="AU427" s="324" t="s">
        <v>83</v>
      </c>
      <c r="AY427" s="214" t="s">
        <v>146</v>
      </c>
      <c r="BE427" s="325">
        <f>IF(N427="základní",J427,0)</f>
        <v>0</v>
      </c>
      <c r="BF427" s="325">
        <f>IF(N427="snížená",J427,0)</f>
        <v>0</v>
      </c>
      <c r="BG427" s="325">
        <f>IF(N427="zákl. přenesená",J427,0)</f>
        <v>0</v>
      </c>
      <c r="BH427" s="325">
        <f>IF(N427="sníž. přenesená",J427,0)</f>
        <v>0</v>
      </c>
      <c r="BI427" s="325">
        <f>IF(N427="nulová",J427,0)</f>
        <v>0</v>
      </c>
      <c r="BJ427" s="214" t="s">
        <v>81</v>
      </c>
      <c r="BK427" s="325">
        <f>ROUND(I427*H427,2)</f>
        <v>0</v>
      </c>
      <c r="BL427" s="214" t="s">
        <v>153</v>
      </c>
      <c r="BM427" s="324" t="s">
        <v>396</v>
      </c>
    </row>
    <row r="428" spans="1:65" s="225" customFormat="1" ht="24.2" customHeight="1">
      <c r="A428" s="222"/>
      <c r="B428" s="223"/>
      <c r="C428" s="314">
        <v>48</v>
      </c>
      <c r="D428" s="314" t="s">
        <v>148</v>
      </c>
      <c r="E428" s="315" t="s">
        <v>398</v>
      </c>
      <c r="F428" s="316" t="s">
        <v>2636</v>
      </c>
      <c r="G428" s="317" t="s">
        <v>158</v>
      </c>
      <c r="H428" s="318">
        <v>332</v>
      </c>
      <c r="I428" s="79"/>
      <c r="J428" s="319">
        <f>ROUND(I428*H428,2)</f>
        <v>0</v>
      </c>
      <c r="K428" s="316"/>
      <c r="L428" s="229"/>
      <c r="M428" s="320" t="s">
        <v>1</v>
      </c>
      <c r="N428" s="321" t="s">
        <v>42</v>
      </c>
      <c r="O428" s="322">
        <v>0.3</v>
      </c>
      <c r="P428" s="322">
        <f>O428*H428</f>
        <v>99.6</v>
      </c>
      <c r="Q428" s="322">
        <v>0</v>
      </c>
      <c r="R428" s="322">
        <f>Q428*H428</f>
        <v>0</v>
      </c>
      <c r="S428" s="322">
        <v>0</v>
      </c>
      <c r="T428" s="323">
        <f>S428*H428</f>
        <v>0</v>
      </c>
      <c r="U428" s="222"/>
      <c r="V428" s="222"/>
      <c r="W428" s="222"/>
      <c r="X428" s="222"/>
      <c r="Y428" s="222"/>
      <c r="Z428" s="222"/>
      <c r="AA428" s="222"/>
      <c r="AB428" s="222"/>
      <c r="AC428" s="222"/>
      <c r="AD428" s="222"/>
      <c r="AE428" s="222"/>
      <c r="AR428" s="324" t="s">
        <v>153</v>
      </c>
      <c r="AT428" s="324" t="s">
        <v>148</v>
      </c>
      <c r="AU428" s="324" t="s">
        <v>83</v>
      </c>
      <c r="AY428" s="214" t="s">
        <v>146</v>
      </c>
      <c r="BE428" s="325">
        <f>IF(N428="základní",J428,0)</f>
        <v>0</v>
      </c>
      <c r="BF428" s="325">
        <f>IF(N428="snížená",J428,0)</f>
        <v>0</v>
      </c>
      <c r="BG428" s="325">
        <f>IF(N428="zákl. přenesená",J428,0)</f>
        <v>0</v>
      </c>
      <c r="BH428" s="325">
        <f>IF(N428="sníž. přenesená",J428,0)</f>
        <v>0</v>
      </c>
      <c r="BI428" s="325">
        <f>IF(N428="nulová",J428,0)</f>
        <v>0</v>
      </c>
      <c r="BJ428" s="214" t="s">
        <v>81</v>
      </c>
      <c r="BK428" s="325">
        <f>ROUND(I428*H428,2)</f>
        <v>0</v>
      </c>
      <c r="BL428" s="214" t="s">
        <v>153</v>
      </c>
      <c r="BM428" s="324" t="s">
        <v>399</v>
      </c>
    </row>
    <row r="429" spans="2:51" s="335" customFormat="1" ht="12">
      <c r="B429" s="336"/>
      <c r="D429" s="328" t="s">
        <v>155</v>
      </c>
      <c r="E429" s="337" t="s">
        <v>1</v>
      </c>
      <c r="F429" s="338"/>
      <c r="H429" s="339"/>
      <c r="I429" s="498"/>
      <c r="L429" s="340"/>
      <c r="M429" s="341"/>
      <c r="N429" s="342"/>
      <c r="O429" s="342"/>
      <c r="P429" s="342"/>
      <c r="Q429" s="342"/>
      <c r="R429" s="342"/>
      <c r="S429" s="342"/>
      <c r="T429" s="343"/>
      <c r="AT429" s="337" t="s">
        <v>155</v>
      </c>
      <c r="AU429" s="337" t="s">
        <v>83</v>
      </c>
      <c r="AV429" s="335" t="s">
        <v>83</v>
      </c>
      <c r="AW429" s="335" t="s">
        <v>34</v>
      </c>
      <c r="AX429" s="335" t="s">
        <v>81</v>
      </c>
      <c r="AY429" s="337" t="s">
        <v>146</v>
      </c>
    </row>
    <row r="430" spans="1:65" s="225" customFormat="1" ht="50.25" customHeight="1">
      <c r="A430" s="222"/>
      <c r="B430" s="223"/>
      <c r="C430" s="358">
        <v>49</v>
      </c>
      <c r="D430" s="358" t="s">
        <v>208</v>
      </c>
      <c r="E430" s="359" t="s">
        <v>401</v>
      </c>
      <c r="F430" s="364" t="s">
        <v>2637</v>
      </c>
      <c r="G430" s="361" t="s">
        <v>158</v>
      </c>
      <c r="H430" s="362">
        <v>332</v>
      </c>
      <c r="I430" s="80"/>
      <c r="J430" s="363">
        <f>ROUND(I430*H430,2)</f>
        <v>0</v>
      </c>
      <c r="K430" s="364"/>
      <c r="L430" s="365"/>
      <c r="M430" s="366" t="s">
        <v>1</v>
      </c>
      <c r="N430" s="367" t="s">
        <v>42</v>
      </c>
      <c r="O430" s="322">
        <v>0</v>
      </c>
      <c r="P430" s="322">
        <f>O430*H430</f>
        <v>0</v>
      </c>
      <c r="Q430" s="322">
        <v>0.00248</v>
      </c>
      <c r="R430" s="322">
        <f>Q430*H430</f>
        <v>0.82336</v>
      </c>
      <c r="S430" s="322">
        <v>0</v>
      </c>
      <c r="T430" s="323">
        <f>S430*H430</f>
        <v>0</v>
      </c>
      <c r="U430" s="222"/>
      <c r="V430" s="222"/>
      <c r="W430" s="222"/>
      <c r="X430" s="222"/>
      <c r="Y430" s="222"/>
      <c r="Z430" s="222"/>
      <c r="AA430" s="222"/>
      <c r="AB430" s="222"/>
      <c r="AC430" s="222"/>
      <c r="AD430" s="222"/>
      <c r="AE430" s="222"/>
      <c r="AR430" s="324" t="s">
        <v>189</v>
      </c>
      <c r="AT430" s="324" t="s">
        <v>208</v>
      </c>
      <c r="AU430" s="324" t="s">
        <v>83</v>
      </c>
      <c r="AY430" s="214" t="s">
        <v>146</v>
      </c>
      <c r="BE430" s="325">
        <f>IF(N430="základní",J430,0)</f>
        <v>0</v>
      </c>
      <c r="BF430" s="325">
        <f>IF(N430="snížená",J430,0)</f>
        <v>0</v>
      </c>
      <c r="BG430" s="325">
        <f>IF(N430="zákl. přenesená",J430,0)</f>
        <v>0</v>
      </c>
      <c r="BH430" s="325">
        <f>IF(N430="sníž. přenesená",J430,0)</f>
        <v>0</v>
      </c>
      <c r="BI430" s="325">
        <f>IF(N430="nulová",J430,0)</f>
        <v>0</v>
      </c>
      <c r="BJ430" s="214" t="s">
        <v>81</v>
      </c>
      <c r="BK430" s="325">
        <f>ROUND(I430*H430,2)</f>
        <v>0</v>
      </c>
      <c r="BL430" s="214" t="s">
        <v>153</v>
      </c>
      <c r="BM430" s="324" t="s">
        <v>402</v>
      </c>
    </row>
    <row r="431" spans="1:65" s="225" customFormat="1" ht="24.2" customHeight="1">
      <c r="A431" s="222"/>
      <c r="B431" s="223"/>
      <c r="C431" s="314">
        <v>50</v>
      </c>
      <c r="D431" s="314" t="s">
        <v>148</v>
      </c>
      <c r="E431" s="315"/>
      <c r="F431" s="316" t="s">
        <v>2635</v>
      </c>
      <c r="G431" s="317" t="s">
        <v>158</v>
      </c>
      <c r="H431" s="318">
        <f>H428*2</f>
        <v>664</v>
      </c>
      <c r="I431" s="79"/>
      <c r="J431" s="319">
        <f>ROUND(I431*H431,2)</f>
        <v>0</v>
      </c>
      <c r="K431" s="316"/>
      <c r="L431" s="229"/>
      <c r="M431" s="320" t="s">
        <v>1</v>
      </c>
      <c r="N431" s="321" t="s">
        <v>42</v>
      </c>
      <c r="O431" s="322">
        <v>0.3</v>
      </c>
      <c r="P431" s="322">
        <f>O431*H431</f>
        <v>199.2</v>
      </c>
      <c r="Q431" s="322">
        <v>0</v>
      </c>
      <c r="R431" s="322">
        <f>Q431*H431</f>
        <v>0</v>
      </c>
      <c r="S431" s="322">
        <v>0</v>
      </c>
      <c r="T431" s="323">
        <f>S431*H431</f>
        <v>0</v>
      </c>
      <c r="U431" s="222"/>
      <c r="V431" s="222"/>
      <c r="W431" s="222"/>
      <c r="X431" s="222"/>
      <c r="Y431" s="222"/>
      <c r="Z431" s="222"/>
      <c r="AA431" s="222"/>
      <c r="AB431" s="222"/>
      <c r="AC431" s="222"/>
      <c r="AD431" s="222"/>
      <c r="AE431" s="222"/>
      <c r="AR431" s="324" t="s">
        <v>153</v>
      </c>
      <c r="AT431" s="324" t="s">
        <v>148</v>
      </c>
      <c r="AU431" s="324" t="s">
        <v>83</v>
      </c>
      <c r="AY431" s="214" t="s">
        <v>146</v>
      </c>
      <c r="BE431" s="325">
        <f>IF(N431="základní",J431,0)</f>
        <v>0</v>
      </c>
      <c r="BF431" s="325">
        <f>IF(N431="snížená",J431,0)</f>
        <v>0</v>
      </c>
      <c r="BG431" s="325">
        <f>IF(N431="zákl. přenesená",J431,0)</f>
        <v>0</v>
      </c>
      <c r="BH431" s="325">
        <f>IF(N431="sníž. přenesená",J431,0)</f>
        <v>0</v>
      </c>
      <c r="BI431" s="325">
        <f>IF(N431="nulová",J431,0)</f>
        <v>0</v>
      </c>
      <c r="BJ431" s="214" t="s">
        <v>81</v>
      </c>
      <c r="BK431" s="325">
        <f>ROUND(I431*H431,2)</f>
        <v>0</v>
      </c>
      <c r="BL431" s="214" t="s">
        <v>153</v>
      </c>
      <c r="BM431" s="324" t="s">
        <v>399</v>
      </c>
    </row>
    <row r="432" spans="1:65" s="225" customFormat="1" ht="34.5" customHeight="1">
      <c r="A432" s="222"/>
      <c r="B432" s="223"/>
      <c r="C432" s="358">
        <v>51</v>
      </c>
      <c r="D432" s="358" t="s">
        <v>208</v>
      </c>
      <c r="E432" s="359" t="s">
        <v>401</v>
      </c>
      <c r="F432" s="360" t="s">
        <v>2638</v>
      </c>
      <c r="G432" s="361" t="s">
        <v>158</v>
      </c>
      <c r="H432" s="362">
        <f>H431</f>
        <v>664</v>
      </c>
      <c r="I432" s="80"/>
      <c r="J432" s="363">
        <f>ROUND(I432*H432,2)</f>
        <v>0</v>
      </c>
      <c r="K432" s="364"/>
      <c r="L432" s="365"/>
      <c r="M432" s="366" t="s">
        <v>1</v>
      </c>
      <c r="N432" s="367" t="s">
        <v>42</v>
      </c>
      <c r="O432" s="322">
        <v>0</v>
      </c>
      <c r="P432" s="322">
        <f>O432*H432</f>
        <v>0</v>
      </c>
      <c r="Q432" s="322">
        <v>0.00248</v>
      </c>
      <c r="R432" s="322">
        <f>Q432*H432</f>
        <v>1.64672</v>
      </c>
      <c r="S432" s="322">
        <v>0</v>
      </c>
      <c r="T432" s="323">
        <f>S432*H432</f>
        <v>0</v>
      </c>
      <c r="U432" s="222"/>
      <c r="V432" s="222"/>
      <c r="W432" s="222"/>
      <c r="X432" s="222"/>
      <c r="Y432" s="222"/>
      <c r="Z432" s="222"/>
      <c r="AA432" s="222"/>
      <c r="AB432" s="222"/>
      <c r="AC432" s="222"/>
      <c r="AD432" s="222"/>
      <c r="AE432" s="222"/>
      <c r="AR432" s="324" t="s">
        <v>189</v>
      </c>
      <c r="AT432" s="324" t="s">
        <v>208</v>
      </c>
      <c r="AU432" s="324" t="s">
        <v>83</v>
      </c>
      <c r="AY432" s="214" t="s">
        <v>146</v>
      </c>
      <c r="BE432" s="325">
        <f>IF(N432="základní",J432,0)</f>
        <v>0</v>
      </c>
      <c r="BF432" s="325">
        <f>IF(N432="snížená",J432,0)</f>
        <v>0</v>
      </c>
      <c r="BG432" s="325">
        <f>IF(N432="zákl. přenesená",J432,0)</f>
        <v>0</v>
      </c>
      <c r="BH432" s="325">
        <f>IF(N432="sníž. přenesená",J432,0)</f>
        <v>0</v>
      </c>
      <c r="BI432" s="325">
        <f>IF(N432="nulová",J432,0)</f>
        <v>0</v>
      </c>
      <c r="BJ432" s="214" t="s">
        <v>81</v>
      </c>
      <c r="BK432" s="325">
        <f>ROUND(I432*H432,2)</f>
        <v>0</v>
      </c>
      <c r="BL432" s="214" t="s">
        <v>153</v>
      </c>
      <c r="BM432" s="324" t="s">
        <v>402</v>
      </c>
    </row>
    <row r="433" spans="1:65" s="225" customFormat="1" ht="24.2" customHeight="1">
      <c r="A433" s="222"/>
      <c r="B433" s="223"/>
      <c r="C433" s="367"/>
      <c r="D433" s="367"/>
      <c r="E433" s="368"/>
      <c r="F433" s="369"/>
      <c r="G433" s="370"/>
      <c r="H433" s="371"/>
      <c r="I433" s="81"/>
      <c r="J433" s="372"/>
      <c r="K433" s="369"/>
      <c r="L433" s="365"/>
      <c r="M433" s="366"/>
      <c r="N433" s="367"/>
      <c r="O433" s="322"/>
      <c r="P433" s="322"/>
      <c r="Q433" s="322"/>
      <c r="R433" s="322"/>
      <c r="S433" s="322"/>
      <c r="T433" s="323"/>
      <c r="U433" s="222"/>
      <c r="V433" s="222"/>
      <c r="W433" s="222"/>
      <c r="X433" s="222"/>
      <c r="Y433" s="222"/>
      <c r="Z433" s="222"/>
      <c r="AA433" s="222"/>
      <c r="AB433" s="222"/>
      <c r="AC433" s="222"/>
      <c r="AD433" s="222"/>
      <c r="AE433" s="222"/>
      <c r="AR433" s="324"/>
      <c r="AT433" s="324"/>
      <c r="AU433" s="324"/>
      <c r="AY433" s="214"/>
      <c r="BE433" s="325"/>
      <c r="BF433" s="325"/>
      <c r="BG433" s="325"/>
      <c r="BH433" s="325"/>
      <c r="BI433" s="325"/>
      <c r="BJ433" s="214"/>
      <c r="BK433" s="325"/>
      <c r="BL433" s="214"/>
      <c r="BM433" s="324"/>
    </row>
    <row r="434" spans="2:63" s="297" customFormat="1" ht="22.9" customHeight="1">
      <c r="B434" s="298"/>
      <c r="D434" s="299" t="s">
        <v>75</v>
      </c>
      <c r="E434" s="310" t="s">
        <v>153</v>
      </c>
      <c r="F434" s="310" t="s">
        <v>403</v>
      </c>
      <c r="I434" s="501"/>
      <c r="J434" s="311">
        <f>SUM(J435:J466)</f>
        <v>0</v>
      </c>
      <c r="L434" s="302"/>
      <c r="M434" s="303"/>
      <c r="N434" s="304"/>
      <c r="O434" s="304"/>
      <c r="P434" s="305">
        <f>SUM(P435:P466)</f>
        <v>21.76393240448</v>
      </c>
      <c r="Q434" s="304"/>
      <c r="R434" s="305">
        <f>SUM(R435:R466)</f>
        <v>4.123118031558099</v>
      </c>
      <c r="S434" s="304"/>
      <c r="T434" s="313">
        <f>SUM(T435:T466)</f>
        <v>0</v>
      </c>
      <c r="AR434" s="299" t="s">
        <v>81</v>
      </c>
      <c r="AT434" s="308" t="s">
        <v>75</v>
      </c>
      <c r="AU434" s="308" t="s">
        <v>81</v>
      </c>
      <c r="AY434" s="299" t="s">
        <v>146</v>
      </c>
      <c r="BK434" s="309">
        <f>SUM(BK435:BK466)</f>
        <v>0</v>
      </c>
    </row>
    <row r="435" spans="1:65" s="225" customFormat="1" ht="16.5" customHeight="1">
      <c r="A435" s="222"/>
      <c r="B435" s="223"/>
      <c r="C435" s="314">
        <v>52</v>
      </c>
      <c r="D435" s="314" t="s">
        <v>148</v>
      </c>
      <c r="E435" s="315" t="s">
        <v>405</v>
      </c>
      <c r="F435" s="316" t="s">
        <v>406</v>
      </c>
      <c r="G435" s="317" t="s">
        <v>162</v>
      </c>
      <c r="H435" s="318">
        <f>H439</f>
        <v>0.679</v>
      </c>
      <c r="I435" s="79"/>
      <c r="J435" s="319">
        <f>ROUND(I435*H435,2)</f>
        <v>0</v>
      </c>
      <c r="K435" s="316"/>
      <c r="L435" s="229"/>
      <c r="M435" s="320" t="s">
        <v>1</v>
      </c>
      <c r="N435" s="321" t="s">
        <v>42</v>
      </c>
      <c r="O435" s="322">
        <v>1.448</v>
      </c>
      <c r="P435" s="322">
        <f>O435*H435</f>
        <v>0.9831920000000001</v>
      </c>
      <c r="Q435" s="322">
        <v>2.301125</v>
      </c>
      <c r="R435" s="322">
        <f>Q435*H435</f>
        <v>1.562463875</v>
      </c>
      <c r="S435" s="322">
        <v>0</v>
      </c>
      <c r="T435" s="323">
        <f>S435*H435</f>
        <v>0</v>
      </c>
      <c r="U435" s="222"/>
      <c r="V435" s="222"/>
      <c r="W435" s="222"/>
      <c r="X435" s="222"/>
      <c r="Y435" s="222"/>
      <c r="Z435" s="222"/>
      <c r="AA435" s="222"/>
      <c r="AB435" s="222"/>
      <c r="AC435" s="222"/>
      <c r="AD435" s="222"/>
      <c r="AE435" s="222"/>
      <c r="AR435" s="324" t="s">
        <v>153</v>
      </c>
      <c r="AT435" s="324" t="s">
        <v>148</v>
      </c>
      <c r="AU435" s="324" t="s">
        <v>83</v>
      </c>
      <c r="AY435" s="214" t="s">
        <v>146</v>
      </c>
      <c r="BE435" s="325">
        <f>IF(N435="základní",J435,0)</f>
        <v>0</v>
      </c>
      <c r="BF435" s="325">
        <f>IF(N435="snížená",J435,0)</f>
        <v>0</v>
      </c>
      <c r="BG435" s="325">
        <f>IF(N435="zákl. přenesená",J435,0)</f>
        <v>0</v>
      </c>
      <c r="BH435" s="325">
        <f>IF(N435="sníž. přenesená",J435,0)</f>
        <v>0</v>
      </c>
      <c r="BI435" s="325">
        <f>IF(N435="nulová",J435,0)</f>
        <v>0</v>
      </c>
      <c r="BJ435" s="214" t="s">
        <v>81</v>
      </c>
      <c r="BK435" s="325">
        <f>ROUND(I435*H435,2)</f>
        <v>0</v>
      </c>
      <c r="BL435" s="214" t="s">
        <v>153</v>
      </c>
      <c r="BM435" s="324" t="s">
        <v>407</v>
      </c>
    </row>
    <row r="436" spans="2:51" s="326" customFormat="1" ht="12">
      <c r="B436" s="327"/>
      <c r="D436" s="328" t="s">
        <v>155</v>
      </c>
      <c r="E436" s="329" t="s">
        <v>1</v>
      </c>
      <c r="F436" s="330" t="s">
        <v>408</v>
      </c>
      <c r="H436" s="329" t="s">
        <v>1</v>
      </c>
      <c r="I436" s="497"/>
      <c r="L436" s="331"/>
      <c r="M436" s="332"/>
      <c r="N436" s="333"/>
      <c r="O436" s="333"/>
      <c r="P436" s="333"/>
      <c r="Q436" s="333"/>
      <c r="R436" s="333"/>
      <c r="S436" s="333"/>
      <c r="T436" s="334"/>
      <c r="AT436" s="329" t="s">
        <v>155</v>
      </c>
      <c r="AU436" s="329" t="s">
        <v>83</v>
      </c>
      <c r="AV436" s="326" t="s">
        <v>81</v>
      </c>
      <c r="AW436" s="326" t="s">
        <v>34</v>
      </c>
      <c r="AX436" s="326" t="s">
        <v>76</v>
      </c>
      <c r="AY436" s="329" t="s">
        <v>146</v>
      </c>
    </row>
    <row r="437" spans="2:51" s="335" customFormat="1" ht="12">
      <c r="B437" s="336"/>
      <c r="D437" s="328" t="s">
        <v>155</v>
      </c>
      <c r="E437" s="337" t="s">
        <v>1</v>
      </c>
      <c r="F437" s="338" t="s">
        <v>3690</v>
      </c>
      <c r="H437" s="339">
        <f>0.15*0.2*9.7</f>
        <v>0.291</v>
      </c>
      <c r="I437" s="498"/>
      <c r="L437" s="340"/>
      <c r="M437" s="341"/>
      <c r="N437" s="342"/>
      <c r="O437" s="342"/>
      <c r="P437" s="342"/>
      <c r="Q437" s="342"/>
      <c r="R437" s="342"/>
      <c r="S437" s="342"/>
      <c r="T437" s="343"/>
      <c r="AT437" s="337" t="s">
        <v>155</v>
      </c>
      <c r="AU437" s="337" t="s">
        <v>83</v>
      </c>
      <c r="AV437" s="335" t="s">
        <v>83</v>
      </c>
      <c r="AW437" s="335" t="s">
        <v>34</v>
      </c>
      <c r="AX437" s="335" t="s">
        <v>76</v>
      </c>
      <c r="AY437" s="337" t="s">
        <v>146</v>
      </c>
    </row>
    <row r="438" spans="2:51" s="335" customFormat="1" ht="12">
      <c r="B438" s="336"/>
      <c r="D438" s="328" t="s">
        <v>155</v>
      </c>
      <c r="E438" s="337" t="s">
        <v>1</v>
      </c>
      <c r="F438" s="338" t="s">
        <v>2691</v>
      </c>
      <c r="H438" s="339">
        <f>0.2*0.2*9.7</f>
        <v>0.38800000000000007</v>
      </c>
      <c r="I438" s="498"/>
      <c r="L438" s="340"/>
      <c r="M438" s="341"/>
      <c r="N438" s="342"/>
      <c r="O438" s="342"/>
      <c r="P438" s="342"/>
      <c r="Q438" s="342"/>
      <c r="R438" s="342"/>
      <c r="S438" s="342"/>
      <c r="T438" s="343"/>
      <c r="AT438" s="337" t="s">
        <v>155</v>
      </c>
      <c r="AU438" s="337" t="s">
        <v>83</v>
      </c>
      <c r="AV438" s="335" t="s">
        <v>83</v>
      </c>
      <c r="AW438" s="335" t="s">
        <v>34</v>
      </c>
      <c r="AX438" s="335" t="s">
        <v>76</v>
      </c>
      <c r="AY438" s="337" t="s">
        <v>146</v>
      </c>
    </row>
    <row r="439" spans="2:51" s="347" customFormat="1" ht="12">
      <c r="B439" s="348"/>
      <c r="D439" s="328" t="s">
        <v>155</v>
      </c>
      <c r="E439" s="349" t="s">
        <v>1</v>
      </c>
      <c r="F439" s="356" t="s">
        <v>157</v>
      </c>
      <c r="H439" s="351">
        <f>SUM(H437:H438)</f>
        <v>0.679</v>
      </c>
      <c r="I439" s="499"/>
      <c r="L439" s="352"/>
      <c r="M439" s="353"/>
      <c r="N439" s="354"/>
      <c r="O439" s="354"/>
      <c r="P439" s="354"/>
      <c r="Q439" s="354"/>
      <c r="R439" s="354"/>
      <c r="S439" s="354"/>
      <c r="T439" s="355"/>
      <c r="AT439" s="349" t="s">
        <v>155</v>
      </c>
      <c r="AU439" s="349" t="s">
        <v>83</v>
      </c>
      <c r="AV439" s="347" t="s">
        <v>153</v>
      </c>
      <c r="AW439" s="347" t="s">
        <v>34</v>
      </c>
      <c r="AX439" s="347" t="s">
        <v>81</v>
      </c>
      <c r="AY439" s="349" t="s">
        <v>146</v>
      </c>
    </row>
    <row r="440" spans="1:65" s="225" customFormat="1" ht="16.5" customHeight="1">
      <c r="A440" s="222"/>
      <c r="B440" s="223"/>
      <c r="C440" s="314">
        <v>53</v>
      </c>
      <c r="D440" s="314" t="s">
        <v>148</v>
      </c>
      <c r="E440" s="315" t="s">
        <v>410</v>
      </c>
      <c r="F440" s="316" t="s">
        <v>411</v>
      </c>
      <c r="G440" s="317" t="s">
        <v>151</v>
      </c>
      <c r="H440" s="318">
        <f>H444</f>
        <v>11.639999999999999</v>
      </c>
      <c r="I440" s="79"/>
      <c r="J440" s="319">
        <f>ROUND(I440*H440,2)</f>
        <v>0</v>
      </c>
      <c r="K440" s="316"/>
      <c r="L440" s="229"/>
      <c r="M440" s="320" t="s">
        <v>1</v>
      </c>
      <c r="N440" s="321" t="s">
        <v>42</v>
      </c>
      <c r="O440" s="322">
        <v>0.755</v>
      </c>
      <c r="P440" s="322">
        <f>O440*H440</f>
        <v>8.7882</v>
      </c>
      <c r="Q440" s="322">
        <v>0.00576464</v>
      </c>
      <c r="R440" s="322">
        <f>Q440*H440</f>
        <v>0.0671004096</v>
      </c>
      <c r="S440" s="322">
        <v>0</v>
      </c>
      <c r="T440" s="323">
        <f>S440*H440</f>
        <v>0</v>
      </c>
      <c r="U440" s="222"/>
      <c r="V440" s="222"/>
      <c r="W440" s="222"/>
      <c r="X440" s="222"/>
      <c r="Y440" s="222"/>
      <c r="Z440" s="222"/>
      <c r="AA440" s="222"/>
      <c r="AB440" s="222"/>
      <c r="AC440" s="222"/>
      <c r="AD440" s="222"/>
      <c r="AE440" s="222"/>
      <c r="AR440" s="324" t="s">
        <v>153</v>
      </c>
      <c r="AT440" s="324" t="s">
        <v>148</v>
      </c>
      <c r="AU440" s="324" t="s">
        <v>83</v>
      </c>
      <c r="AY440" s="214" t="s">
        <v>146</v>
      </c>
      <c r="BE440" s="325">
        <f>IF(N440="základní",J440,0)</f>
        <v>0</v>
      </c>
      <c r="BF440" s="325">
        <f>IF(N440="snížená",J440,0)</f>
        <v>0</v>
      </c>
      <c r="BG440" s="325">
        <f>IF(N440="zákl. přenesená",J440,0)</f>
        <v>0</v>
      </c>
      <c r="BH440" s="325">
        <f>IF(N440="sníž. přenesená",J440,0)</f>
        <v>0</v>
      </c>
      <c r="BI440" s="325">
        <f>IF(N440="nulová",J440,0)</f>
        <v>0</v>
      </c>
      <c r="BJ440" s="214" t="s">
        <v>81</v>
      </c>
      <c r="BK440" s="325">
        <f>ROUND(I440*H440,2)</f>
        <v>0</v>
      </c>
      <c r="BL440" s="214" t="s">
        <v>153</v>
      </c>
      <c r="BM440" s="324" t="s">
        <v>412</v>
      </c>
    </row>
    <row r="441" spans="2:51" s="326" customFormat="1" ht="12">
      <c r="B441" s="327"/>
      <c r="D441" s="328" t="s">
        <v>155</v>
      </c>
      <c r="E441" s="329" t="s">
        <v>1</v>
      </c>
      <c r="F441" s="330" t="s">
        <v>408</v>
      </c>
      <c r="H441" s="329" t="s">
        <v>1</v>
      </c>
      <c r="I441" s="497"/>
      <c r="L441" s="331"/>
      <c r="M441" s="332"/>
      <c r="N441" s="333"/>
      <c r="O441" s="333"/>
      <c r="P441" s="333"/>
      <c r="Q441" s="333"/>
      <c r="R441" s="333"/>
      <c r="S441" s="333"/>
      <c r="T441" s="334"/>
      <c r="AT441" s="329" t="s">
        <v>155</v>
      </c>
      <c r="AU441" s="329" t="s">
        <v>83</v>
      </c>
      <c r="AV441" s="326" t="s">
        <v>81</v>
      </c>
      <c r="AW441" s="326" t="s">
        <v>34</v>
      </c>
      <c r="AX441" s="326" t="s">
        <v>76</v>
      </c>
      <c r="AY441" s="329" t="s">
        <v>146</v>
      </c>
    </row>
    <row r="442" spans="2:51" s="335" customFormat="1" ht="12">
      <c r="B442" s="336"/>
      <c r="D442" s="328" t="s">
        <v>155</v>
      </c>
      <c r="E442" s="337" t="s">
        <v>1</v>
      </c>
      <c r="F442" s="338" t="s">
        <v>2692</v>
      </c>
      <c r="H442" s="339">
        <f>2*0.3*9.7</f>
        <v>5.819999999999999</v>
      </c>
      <c r="I442" s="498"/>
      <c r="L442" s="340"/>
      <c r="M442" s="341"/>
      <c r="N442" s="342"/>
      <c r="O442" s="342"/>
      <c r="P442" s="342"/>
      <c r="Q442" s="342"/>
      <c r="R442" s="342"/>
      <c r="S442" s="342"/>
      <c r="T442" s="343"/>
      <c r="AT442" s="337" t="s">
        <v>155</v>
      </c>
      <c r="AU442" s="337" t="s">
        <v>83</v>
      </c>
      <c r="AV442" s="335" t="s">
        <v>83</v>
      </c>
      <c r="AW442" s="335" t="s">
        <v>34</v>
      </c>
      <c r="AX442" s="335" t="s">
        <v>76</v>
      </c>
      <c r="AY442" s="337" t="s">
        <v>146</v>
      </c>
    </row>
    <row r="443" spans="2:51" s="335" customFormat="1" ht="12">
      <c r="B443" s="336"/>
      <c r="D443" s="328" t="s">
        <v>155</v>
      </c>
      <c r="E443" s="337" t="s">
        <v>1</v>
      </c>
      <c r="F443" s="338" t="s">
        <v>2692</v>
      </c>
      <c r="H443" s="339">
        <f>2*0.3*9.7</f>
        <v>5.819999999999999</v>
      </c>
      <c r="I443" s="498"/>
      <c r="L443" s="340"/>
      <c r="M443" s="341"/>
      <c r="N443" s="342"/>
      <c r="O443" s="342"/>
      <c r="P443" s="342"/>
      <c r="Q443" s="342"/>
      <c r="R443" s="342"/>
      <c r="S443" s="342"/>
      <c r="T443" s="343"/>
      <c r="AT443" s="337" t="s">
        <v>155</v>
      </c>
      <c r="AU443" s="337" t="s">
        <v>83</v>
      </c>
      <c r="AV443" s="335" t="s">
        <v>83</v>
      </c>
      <c r="AW443" s="335" t="s">
        <v>34</v>
      </c>
      <c r="AX443" s="335" t="s">
        <v>76</v>
      </c>
      <c r="AY443" s="337" t="s">
        <v>146</v>
      </c>
    </row>
    <row r="444" spans="2:51" s="347" customFormat="1" ht="12">
      <c r="B444" s="348"/>
      <c r="D444" s="328" t="s">
        <v>155</v>
      </c>
      <c r="E444" s="349" t="s">
        <v>1</v>
      </c>
      <c r="F444" s="356" t="s">
        <v>157</v>
      </c>
      <c r="H444" s="351">
        <f>SUM(H442:H443)</f>
        <v>11.639999999999999</v>
      </c>
      <c r="I444" s="499"/>
      <c r="L444" s="352"/>
      <c r="M444" s="353"/>
      <c r="N444" s="354"/>
      <c r="O444" s="354"/>
      <c r="P444" s="354"/>
      <c r="Q444" s="354"/>
      <c r="R444" s="354"/>
      <c r="S444" s="354"/>
      <c r="T444" s="355"/>
      <c r="AT444" s="349" t="s">
        <v>155</v>
      </c>
      <c r="AU444" s="349" t="s">
        <v>83</v>
      </c>
      <c r="AV444" s="347" t="s">
        <v>153</v>
      </c>
      <c r="AW444" s="347" t="s">
        <v>34</v>
      </c>
      <c r="AX444" s="347" t="s">
        <v>81</v>
      </c>
      <c r="AY444" s="349" t="s">
        <v>146</v>
      </c>
    </row>
    <row r="445" spans="1:65" s="225" customFormat="1" ht="16.5" customHeight="1">
      <c r="A445" s="222"/>
      <c r="B445" s="223"/>
      <c r="C445" s="314">
        <v>54</v>
      </c>
      <c r="D445" s="314" t="s">
        <v>148</v>
      </c>
      <c r="E445" s="315" t="s">
        <v>414</v>
      </c>
      <c r="F445" s="316" t="s">
        <v>415</v>
      </c>
      <c r="G445" s="317" t="s">
        <v>151</v>
      </c>
      <c r="H445" s="318">
        <f>H440</f>
        <v>11.639999999999999</v>
      </c>
      <c r="I445" s="79"/>
      <c r="J445" s="319">
        <f>ROUND(I445*H445,2)</f>
        <v>0</v>
      </c>
      <c r="K445" s="316"/>
      <c r="L445" s="229"/>
      <c r="M445" s="320" t="s">
        <v>1</v>
      </c>
      <c r="N445" s="321" t="s">
        <v>42</v>
      </c>
      <c r="O445" s="322">
        <v>0.26</v>
      </c>
      <c r="P445" s="322">
        <f>O445*H445</f>
        <v>3.0263999999999998</v>
      </c>
      <c r="Q445" s="322">
        <v>0</v>
      </c>
      <c r="R445" s="322">
        <f>Q445*H445</f>
        <v>0</v>
      </c>
      <c r="S445" s="322">
        <v>0</v>
      </c>
      <c r="T445" s="323">
        <f>S445*H445</f>
        <v>0</v>
      </c>
      <c r="U445" s="222"/>
      <c r="V445" s="222"/>
      <c r="W445" s="222"/>
      <c r="X445" s="222"/>
      <c r="Y445" s="222"/>
      <c r="Z445" s="222"/>
      <c r="AA445" s="222"/>
      <c r="AB445" s="222"/>
      <c r="AC445" s="222"/>
      <c r="AD445" s="222"/>
      <c r="AE445" s="222"/>
      <c r="AR445" s="324" t="s">
        <v>153</v>
      </c>
      <c r="AT445" s="324" t="s">
        <v>148</v>
      </c>
      <c r="AU445" s="324" t="s">
        <v>83</v>
      </c>
      <c r="AY445" s="214" t="s">
        <v>146</v>
      </c>
      <c r="BE445" s="325">
        <f>IF(N445="základní",J445,0)</f>
        <v>0</v>
      </c>
      <c r="BF445" s="325">
        <f>IF(N445="snížená",J445,0)</f>
        <v>0</v>
      </c>
      <c r="BG445" s="325">
        <f>IF(N445="zákl. přenesená",J445,0)</f>
        <v>0</v>
      </c>
      <c r="BH445" s="325">
        <f>IF(N445="sníž. přenesená",J445,0)</f>
        <v>0</v>
      </c>
      <c r="BI445" s="325">
        <f>IF(N445="nulová",J445,0)</f>
        <v>0</v>
      </c>
      <c r="BJ445" s="214" t="s">
        <v>81</v>
      </c>
      <c r="BK445" s="325">
        <f>ROUND(I445*H445,2)</f>
        <v>0</v>
      </c>
      <c r="BL445" s="214" t="s">
        <v>153</v>
      </c>
      <c r="BM445" s="324" t="s">
        <v>416</v>
      </c>
    </row>
    <row r="446" spans="1:65" s="225" customFormat="1" ht="24.2" customHeight="1">
      <c r="A446" s="222"/>
      <c r="B446" s="223"/>
      <c r="C446" s="314">
        <v>55</v>
      </c>
      <c r="D446" s="314" t="s">
        <v>148</v>
      </c>
      <c r="E446" s="315" t="s">
        <v>418</v>
      </c>
      <c r="F446" s="316" t="s">
        <v>419</v>
      </c>
      <c r="G446" s="317" t="s">
        <v>194</v>
      </c>
      <c r="H446" s="318">
        <f>H453</f>
        <v>0.06746543999999999</v>
      </c>
      <c r="I446" s="79"/>
      <c r="J446" s="319">
        <f>ROUND(I446*H446,2)</f>
        <v>0</v>
      </c>
      <c r="K446" s="316"/>
      <c r="L446" s="229"/>
      <c r="M446" s="320" t="s">
        <v>1</v>
      </c>
      <c r="N446" s="321" t="s">
        <v>42</v>
      </c>
      <c r="O446" s="322">
        <v>28.692</v>
      </c>
      <c r="P446" s="322">
        <f>O446*H446</f>
        <v>1.9357184044799998</v>
      </c>
      <c r="Q446" s="322">
        <v>1.05290568</v>
      </c>
      <c r="R446" s="322">
        <f>Q446*H446</f>
        <v>0.0710347449796992</v>
      </c>
      <c r="S446" s="322">
        <v>0</v>
      </c>
      <c r="T446" s="323">
        <f>S446*H446</f>
        <v>0</v>
      </c>
      <c r="U446" s="222"/>
      <c r="V446" s="222"/>
      <c r="W446" s="222"/>
      <c r="X446" s="222"/>
      <c r="Y446" s="222"/>
      <c r="Z446" s="222"/>
      <c r="AA446" s="222"/>
      <c r="AB446" s="222"/>
      <c r="AC446" s="222"/>
      <c r="AD446" s="222"/>
      <c r="AE446" s="222"/>
      <c r="AR446" s="324" t="s">
        <v>153</v>
      </c>
      <c r="AT446" s="324" t="s">
        <v>148</v>
      </c>
      <c r="AU446" s="324" t="s">
        <v>83</v>
      </c>
      <c r="AY446" s="214" t="s">
        <v>146</v>
      </c>
      <c r="BE446" s="325">
        <f>IF(N446="základní",J446,0)</f>
        <v>0</v>
      </c>
      <c r="BF446" s="325">
        <f>IF(N446="snížená",J446,0)</f>
        <v>0</v>
      </c>
      <c r="BG446" s="325">
        <f>IF(N446="zákl. přenesená",J446,0)</f>
        <v>0</v>
      </c>
      <c r="BH446" s="325">
        <f>IF(N446="sníž. přenesená",J446,0)</f>
        <v>0</v>
      </c>
      <c r="BI446" s="325">
        <f>IF(N446="nulová",J446,0)</f>
        <v>0</v>
      </c>
      <c r="BJ446" s="214" t="s">
        <v>81</v>
      </c>
      <c r="BK446" s="325">
        <f>ROUND(I446*H446,2)</f>
        <v>0</v>
      </c>
      <c r="BL446" s="214" t="s">
        <v>153</v>
      </c>
      <c r="BM446" s="324" t="s">
        <v>420</v>
      </c>
    </row>
    <row r="447" spans="2:51" s="326" customFormat="1" ht="12">
      <c r="B447" s="327"/>
      <c r="D447" s="328" t="s">
        <v>155</v>
      </c>
      <c r="E447" s="329" t="s">
        <v>1</v>
      </c>
      <c r="F447" s="330" t="s">
        <v>421</v>
      </c>
      <c r="H447" s="329" t="s">
        <v>1</v>
      </c>
      <c r="I447" s="497"/>
      <c r="L447" s="331"/>
      <c r="M447" s="332"/>
      <c r="N447" s="333"/>
      <c r="O447" s="333"/>
      <c r="P447" s="333"/>
      <c r="Q447" s="333"/>
      <c r="R447" s="333"/>
      <c r="S447" s="333"/>
      <c r="T447" s="334"/>
      <c r="AT447" s="329" t="s">
        <v>155</v>
      </c>
      <c r="AU447" s="329" t="s">
        <v>83</v>
      </c>
      <c r="AV447" s="326" t="s">
        <v>81</v>
      </c>
      <c r="AW447" s="326" t="s">
        <v>34</v>
      </c>
      <c r="AX447" s="326" t="s">
        <v>76</v>
      </c>
      <c r="AY447" s="329" t="s">
        <v>146</v>
      </c>
    </row>
    <row r="448" spans="2:51" s="335" customFormat="1" ht="12">
      <c r="B448" s="336"/>
      <c r="D448" s="328" t="s">
        <v>155</v>
      </c>
      <c r="E448" s="337" t="s">
        <v>1</v>
      </c>
      <c r="F448" s="338" t="s">
        <v>2693</v>
      </c>
      <c r="H448" s="339">
        <f>9.7*0.62*4*1.2/1000</f>
        <v>0.028867199999999996</v>
      </c>
      <c r="I448" s="498"/>
      <c r="L448" s="340"/>
      <c r="M448" s="341"/>
      <c r="N448" s="342"/>
      <c r="O448" s="342"/>
      <c r="P448" s="342"/>
      <c r="Q448" s="342"/>
      <c r="R448" s="342"/>
      <c r="S448" s="342"/>
      <c r="T448" s="343"/>
      <c r="AT448" s="337" t="s">
        <v>155</v>
      </c>
      <c r="AU448" s="337" t="s">
        <v>83</v>
      </c>
      <c r="AV448" s="335" t="s">
        <v>83</v>
      </c>
      <c r="AW448" s="335" t="s">
        <v>34</v>
      </c>
      <c r="AX448" s="335" t="s">
        <v>76</v>
      </c>
      <c r="AY448" s="337" t="s">
        <v>146</v>
      </c>
    </row>
    <row r="449" spans="2:51" s="335" customFormat="1" ht="12">
      <c r="B449" s="336"/>
      <c r="D449" s="328" t="s">
        <v>155</v>
      </c>
      <c r="E449" s="337" t="s">
        <v>1</v>
      </c>
      <c r="F449" s="338" t="s">
        <v>2693</v>
      </c>
      <c r="H449" s="339">
        <f>9.7*0.62*4*1.2/1000</f>
        <v>0.028867199999999996</v>
      </c>
      <c r="I449" s="498"/>
      <c r="L449" s="340"/>
      <c r="M449" s="341"/>
      <c r="N449" s="342"/>
      <c r="O449" s="342"/>
      <c r="P449" s="342"/>
      <c r="Q449" s="342"/>
      <c r="R449" s="342"/>
      <c r="S449" s="342"/>
      <c r="T449" s="343"/>
      <c r="AT449" s="337" t="s">
        <v>155</v>
      </c>
      <c r="AU449" s="337" t="s">
        <v>83</v>
      </c>
      <c r="AV449" s="335" t="s">
        <v>83</v>
      </c>
      <c r="AW449" s="335" t="s">
        <v>34</v>
      </c>
      <c r="AX449" s="335" t="s">
        <v>76</v>
      </c>
      <c r="AY449" s="337" t="s">
        <v>146</v>
      </c>
    </row>
    <row r="450" spans="2:51" s="326" customFormat="1" ht="12">
      <c r="B450" s="327"/>
      <c r="D450" s="328" t="s">
        <v>155</v>
      </c>
      <c r="E450" s="329" t="s">
        <v>1</v>
      </c>
      <c r="F450" s="330" t="s">
        <v>422</v>
      </c>
      <c r="H450" s="329" t="s">
        <v>1</v>
      </c>
      <c r="I450" s="497"/>
      <c r="L450" s="331"/>
      <c r="M450" s="332"/>
      <c r="N450" s="333"/>
      <c r="O450" s="333"/>
      <c r="P450" s="333"/>
      <c r="Q450" s="333"/>
      <c r="R450" s="333"/>
      <c r="S450" s="333"/>
      <c r="T450" s="334"/>
      <c r="AT450" s="329" t="s">
        <v>155</v>
      </c>
      <c r="AU450" s="329" t="s">
        <v>83</v>
      </c>
      <c r="AV450" s="326" t="s">
        <v>81</v>
      </c>
      <c r="AW450" s="326" t="s">
        <v>34</v>
      </c>
      <c r="AX450" s="326" t="s">
        <v>76</v>
      </c>
      <c r="AY450" s="329" t="s">
        <v>146</v>
      </c>
    </row>
    <row r="451" spans="2:51" s="335" customFormat="1" ht="12">
      <c r="B451" s="336"/>
      <c r="D451" s="328" t="s">
        <v>155</v>
      </c>
      <c r="E451" s="337" t="s">
        <v>1</v>
      </c>
      <c r="F451" s="338" t="s">
        <v>3691</v>
      </c>
      <c r="H451" s="339">
        <f>9.7*4*0.52*0.22/1000</f>
        <v>0.00443872</v>
      </c>
      <c r="I451" s="498"/>
      <c r="L451" s="340"/>
      <c r="M451" s="341"/>
      <c r="N451" s="342"/>
      <c r="O451" s="342"/>
      <c r="P451" s="342"/>
      <c r="Q451" s="342"/>
      <c r="R451" s="342"/>
      <c r="S451" s="342"/>
      <c r="T451" s="343"/>
      <c r="AT451" s="337" t="s">
        <v>155</v>
      </c>
      <c r="AU451" s="337" t="s">
        <v>83</v>
      </c>
      <c r="AV451" s="335" t="s">
        <v>83</v>
      </c>
      <c r="AW451" s="335" t="s">
        <v>34</v>
      </c>
      <c r="AX451" s="335" t="s">
        <v>76</v>
      </c>
      <c r="AY451" s="337" t="s">
        <v>146</v>
      </c>
    </row>
    <row r="452" spans="2:51" s="335" customFormat="1" ht="12">
      <c r="B452" s="336"/>
      <c r="D452" s="328" t="s">
        <v>155</v>
      </c>
      <c r="E452" s="337" t="s">
        <v>1</v>
      </c>
      <c r="F452" s="338" t="s">
        <v>2694</v>
      </c>
      <c r="H452" s="339">
        <f>9.7*4*0.62*0.22/1000</f>
        <v>0.00529232</v>
      </c>
      <c r="I452" s="498"/>
      <c r="L452" s="340"/>
      <c r="M452" s="341"/>
      <c r="N452" s="342"/>
      <c r="O452" s="342"/>
      <c r="P452" s="342"/>
      <c r="Q452" s="342"/>
      <c r="R452" s="342"/>
      <c r="S452" s="342"/>
      <c r="T452" s="343"/>
      <c r="AT452" s="337" t="s">
        <v>155</v>
      </c>
      <c r="AU452" s="337" t="s">
        <v>83</v>
      </c>
      <c r="AV452" s="335" t="s">
        <v>83</v>
      </c>
      <c r="AW452" s="335" t="s">
        <v>34</v>
      </c>
      <c r="AX452" s="335" t="s">
        <v>76</v>
      </c>
      <c r="AY452" s="337" t="s">
        <v>146</v>
      </c>
    </row>
    <row r="453" spans="2:51" s="347" customFormat="1" ht="12">
      <c r="B453" s="348"/>
      <c r="D453" s="328" t="s">
        <v>155</v>
      </c>
      <c r="E453" s="349" t="s">
        <v>1</v>
      </c>
      <c r="F453" s="356" t="s">
        <v>157</v>
      </c>
      <c r="H453" s="351">
        <f>SUM(H448:H452)</f>
        <v>0.06746543999999999</v>
      </c>
      <c r="I453" s="499"/>
      <c r="L453" s="352"/>
      <c r="M453" s="353"/>
      <c r="N453" s="354"/>
      <c r="O453" s="354"/>
      <c r="P453" s="354"/>
      <c r="Q453" s="354"/>
      <c r="R453" s="354"/>
      <c r="S453" s="354"/>
      <c r="T453" s="355"/>
      <c r="AT453" s="349" t="s">
        <v>155</v>
      </c>
      <c r="AU453" s="349" t="s">
        <v>83</v>
      </c>
      <c r="AV453" s="347" t="s">
        <v>153</v>
      </c>
      <c r="AW453" s="347" t="s">
        <v>34</v>
      </c>
      <c r="AX453" s="347" t="s">
        <v>81</v>
      </c>
      <c r="AY453" s="349" t="s">
        <v>146</v>
      </c>
    </row>
    <row r="454" spans="1:65" s="225" customFormat="1" ht="21.75" customHeight="1">
      <c r="A454" s="222"/>
      <c r="B454" s="223"/>
      <c r="C454" s="314">
        <v>56</v>
      </c>
      <c r="D454" s="314" t="s">
        <v>148</v>
      </c>
      <c r="E454" s="315" t="s">
        <v>424</v>
      </c>
      <c r="F454" s="316" t="s">
        <v>425</v>
      </c>
      <c r="G454" s="317" t="s">
        <v>162</v>
      </c>
      <c r="H454" s="318">
        <f>H459</f>
        <v>1.03788</v>
      </c>
      <c r="I454" s="79"/>
      <c r="J454" s="319">
        <f>ROUND(I454*H454,2)</f>
        <v>0</v>
      </c>
      <c r="K454" s="316"/>
      <c r="L454" s="229"/>
      <c r="M454" s="320" t="s">
        <v>1</v>
      </c>
      <c r="N454" s="321" t="s">
        <v>42</v>
      </c>
      <c r="O454" s="322">
        <v>2.45</v>
      </c>
      <c r="P454" s="322">
        <f>O454*H454</f>
        <v>2.542806</v>
      </c>
      <c r="Q454" s="322">
        <v>2.30109574</v>
      </c>
      <c r="R454" s="322">
        <f>Q454*H454</f>
        <v>2.3882612466312</v>
      </c>
      <c r="S454" s="322">
        <v>0</v>
      </c>
      <c r="T454" s="323">
        <f>S454*H454</f>
        <v>0</v>
      </c>
      <c r="U454" s="222"/>
      <c r="V454" s="222"/>
      <c r="W454" s="222"/>
      <c r="X454" s="222"/>
      <c r="Y454" s="222"/>
      <c r="Z454" s="222"/>
      <c r="AA454" s="222"/>
      <c r="AB454" s="222"/>
      <c r="AC454" s="222"/>
      <c r="AD454" s="222"/>
      <c r="AE454" s="222"/>
      <c r="AR454" s="324" t="s">
        <v>153</v>
      </c>
      <c r="AT454" s="324" t="s">
        <v>148</v>
      </c>
      <c r="AU454" s="324" t="s">
        <v>83</v>
      </c>
      <c r="AY454" s="214" t="s">
        <v>146</v>
      </c>
      <c r="BE454" s="325">
        <f>IF(N454="základní",J454,0)</f>
        <v>0</v>
      </c>
      <c r="BF454" s="325">
        <f>IF(N454="snížená",J454,0)</f>
        <v>0</v>
      </c>
      <c r="BG454" s="325">
        <f>IF(N454="zákl. přenesená",J454,0)</f>
        <v>0</v>
      </c>
      <c r="BH454" s="325">
        <f>IF(N454="sníž. přenesená",J454,0)</f>
        <v>0</v>
      </c>
      <c r="BI454" s="325">
        <f>IF(N454="nulová",J454,0)</f>
        <v>0</v>
      </c>
      <c r="BJ454" s="214" t="s">
        <v>81</v>
      </c>
      <c r="BK454" s="325">
        <f>ROUND(I454*H454,2)</f>
        <v>0</v>
      </c>
      <c r="BL454" s="214" t="s">
        <v>153</v>
      </c>
      <c r="BM454" s="324" t="s">
        <v>426</v>
      </c>
    </row>
    <row r="455" spans="2:51" s="326" customFormat="1" ht="12">
      <c r="B455" s="327"/>
      <c r="D455" s="328" t="s">
        <v>155</v>
      </c>
      <c r="E455" s="329" t="s">
        <v>1</v>
      </c>
      <c r="F455" s="330" t="s">
        <v>427</v>
      </c>
      <c r="H455" s="329" t="s">
        <v>1</v>
      </c>
      <c r="I455" s="497"/>
      <c r="L455" s="331"/>
      <c r="M455" s="332"/>
      <c r="N455" s="333"/>
      <c r="O455" s="333"/>
      <c r="P455" s="333"/>
      <c r="Q455" s="333"/>
      <c r="R455" s="333"/>
      <c r="S455" s="333"/>
      <c r="T455" s="334"/>
      <c r="AT455" s="329" t="s">
        <v>155</v>
      </c>
      <c r="AU455" s="329" t="s">
        <v>83</v>
      </c>
      <c r="AV455" s="326" t="s">
        <v>81</v>
      </c>
      <c r="AW455" s="326" t="s">
        <v>34</v>
      </c>
      <c r="AX455" s="326" t="s">
        <v>76</v>
      </c>
      <c r="AY455" s="329" t="s">
        <v>146</v>
      </c>
    </row>
    <row r="456" spans="2:51" s="335" customFormat="1" ht="12">
      <c r="B456" s="336"/>
      <c r="D456" s="328" t="s">
        <v>155</v>
      </c>
      <c r="E456" s="337" t="s">
        <v>1</v>
      </c>
      <c r="F456" s="338" t="s">
        <v>2695</v>
      </c>
      <c r="H456" s="339">
        <f>1.35*((0.78+0.3)*0.18+0.78*0.18)</f>
        <v>0.45198</v>
      </c>
      <c r="I456" s="498"/>
      <c r="L456" s="340"/>
      <c r="M456" s="341"/>
      <c r="N456" s="342"/>
      <c r="O456" s="342"/>
      <c r="P456" s="342"/>
      <c r="Q456" s="342"/>
      <c r="R456" s="342"/>
      <c r="S456" s="342"/>
      <c r="T456" s="343"/>
      <c r="AT456" s="337" t="s">
        <v>155</v>
      </c>
      <c r="AU456" s="337" t="s">
        <v>83</v>
      </c>
      <c r="AV456" s="335" t="s">
        <v>83</v>
      </c>
      <c r="AW456" s="335" t="s">
        <v>34</v>
      </c>
      <c r="AX456" s="335" t="s">
        <v>76</v>
      </c>
      <c r="AY456" s="337" t="s">
        <v>146</v>
      </c>
    </row>
    <row r="457" spans="2:51" s="326" customFormat="1" ht="12">
      <c r="B457" s="327"/>
      <c r="D457" s="328" t="s">
        <v>155</v>
      </c>
      <c r="E457" s="329" t="s">
        <v>1</v>
      </c>
      <c r="F457" s="330" t="s">
        <v>428</v>
      </c>
      <c r="H457" s="329" t="s">
        <v>1</v>
      </c>
      <c r="I457" s="497"/>
      <c r="L457" s="331"/>
      <c r="M457" s="332"/>
      <c r="N457" s="333"/>
      <c r="O457" s="333"/>
      <c r="P457" s="333"/>
      <c r="Q457" s="333"/>
      <c r="R457" s="333"/>
      <c r="S457" s="333"/>
      <c r="T457" s="334"/>
      <c r="AT457" s="329" t="s">
        <v>155</v>
      </c>
      <c r="AU457" s="329" t="s">
        <v>83</v>
      </c>
      <c r="AV457" s="326" t="s">
        <v>81</v>
      </c>
      <c r="AW457" s="326" t="s">
        <v>34</v>
      </c>
      <c r="AX457" s="326" t="s">
        <v>76</v>
      </c>
      <c r="AY457" s="329" t="s">
        <v>146</v>
      </c>
    </row>
    <row r="458" spans="2:51" s="335" customFormat="1" ht="12">
      <c r="B458" s="336"/>
      <c r="D458" s="328" t="s">
        <v>155</v>
      </c>
      <c r="E458" s="337" t="s">
        <v>1</v>
      </c>
      <c r="F458" s="338" t="s">
        <v>2696</v>
      </c>
      <c r="H458" s="339">
        <f>1.75*((0.78+0.3)*0.18+0.78*0.18)</f>
        <v>0.5859</v>
      </c>
      <c r="I458" s="498"/>
      <c r="L458" s="340"/>
      <c r="M458" s="341"/>
      <c r="N458" s="342"/>
      <c r="O458" s="342"/>
      <c r="P458" s="342"/>
      <c r="Q458" s="342"/>
      <c r="R458" s="342"/>
      <c r="S458" s="342"/>
      <c r="T458" s="343"/>
      <c r="AT458" s="337" t="s">
        <v>155</v>
      </c>
      <c r="AU458" s="337" t="s">
        <v>83</v>
      </c>
      <c r="AV458" s="335" t="s">
        <v>83</v>
      </c>
      <c r="AW458" s="335" t="s">
        <v>34</v>
      </c>
      <c r="AX458" s="335" t="s">
        <v>76</v>
      </c>
      <c r="AY458" s="337" t="s">
        <v>146</v>
      </c>
    </row>
    <row r="459" spans="2:51" s="347" customFormat="1" ht="12">
      <c r="B459" s="348"/>
      <c r="D459" s="328" t="s">
        <v>155</v>
      </c>
      <c r="E459" s="349" t="s">
        <v>1</v>
      </c>
      <c r="F459" s="356" t="s">
        <v>157</v>
      </c>
      <c r="H459" s="351">
        <f>SUM(H456:H458)</f>
        <v>1.03788</v>
      </c>
      <c r="I459" s="499"/>
      <c r="L459" s="352"/>
      <c r="M459" s="353"/>
      <c r="N459" s="354"/>
      <c r="O459" s="354"/>
      <c r="P459" s="354"/>
      <c r="Q459" s="354"/>
      <c r="R459" s="354"/>
      <c r="S459" s="354"/>
      <c r="T459" s="355"/>
      <c r="AT459" s="349" t="s">
        <v>155</v>
      </c>
      <c r="AU459" s="349" t="s">
        <v>83</v>
      </c>
      <c r="AV459" s="347" t="s">
        <v>153</v>
      </c>
      <c r="AW459" s="347" t="s">
        <v>34</v>
      </c>
      <c r="AX459" s="347" t="s">
        <v>81</v>
      </c>
      <c r="AY459" s="349" t="s">
        <v>146</v>
      </c>
    </row>
    <row r="460" spans="1:65" s="225" customFormat="1" ht="24.2" customHeight="1">
      <c r="A460" s="222"/>
      <c r="B460" s="223"/>
      <c r="C460" s="314">
        <v>57</v>
      </c>
      <c r="D460" s="314" t="s">
        <v>148</v>
      </c>
      <c r="E460" s="315" t="s">
        <v>432</v>
      </c>
      <c r="F460" s="316" t="s">
        <v>433</v>
      </c>
      <c r="G460" s="317" t="s">
        <v>151</v>
      </c>
      <c r="H460" s="318">
        <f>H465</f>
        <v>2.6712</v>
      </c>
      <c r="I460" s="79"/>
      <c r="J460" s="319">
        <f>ROUND(I460*H460,2)</f>
        <v>0</v>
      </c>
      <c r="K460" s="316"/>
      <c r="L460" s="229"/>
      <c r="M460" s="320" t="s">
        <v>1</v>
      </c>
      <c r="N460" s="321" t="s">
        <v>42</v>
      </c>
      <c r="O460" s="322">
        <v>1.342</v>
      </c>
      <c r="P460" s="322">
        <f>O460*H460</f>
        <v>3.5847504</v>
      </c>
      <c r="Q460" s="322">
        <v>0.012824856</v>
      </c>
      <c r="R460" s="322">
        <f>Q460*H460</f>
        <v>0.0342577553472</v>
      </c>
      <c r="S460" s="322">
        <v>0</v>
      </c>
      <c r="T460" s="323">
        <f>S460*H460</f>
        <v>0</v>
      </c>
      <c r="U460" s="222"/>
      <c r="V460" s="222"/>
      <c r="W460" s="222"/>
      <c r="X460" s="222"/>
      <c r="Y460" s="222"/>
      <c r="Z460" s="222"/>
      <c r="AA460" s="222"/>
      <c r="AB460" s="222"/>
      <c r="AC460" s="222"/>
      <c r="AD460" s="222"/>
      <c r="AE460" s="222"/>
      <c r="AR460" s="324" t="s">
        <v>153</v>
      </c>
      <c r="AT460" s="324" t="s">
        <v>148</v>
      </c>
      <c r="AU460" s="324" t="s">
        <v>83</v>
      </c>
      <c r="AY460" s="214" t="s">
        <v>146</v>
      </c>
      <c r="BE460" s="325">
        <f>IF(N460="základní",J460,0)</f>
        <v>0</v>
      </c>
      <c r="BF460" s="325">
        <f>IF(N460="snížená",J460,0)</f>
        <v>0</v>
      </c>
      <c r="BG460" s="325">
        <f>IF(N460="zákl. přenesená",J460,0)</f>
        <v>0</v>
      </c>
      <c r="BH460" s="325">
        <f>IF(N460="sníž. přenesená",J460,0)</f>
        <v>0</v>
      </c>
      <c r="BI460" s="325">
        <f>IF(N460="nulová",J460,0)</f>
        <v>0</v>
      </c>
      <c r="BJ460" s="214" t="s">
        <v>81</v>
      </c>
      <c r="BK460" s="325">
        <f>ROUND(I460*H460,2)</f>
        <v>0</v>
      </c>
      <c r="BL460" s="214" t="s">
        <v>153</v>
      </c>
      <c r="BM460" s="324" t="s">
        <v>434</v>
      </c>
    </row>
    <row r="461" spans="2:51" s="326" customFormat="1" ht="12">
      <c r="B461" s="327"/>
      <c r="D461" s="328" t="s">
        <v>155</v>
      </c>
      <c r="E461" s="329" t="s">
        <v>1</v>
      </c>
      <c r="F461" s="330" t="s">
        <v>427</v>
      </c>
      <c r="H461" s="329" t="s">
        <v>1</v>
      </c>
      <c r="I461" s="497"/>
      <c r="L461" s="331"/>
      <c r="M461" s="332"/>
      <c r="N461" s="333"/>
      <c r="O461" s="333"/>
      <c r="P461" s="333"/>
      <c r="Q461" s="333"/>
      <c r="R461" s="333"/>
      <c r="S461" s="333"/>
      <c r="T461" s="334"/>
      <c r="AT461" s="329" t="s">
        <v>155</v>
      </c>
      <c r="AU461" s="329" t="s">
        <v>83</v>
      </c>
      <c r="AV461" s="326" t="s">
        <v>81</v>
      </c>
      <c r="AW461" s="326" t="s">
        <v>34</v>
      </c>
      <c r="AX461" s="326" t="s">
        <v>76</v>
      </c>
      <c r="AY461" s="329" t="s">
        <v>146</v>
      </c>
    </row>
    <row r="462" spans="2:51" s="335" customFormat="1" ht="12">
      <c r="B462" s="336"/>
      <c r="D462" s="328" t="s">
        <v>155</v>
      </c>
      <c r="E462" s="337" t="s">
        <v>1</v>
      </c>
      <c r="F462" s="338" t="s">
        <v>2697</v>
      </c>
      <c r="H462" s="339">
        <f>(1.35+(0.78+0.3)*2)*(0.18+0.18)</f>
        <v>1.2636</v>
      </c>
      <c r="I462" s="498"/>
      <c r="L462" s="340"/>
      <c r="M462" s="341"/>
      <c r="N462" s="342"/>
      <c r="O462" s="342"/>
      <c r="P462" s="342"/>
      <c r="Q462" s="342"/>
      <c r="R462" s="342"/>
      <c r="S462" s="342"/>
      <c r="T462" s="343"/>
      <c r="AT462" s="337" t="s">
        <v>155</v>
      </c>
      <c r="AU462" s="337" t="s">
        <v>83</v>
      </c>
      <c r="AV462" s="335" t="s">
        <v>83</v>
      </c>
      <c r="AW462" s="335" t="s">
        <v>34</v>
      </c>
      <c r="AX462" s="335" t="s">
        <v>76</v>
      </c>
      <c r="AY462" s="337" t="s">
        <v>146</v>
      </c>
    </row>
    <row r="463" spans="2:51" s="326" customFormat="1" ht="12">
      <c r="B463" s="327"/>
      <c r="D463" s="328" t="s">
        <v>155</v>
      </c>
      <c r="E463" s="329" t="s">
        <v>1</v>
      </c>
      <c r="F463" s="330" t="s">
        <v>428</v>
      </c>
      <c r="H463" s="329" t="s">
        <v>1</v>
      </c>
      <c r="I463" s="497"/>
      <c r="L463" s="331"/>
      <c r="M463" s="332"/>
      <c r="N463" s="333"/>
      <c r="O463" s="333"/>
      <c r="P463" s="333"/>
      <c r="Q463" s="333"/>
      <c r="R463" s="333"/>
      <c r="S463" s="333"/>
      <c r="T463" s="334"/>
      <c r="AT463" s="329" t="s">
        <v>155</v>
      </c>
      <c r="AU463" s="329" t="s">
        <v>83</v>
      </c>
      <c r="AV463" s="326" t="s">
        <v>81</v>
      </c>
      <c r="AW463" s="326" t="s">
        <v>34</v>
      </c>
      <c r="AX463" s="326" t="s">
        <v>76</v>
      </c>
      <c r="AY463" s="329" t="s">
        <v>146</v>
      </c>
    </row>
    <row r="464" spans="2:51" s="335" customFormat="1" ht="12">
      <c r="B464" s="336"/>
      <c r="D464" s="328" t="s">
        <v>155</v>
      </c>
      <c r="E464" s="337" t="s">
        <v>1</v>
      </c>
      <c r="F464" s="338" t="s">
        <v>2698</v>
      </c>
      <c r="H464" s="339">
        <f>(1.75+(0.78+0.3)*2)*(0.18+0.18)</f>
        <v>1.4076</v>
      </c>
      <c r="I464" s="498"/>
      <c r="L464" s="340"/>
      <c r="M464" s="341"/>
      <c r="N464" s="342"/>
      <c r="O464" s="342"/>
      <c r="P464" s="342"/>
      <c r="Q464" s="342"/>
      <c r="R464" s="342"/>
      <c r="S464" s="342"/>
      <c r="T464" s="343"/>
      <c r="AT464" s="337" t="s">
        <v>155</v>
      </c>
      <c r="AU464" s="337" t="s">
        <v>83</v>
      </c>
      <c r="AV464" s="335" t="s">
        <v>83</v>
      </c>
      <c r="AW464" s="335" t="s">
        <v>34</v>
      </c>
      <c r="AX464" s="335" t="s">
        <v>76</v>
      </c>
      <c r="AY464" s="337" t="s">
        <v>146</v>
      </c>
    </row>
    <row r="465" spans="2:51" s="347" customFormat="1" ht="12">
      <c r="B465" s="348"/>
      <c r="D465" s="328" t="s">
        <v>155</v>
      </c>
      <c r="E465" s="349" t="s">
        <v>1</v>
      </c>
      <c r="F465" s="356" t="s">
        <v>157</v>
      </c>
      <c r="H465" s="351">
        <f>SUM(H462:H464)</f>
        <v>2.6712</v>
      </c>
      <c r="I465" s="499"/>
      <c r="L465" s="352"/>
      <c r="M465" s="353"/>
      <c r="N465" s="354"/>
      <c r="O465" s="354"/>
      <c r="P465" s="354"/>
      <c r="Q465" s="354"/>
      <c r="R465" s="354"/>
      <c r="S465" s="354"/>
      <c r="T465" s="355"/>
      <c r="AT465" s="349" t="s">
        <v>155</v>
      </c>
      <c r="AU465" s="349" t="s">
        <v>83</v>
      </c>
      <c r="AV465" s="347" t="s">
        <v>153</v>
      </c>
      <c r="AW465" s="347" t="s">
        <v>34</v>
      </c>
      <c r="AX465" s="347" t="s">
        <v>81</v>
      </c>
      <c r="AY465" s="349" t="s">
        <v>146</v>
      </c>
    </row>
    <row r="466" spans="1:65" s="225" customFormat="1" ht="24.2" customHeight="1">
      <c r="A466" s="222"/>
      <c r="B466" s="223"/>
      <c r="C466" s="314">
        <v>58</v>
      </c>
      <c r="D466" s="314" t="s">
        <v>148</v>
      </c>
      <c r="E466" s="315" t="s">
        <v>436</v>
      </c>
      <c r="F466" s="316" t="s">
        <v>437</v>
      </c>
      <c r="G466" s="317" t="s">
        <v>151</v>
      </c>
      <c r="H466" s="318">
        <f>H460</f>
        <v>2.6712</v>
      </c>
      <c r="I466" s="79"/>
      <c r="J466" s="319">
        <f>ROUND(I466*H466,2)</f>
        <v>0</v>
      </c>
      <c r="K466" s="316"/>
      <c r="L466" s="229"/>
      <c r="M466" s="320" t="s">
        <v>1</v>
      </c>
      <c r="N466" s="321" t="s">
        <v>42</v>
      </c>
      <c r="O466" s="322">
        <v>0.338</v>
      </c>
      <c r="P466" s="322">
        <f>O466*H466</f>
        <v>0.9028656</v>
      </c>
      <c r="Q466" s="322">
        <v>0</v>
      </c>
      <c r="R466" s="322">
        <f>Q466*H466</f>
        <v>0</v>
      </c>
      <c r="S466" s="322">
        <v>0</v>
      </c>
      <c r="T466" s="323">
        <f>S466*H466</f>
        <v>0</v>
      </c>
      <c r="U466" s="222"/>
      <c r="V466" s="222"/>
      <c r="W466" s="222"/>
      <c r="X466" s="222"/>
      <c r="Y466" s="222"/>
      <c r="Z466" s="222"/>
      <c r="AA466" s="222"/>
      <c r="AB466" s="222"/>
      <c r="AC466" s="222"/>
      <c r="AD466" s="222"/>
      <c r="AE466" s="222"/>
      <c r="AR466" s="324" t="s">
        <v>153</v>
      </c>
      <c r="AT466" s="324" t="s">
        <v>148</v>
      </c>
      <c r="AU466" s="324" t="s">
        <v>83</v>
      </c>
      <c r="AY466" s="214" t="s">
        <v>146</v>
      </c>
      <c r="BE466" s="325">
        <f>IF(N466="základní",J466,0)</f>
        <v>0</v>
      </c>
      <c r="BF466" s="325">
        <f>IF(N466="snížená",J466,0)</f>
        <v>0</v>
      </c>
      <c r="BG466" s="325">
        <f>IF(N466="zákl. přenesená",J466,0)</f>
        <v>0</v>
      </c>
      <c r="BH466" s="325">
        <f>IF(N466="sníž. přenesená",J466,0)</f>
        <v>0</v>
      </c>
      <c r="BI466" s="325">
        <f>IF(N466="nulová",J466,0)</f>
        <v>0</v>
      </c>
      <c r="BJ466" s="214" t="s">
        <v>81</v>
      </c>
      <c r="BK466" s="325">
        <f>ROUND(I466*H466,2)</f>
        <v>0</v>
      </c>
      <c r="BL466" s="214" t="s">
        <v>153</v>
      </c>
      <c r="BM466" s="324" t="s">
        <v>438</v>
      </c>
    </row>
    <row r="467" spans="2:63" s="297" customFormat="1" ht="22.9" customHeight="1">
      <c r="B467" s="298"/>
      <c r="D467" s="299" t="s">
        <v>75</v>
      </c>
      <c r="E467" s="310" t="s">
        <v>177</v>
      </c>
      <c r="F467" s="310" t="s">
        <v>439</v>
      </c>
      <c r="I467" s="501"/>
      <c r="J467" s="311">
        <f>SUM(J468:J519)</f>
        <v>0</v>
      </c>
      <c r="L467" s="302"/>
      <c r="M467" s="303"/>
      <c r="N467" s="304"/>
      <c r="O467" s="304"/>
      <c r="P467" s="305">
        <f>SUM(P468:P520)</f>
        <v>12880.612812000001</v>
      </c>
      <c r="Q467" s="304"/>
      <c r="R467" s="305">
        <f>SUM(R468:R520)</f>
        <v>647.9033546630001</v>
      </c>
      <c r="S467" s="304"/>
      <c r="T467" s="313">
        <f>SUM(T468:T520)</f>
        <v>0</v>
      </c>
      <c r="AR467" s="299" t="s">
        <v>81</v>
      </c>
      <c r="AT467" s="308" t="s">
        <v>75</v>
      </c>
      <c r="AU467" s="308" t="s">
        <v>81</v>
      </c>
      <c r="AY467" s="299" t="s">
        <v>146</v>
      </c>
      <c r="BK467" s="309">
        <f>SUM(BK468:BK520)</f>
        <v>0</v>
      </c>
    </row>
    <row r="468" spans="1:65" s="225" customFormat="1" ht="16.5" customHeight="1">
      <c r="A468" s="222"/>
      <c r="B468" s="223"/>
      <c r="C468" s="314">
        <v>59</v>
      </c>
      <c r="D468" s="314" t="s">
        <v>148</v>
      </c>
      <c r="E468" s="315" t="s">
        <v>441</v>
      </c>
      <c r="F468" s="316" t="s">
        <v>442</v>
      </c>
      <c r="G468" s="317" t="s">
        <v>151</v>
      </c>
      <c r="H468" s="318">
        <f>H470</f>
        <v>39.55</v>
      </c>
      <c r="I468" s="79"/>
      <c r="J468" s="319">
        <f>ROUND(I468*H468,2)</f>
        <v>0</v>
      </c>
      <c r="K468" s="316"/>
      <c r="L468" s="229"/>
      <c r="M468" s="320" t="s">
        <v>1</v>
      </c>
      <c r="N468" s="321" t="s">
        <v>42</v>
      </c>
      <c r="O468" s="322">
        <v>0.023</v>
      </c>
      <c r="P468" s="322">
        <f>O468*H468</f>
        <v>0.90965</v>
      </c>
      <c r="Q468" s="322">
        <v>0.23</v>
      </c>
      <c r="R468" s="322">
        <f>Q468*H468</f>
        <v>9.096499999999999</v>
      </c>
      <c r="S468" s="322">
        <v>0</v>
      </c>
      <c r="T468" s="323">
        <f>S468*H468</f>
        <v>0</v>
      </c>
      <c r="U468" s="222"/>
      <c r="V468" s="222"/>
      <c r="W468" s="222"/>
      <c r="X468" s="222"/>
      <c r="Y468" s="222"/>
      <c r="Z468" s="222"/>
      <c r="AA468" s="222"/>
      <c r="AB468" s="222"/>
      <c r="AC468" s="222"/>
      <c r="AD468" s="222"/>
      <c r="AE468" s="222"/>
      <c r="AR468" s="324" t="s">
        <v>153</v>
      </c>
      <c r="AT468" s="324" t="s">
        <v>148</v>
      </c>
      <c r="AU468" s="324" t="s">
        <v>83</v>
      </c>
      <c r="AY468" s="214" t="s">
        <v>146</v>
      </c>
      <c r="BE468" s="325">
        <f>IF(N468="základní",J468,0)</f>
        <v>0</v>
      </c>
      <c r="BF468" s="325">
        <f>IF(N468="snížená",J468,0)</f>
        <v>0</v>
      </c>
      <c r="BG468" s="325">
        <f>IF(N468="zákl. přenesená",J468,0)</f>
        <v>0</v>
      </c>
      <c r="BH468" s="325">
        <f>IF(N468="sníž. přenesená",J468,0)</f>
        <v>0</v>
      </c>
      <c r="BI468" s="325">
        <f>IF(N468="nulová",J468,0)</f>
        <v>0</v>
      </c>
      <c r="BJ468" s="214" t="s">
        <v>81</v>
      </c>
      <c r="BK468" s="325">
        <f>ROUND(I468*H468,2)</f>
        <v>0</v>
      </c>
      <c r="BL468" s="214" t="s">
        <v>153</v>
      </c>
      <c r="BM468" s="324" t="s">
        <v>443</v>
      </c>
    </row>
    <row r="469" spans="2:51" s="326" customFormat="1" ht="12">
      <c r="B469" s="327"/>
      <c r="D469" s="328" t="s">
        <v>155</v>
      </c>
      <c r="E469" s="329" t="s">
        <v>1</v>
      </c>
      <c r="F469" s="330" t="s">
        <v>444</v>
      </c>
      <c r="H469" s="329" t="s">
        <v>1</v>
      </c>
      <c r="I469" s="497"/>
      <c r="L469" s="331"/>
      <c r="M469" s="332"/>
      <c r="N469" s="333"/>
      <c r="O469" s="333"/>
      <c r="P469" s="333"/>
      <c r="Q469" s="333"/>
      <c r="R469" s="333"/>
      <c r="S469" s="333"/>
      <c r="T469" s="334"/>
      <c r="AT469" s="329" t="s">
        <v>155</v>
      </c>
      <c r="AU469" s="329" t="s">
        <v>83</v>
      </c>
      <c r="AV469" s="326" t="s">
        <v>81</v>
      </c>
      <c r="AW469" s="326" t="s">
        <v>34</v>
      </c>
      <c r="AX469" s="326" t="s">
        <v>76</v>
      </c>
      <c r="AY469" s="329" t="s">
        <v>146</v>
      </c>
    </row>
    <row r="470" spans="2:51" s="335" customFormat="1" ht="12">
      <c r="B470" s="336"/>
      <c r="D470" s="328" t="s">
        <v>155</v>
      </c>
      <c r="E470" s="337" t="s">
        <v>1</v>
      </c>
      <c r="F470" s="338" t="s">
        <v>445</v>
      </c>
      <c r="H470" s="339">
        <f>0.5*(36.65+28.7+13.75)</f>
        <v>39.55</v>
      </c>
      <c r="I470" s="498"/>
      <c r="L470" s="340"/>
      <c r="M470" s="341"/>
      <c r="N470" s="342"/>
      <c r="O470" s="342"/>
      <c r="P470" s="342"/>
      <c r="Q470" s="342"/>
      <c r="R470" s="342"/>
      <c r="S470" s="342"/>
      <c r="T470" s="343"/>
      <c r="AT470" s="337" t="s">
        <v>155</v>
      </c>
      <c r="AU470" s="337" t="s">
        <v>83</v>
      </c>
      <c r="AV470" s="335" t="s">
        <v>83</v>
      </c>
      <c r="AW470" s="335" t="s">
        <v>34</v>
      </c>
      <c r="AX470" s="335" t="s">
        <v>81</v>
      </c>
      <c r="AY470" s="337" t="s">
        <v>146</v>
      </c>
    </row>
    <row r="471" spans="1:65" s="225" customFormat="1" ht="16.5" customHeight="1">
      <c r="A471" s="222"/>
      <c r="B471" s="223"/>
      <c r="C471" s="314">
        <v>60</v>
      </c>
      <c r="D471" s="314" t="s">
        <v>148</v>
      </c>
      <c r="E471" s="315" t="s">
        <v>447</v>
      </c>
      <c r="F471" s="316" t="s">
        <v>448</v>
      </c>
      <c r="G471" s="317" t="s">
        <v>151</v>
      </c>
      <c r="H471" s="318">
        <f>H480</f>
        <v>110.4975</v>
      </c>
      <c r="I471" s="79"/>
      <c r="J471" s="319">
        <f>ROUND(I471*H471,2)</f>
        <v>0</v>
      </c>
      <c r="K471" s="316"/>
      <c r="L471" s="229"/>
      <c r="M471" s="320" t="s">
        <v>1</v>
      </c>
      <c r="N471" s="321" t="s">
        <v>42</v>
      </c>
      <c r="O471" s="322">
        <v>0.026</v>
      </c>
      <c r="P471" s="322">
        <f>O471*H471</f>
        <v>2.872935</v>
      </c>
      <c r="Q471" s="322">
        <v>0.345</v>
      </c>
      <c r="R471" s="322">
        <f>Q471*H471</f>
        <v>38.1216375</v>
      </c>
      <c r="S471" s="322">
        <v>0</v>
      </c>
      <c r="T471" s="323">
        <f>S471*H471</f>
        <v>0</v>
      </c>
      <c r="U471" s="222"/>
      <c r="V471" s="222"/>
      <c r="W471" s="222"/>
      <c r="X471" s="222"/>
      <c r="Y471" s="222"/>
      <c r="Z471" s="222"/>
      <c r="AA471" s="222"/>
      <c r="AB471" s="222"/>
      <c r="AC471" s="222"/>
      <c r="AD471" s="222"/>
      <c r="AE471" s="222"/>
      <c r="AR471" s="324" t="s">
        <v>153</v>
      </c>
      <c r="AT471" s="324" t="s">
        <v>148</v>
      </c>
      <c r="AU471" s="324" t="s">
        <v>83</v>
      </c>
      <c r="AY471" s="214" t="s">
        <v>146</v>
      </c>
      <c r="BE471" s="325">
        <f>IF(N471="základní",J471,0)</f>
        <v>0</v>
      </c>
      <c r="BF471" s="325">
        <f>IF(N471="snížená",J471,0)</f>
        <v>0</v>
      </c>
      <c r="BG471" s="325">
        <f>IF(N471="zákl. přenesená",J471,0)</f>
        <v>0</v>
      </c>
      <c r="BH471" s="325">
        <f>IF(N471="sníž. přenesená",J471,0)</f>
        <v>0</v>
      </c>
      <c r="BI471" s="325">
        <f>IF(N471="nulová",J471,0)</f>
        <v>0</v>
      </c>
      <c r="BJ471" s="214" t="s">
        <v>81</v>
      </c>
      <c r="BK471" s="325">
        <f>ROUND(I471*H471,2)</f>
        <v>0</v>
      </c>
      <c r="BL471" s="214" t="s">
        <v>153</v>
      </c>
      <c r="BM471" s="324" t="s">
        <v>449</v>
      </c>
    </row>
    <row r="472" spans="2:51" s="326" customFormat="1" ht="12">
      <c r="B472" s="327"/>
      <c r="D472" s="328" t="s">
        <v>155</v>
      </c>
      <c r="E472" s="329" t="s">
        <v>1</v>
      </c>
      <c r="F472" s="330" t="s">
        <v>226</v>
      </c>
      <c r="H472" s="329" t="s">
        <v>1</v>
      </c>
      <c r="I472" s="497"/>
      <c r="L472" s="331"/>
      <c r="M472" s="332"/>
      <c r="N472" s="333"/>
      <c r="O472" s="333"/>
      <c r="P472" s="333"/>
      <c r="Q472" s="333"/>
      <c r="R472" s="333"/>
      <c r="S472" s="333"/>
      <c r="T472" s="334"/>
      <c r="AT472" s="329" t="s">
        <v>155</v>
      </c>
      <c r="AU472" s="329" t="s">
        <v>83</v>
      </c>
      <c r="AV472" s="326" t="s">
        <v>81</v>
      </c>
      <c r="AW472" s="326" t="s">
        <v>34</v>
      </c>
      <c r="AX472" s="326" t="s">
        <v>76</v>
      </c>
      <c r="AY472" s="329" t="s">
        <v>146</v>
      </c>
    </row>
    <row r="473" spans="2:51" s="335" customFormat="1" ht="12">
      <c r="B473" s="336"/>
      <c r="D473" s="328" t="s">
        <v>155</v>
      </c>
      <c r="E473" s="337" t="s">
        <v>1</v>
      </c>
      <c r="F473" s="338" t="s">
        <v>3321</v>
      </c>
      <c r="H473" s="339">
        <f>14.3*2</f>
        <v>28.6</v>
      </c>
      <c r="I473" s="498"/>
      <c r="L473" s="340"/>
      <c r="M473" s="341"/>
      <c r="N473" s="342"/>
      <c r="O473" s="342"/>
      <c r="P473" s="342"/>
      <c r="Q473" s="342"/>
      <c r="R473" s="342"/>
      <c r="S473" s="342"/>
      <c r="T473" s="343"/>
      <c r="AT473" s="337" t="s">
        <v>155</v>
      </c>
      <c r="AU473" s="337" t="s">
        <v>83</v>
      </c>
      <c r="AV473" s="335" t="s">
        <v>83</v>
      </c>
      <c r="AW473" s="335" t="s">
        <v>34</v>
      </c>
      <c r="AX473" s="335" t="s">
        <v>81</v>
      </c>
      <c r="AY473" s="337" t="s">
        <v>146</v>
      </c>
    </row>
    <row r="474" spans="2:51" s="326" customFormat="1" ht="12">
      <c r="B474" s="327"/>
      <c r="D474" s="328" t="s">
        <v>155</v>
      </c>
      <c r="E474" s="329" t="s">
        <v>1</v>
      </c>
      <c r="F474" s="330" t="s">
        <v>3323</v>
      </c>
      <c r="H474" s="329" t="s">
        <v>1</v>
      </c>
      <c r="I474" s="497"/>
      <c r="L474" s="331"/>
      <c r="M474" s="332"/>
      <c r="N474" s="333"/>
      <c r="O474" s="333"/>
      <c r="P474" s="333"/>
      <c r="Q474" s="333"/>
      <c r="R474" s="333"/>
      <c r="S474" s="333"/>
      <c r="T474" s="334"/>
      <c r="AT474" s="329" t="s">
        <v>155</v>
      </c>
      <c r="AU474" s="329" t="s">
        <v>83</v>
      </c>
      <c r="AV474" s="326" t="s">
        <v>81</v>
      </c>
      <c r="AW474" s="326" t="s">
        <v>34</v>
      </c>
      <c r="AX474" s="326" t="s">
        <v>76</v>
      </c>
      <c r="AY474" s="329" t="s">
        <v>146</v>
      </c>
    </row>
    <row r="475" spans="2:51" s="335" customFormat="1" ht="12">
      <c r="B475" s="336"/>
      <c r="D475" s="328" t="s">
        <v>155</v>
      </c>
      <c r="E475" s="337" t="s">
        <v>1</v>
      </c>
      <c r="F475" s="338" t="s">
        <v>3926</v>
      </c>
      <c r="H475" s="339">
        <f>6*(2.73-0.22)</f>
        <v>15.059999999999999</v>
      </c>
      <c r="I475" s="498"/>
      <c r="L475" s="340"/>
      <c r="M475" s="341"/>
      <c r="N475" s="342"/>
      <c r="O475" s="342"/>
      <c r="P475" s="342"/>
      <c r="Q475" s="342"/>
      <c r="R475" s="342"/>
      <c r="S475" s="342"/>
      <c r="T475" s="343"/>
      <c r="AT475" s="337" t="s">
        <v>155</v>
      </c>
      <c r="AU475" s="337" t="s">
        <v>83</v>
      </c>
      <c r="AV475" s="335" t="s">
        <v>83</v>
      </c>
      <c r="AW475" s="335" t="s">
        <v>34</v>
      </c>
      <c r="AX475" s="335" t="s">
        <v>81</v>
      </c>
      <c r="AY475" s="337" t="s">
        <v>146</v>
      </c>
    </row>
    <row r="476" spans="2:51" s="326" customFormat="1" ht="12">
      <c r="B476" s="327"/>
      <c r="D476" s="328" t="s">
        <v>155</v>
      </c>
      <c r="E476" s="329" t="s">
        <v>1</v>
      </c>
      <c r="F476" s="330" t="s">
        <v>3930</v>
      </c>
      <c r="H476" s="329" t="s">
        <v>1</v>
      </c>
      <c r="I476" s="497"/>
      <c r="L476" s="331"/>
      <c r="M476" s="332"/>
      <c r="N476" s="333"/>
      <c r="O476" s="333"/>
      <c r="P476" s="333"/>
      <c r="Q476" s="333"/>
      <c r="R476" s="333"/>
      <c r="S476" s="333"/>
      <c r="T476" s="334"/>
      <c r="AT476" s="329" t="s">
        <v>155</v>
      </c>
      <c r="AU476" s="329" t="s">
        <v>83</v>
      </c>
      <c r="AV476" s="326" t="s">
        <v>81</v>
      </c>
      <c r="AW476" s="326" t="s">
        <v>34</v>
      </c>
      <c r="AX476" s="326" t="s">
        <v>76</v>
      </c>
      <c r="AY476" s="329" t="s">
        <v>146</v>
      </c>
    </row>
    <row r="477" spans="2:51" s="335" customFormat="1" ht="12">
      <c r="B477" s="336"/>
      <c r="D477" s="328" t="s">
        <v>155</v>
      </c>
      <c r="E477" s="337" t="s">
        <v>1</v>
      </c>
      <c r="F477" s="338" t="s">
        <v>3929</v>
      </c>
      <c r="H477" s="339">
        <f>5.75*1.35</f>
        <v>7.7625</v>
      </c>
      <c r="I477" s="498"/>
      <c r="L477" s="340"/>
      <c r="M477" s="341"/>
      <c r="N477" s="342"/>
      <c r="O477" s="342"/>
      <c r="P477" s="342"/>
      <c r="Q477" s="342"/>
      <c r="R477" s="342"/>
      <c r="S477" s="342"/>
      <c r="T477" s="343"/>
      <c r="AT477" s="337" t="s">
        <v>155</v>
      </c>
      <c r="AU477" s="337" t="s">
        <v>83</v>
      </c>
      <c r="AV477" s="335" t="s">
        <v>83</v>
      </c>
      <c r="AW477" s="335" t="s">
        <v>34</v>
      </c>
      <c r="AX477" s="335" t="s">
        <v>76</v>
      </c>
      <c r="AY477" s="337" t="s">
        <v>146</v>
      </c>
    </row>
    <row r="478" spans="2:51" s="326" customFormat="1" ht="12">
      <c r="B478" s="327"/>
      <c r="D478" s="328" t="s">
        <v>155</v>
      </c>
      <c r="E478" s="329" t="s">
        <v>1</v>
      </c>
      <c r="F478" s="330" t="s">
        <v>3931</v>
      </c>
      <c r="H478" s="329" t="s">
        <v>1</v>
      </c>
      <c r="I478" s="497"/>
      <c r="L478" s="331"/>
      <c r="M478" s="332"/>
      <c r="N478" s="333"/>
      <c r="O478" s="333"/>
      <c r="P478" s="333"/>
      <c r="Q478" s="333"/>
      <c r="R478" s="333"/>
      <c r="S478" s="333"/>
      <c r="T478" s="334"/>
      <c r="AT478" s="329" t="s">
        <v>155</v>
      </c>
      <c r="AU478" s="329" t="s">
        <v>83</v>
      </c>
      <c r="AV478" s="326" t="s">
        <v>81</v>
      </c>
      <c r="AW478" s="326" t="s">
        <v>34</v>
      </c>
      <c r="AX478" s="326" t="s">
        <v>76</v>
      </c>
      <c r="AY478" s="329" t="s">
        <v>146</v>
      </c>
    </row>
    <row r="479" spans="2:51" s="335" customFormat="1" ht="12">
      <c r="B479" s="336"/>
      <c r="D479" s="328" t="s">
        <v>155</v>
      </c>
      <c r="E479" s="337" t="s">
        <v>1</v>
      </c>
      <c r="F479" s="338" t="s">
        <v>3932</v>
      </c>
      <c r="H479" s="339">
        <f>8.5*6.95</f>
        <v>59.075</v>
      </c>
      <c r="I479" s="498"/>
      <c r="L479" s="340"/>
      <c r="M479" s="341"/>
      <c r="N479" s="342"/>
      <c r="O479" s="342"/>
      <c r="P479" s="342"/>
      <c r="Q479" s="342"/>
      <c r="R479" s="342"/>
      <c r="S479" s="342"/>
      <c r="T479" s="343"/>
      <c r="AT479" s="337" t="s">
        <v>155</v>
      </c>
      <c r="AU479" s="337" t="s">
        <v>83</v>
      </c>
      <c r="AV479" s="335" t="s">
        <v>83</v>
      </c>
      <c r="AW479" s="335" t="s">
        <v>34</v>
      </c>
      <c r="AX479" s="335" t="s">
        <v>76</v>
      </c>
      <c r="AY479" s="337" t="s">
        <v>146</v>
      </c>
    </row>
    <row r="480" spans="2:51" s="347" customFormat="1" ht="12">
      <c r="B480" s="348"/>
      <c r="D480" s="328" t="s">
        <v>155</v>
      </c>
      <c r="E480" s="349" t="s">
        <v>1</v>
      </c>
      <c r="F480" s="356" t="s">
        <v>157</v>
      </c>
      <c r="H480" s="351">
        <f>SUM(H473:H479)</f>
        <v>110.4975</v>
      </c>
      <c r="I480" s="499"/>
      <c r="L480" s="352"/>
      <c r="M480" s="353"/>
      <c r="N480" s="354"/>
      <c r="O480" s="354"/>
      <c r="P480" s="354"/>
      <c r="Q480" s="354"/>
      <c r="R480" s="354"/>
      <c r="S480" s="354"/>
      <c r="T480" s="355"/>
      <c r="AT480" s="349" t="s">
        <v>155</v>
      </c>
      <c r="AU480" s="349" t="s">
        <v>83</v>
      </c>
      <c r="AV480" s="347" t="s">
        <v>153</v>
      </c>
      <c r="AW480" s="347" t="s">
        <v>34</v>
      </c>
      <c r="AX480" s="347" t="s">
        <v>81</v>
      </c>
      <c r="AY480" s="349" t="s">
        <v>146</v>
      </c>
    </row>
    <row r="481" spans="1:65" s="225" customFormat="1" ht="16.5" customHeight="1">
      <c r="A481" s="222"/>
      <c r="B481" s="223"/>
      <c r="C481" s="314">
        <v>61</v>
      </c>
      <c r="D481" s="314" t="s">
        <v>148</v>
      </c>
      <c r="E481" s="315" t="s">
        <v>451</v>
      </c>
      <c r="F481" s="316" t="s">
        <v>452</v>
      </c>
      <c r="G481" s="317" t="s">
        <v>151</v>
      </c>
      <c r="H481" s="318">
        <f>H486</f>
        <v>115.19</v>
      </c>
      <c r="I481" s="79"/>
      <c r="J481" s="319">
        <f>ROUND(I481*H481,2)</f>
        <v>0</v>
      </c>
      <c r="K481" s="316"/>
      <c r="L481" s="229"/>
      <c r="M481" s="320" t="s">
        <v>1</v>
      </c>
      <c r="N481" s="321" t="s">
        <v>42</v>
      </c>
      <c r="O481" s="322">
        <v>0.031</v>
      </c>
      <c r="P481" s="322">
        <f>O481*H481</f>
        <v>3.57089</v>
      </c>
      <c r="Q481" s="322">
        <v>0.575</v>
      </c>
      <c r="R481" s="322">
        <f>Q481*H481</f>
        <v>66.23424999999999</v>
      </c>
      <c r="S481" s="322">
        <v>0</v>
      </c>
      <c r="T481" s="323">
        <f>S481*H481</f>
        <v>0</v>
      </c>
      <c r="U481" s="222"/>
      <c r="V481" s="222"/>
      <c r="W481" s="222"/>
      <c r="X481" s="222"/>
      <c r="Y481" s="222"/>
      <c r="Z481" s="222"/>
      <c r="AA481" s="222"/>
      <c r="AB481" s="222"/>
      <c r="AC481" s="222"/>
      <c r="AD481" s="222"/>
      <c r="AE481" s="222"/>
      <c r="AR481" s="324" t="s">
        <v>153</v>
      </c>
      <c r="AT481" s="324" t="s">
        <v>148</v>
      </c>
      <c r="AU481" s="324" t="s">
        <v>83</v>
      </c>
      <c r="AY481" s="214" t="s">
        <v>146</v>
      </c>
      <c r="BE481" s="325">
        <f>IF(N481="základní",J481,0)</f>
        <v>0</v>
      </c>
      <c r="BF481" s="325">
        <f>IF(N481="snížená",J481,0)</f>
        <v>0</v>
      </c>
      <c r="BG481" s="325">
        <f>IF(N481="zákl. přenesená",J481,0)</f>
        <v>0</v>
      </c>
      <c r="BH481" s="325">
        <f>IF(N481="sníž. přenesená",J481,0)</f>
        <v>0</v>
      </c>
      <c r="BI481" s="325">
        <f>IF(N481="nulová",J481,0)</f>
        <v>0</v>
      </c>
      <c r="BJ481" s="214" t="s">
        <v>81</v>
      </c>
      <c r="BK481" s="325">
        <f>ROUND(I481*H481,2)</f>
        <v>0</v>
      </c>
      <c r="BL481" s="214" t="s">
        <v>153</v>
      </c>
      <c r="BM481" s="324" t="s">
        <v>453</v>
      </c>
    </row>
    <row r="482" spans="2:51" s="326" customFormat="1" ht="12">
      <c r="B482" s="327"/>
      <c r="D482" s="328" t="s">
        <v>155</v>
      </c>
      <c r="E482" s="329" t="s">
        <v>1</v>
      </c>
      <c r="F482" s="330" t="s">
        <v>3320</v>
      </c>
      <c r="H482" s="329" t="s">
        <v>1</v>
      </c>
      <c r="I482" s="497"/>
      <c r="L482" s="331"/>
      <c r="M482" s="332"/>
      <c r="N482" s="333"/>
      <c r="O482" s="333"/>
      <c r="P482" s="333"/>
      <c r="Q482" s="333"/>
      <c r="R482" s="333"/>
      <c r="S482" s="333"/>
      <c r="T482" s="334"/>
      <c r="AT482" s="329" t="s">
        <v>155</v>
      </c>
      <c r="AU482" s="329" t="s">
        <v>83</v>
      </c>
      <c r="AV482" s="326" t="s">
        <v>81</v>
      </c>
      <c r="AW482" s="326" t="s">
        <v>34</v>
      </c>
      <c r="AX482" s="326" t="s">
        <v>76</v>
      </c>
      <c r="AY482" s="329" t="s">
        <v>146</v>
      </c>
    </row>
    <row r="483" spans="2:51" s="335" customFormat="1" ht="12">
      <c r="B483" s="336"/>
      <c r="D483" s="328" t="s">
        <v>155</v>
      </c>
      <c r="E483" s="337" t="s">
        <v>1</v>
      </c>
      <c r="F483" s="338" t="s">
        <v>2639</v>
      </c>
      <c r="H483" s="339">
        <f>6.35*(2.5*3+2.75*2)</f>
        <v>82.55</v>
      </c>
      <c r="I483" s="498"/>
      <c r="L483" s="340"/>
      <c r="M483" s="341"/>
      <c r="N483" s="342"/>
      <c r="O483" s="342"/>
      <c r="P483" s="342"/>
      <c r="Q483" s="342"/>
      <c r="R483" s="342"/>
      <c r="S483" s="342"/>
      <c r="T483" s="343"/>
      <c r="AT483" s="337" t="s">
        <v>155</v>
      </c>
      <c r="AU483" s="337" t="s">
        <v>83</v>
      </c>
      <c r="AV483" s="335" t="s">
        <v>83</v>
      </c>
      <c r="AW483" s="335" t="s">
        <v>34</v>
      </c>
      <c r="AX483" s="335" t="s">
        <v>76</v>
      </c>
      <c r="AY483" s="337" t="s">
        <v>146</v>
      </c>
    </row>
    <row r="484" spans="2:51" s="326" customFormat="1" ht="22.5">
      <c r="B484" s="327"/>
      <c r="D484" s="328" t="s">
        <v>155</v>
      </c>
      <c r="E484" s="329" t="s">
        <v>1</v>
      </c>
      <c r="F484" s="330" t="s">
        <v>3319</v>
      </c>
      <c r="H484" s="329" t="s">
        <v>1</v>
      </c>
      <c r="I484" s="497"/>
      <c r="L484" s="331"/>
      <c r="M484" s="332"/>
      <c r="N484" s="333"/>
      <c r="O484" s="333"/>
      <c r="P484" s="333"/>
      <c r="Q484" s="333"/>
      <c r="R484" s="333"/>
      <c r="S484" s="333"/>
      <c r="T484" s="334"/>
      <c r="AT484" s="329" t="s">
        <v>155</v>
      </c>
      <c r="AU484" s="329" t="s">
        <v>83</v>
      </c>
      <c r="AV484" s="326" t="s">
        <v>81</v>
      </c>
      <c r="AW484" s="326" t="s">
        <v>34</v>
      </c>
      <c r="AX484" s="326" t="s">
        <v>76</v>
      </c>
      <c r="AY484" s="329" t="s">
        <v>146</v>
      </c>
    </row>
    <row r="485" spans="2:51" s="335" customFormat="1" ht="12">
      <c r="B485" s="336"/>
      <c r="D485" s="328" t="s">
        <v>155</v>
      </c>
      <c r="E485" s="337" t="s">
        <v>1</v>
      </c>
      <c r="F485" s="338" t="s">
        <v>3322</v>
      </c>
      <c r="H485" s="339">
        <f>(22.95-2+14.15-2.46)*1</f>
        <v>32.64</v>
      </c>
      <c r="I485" s="498"/>
      <c r="L485" s="340"/>
      <c r="M485" s="341"/>
      <c r="N485" s="342"/>
      <c r="O485" s="342"/>
      <c r="P485" s="342"/>
      <c r="Q485" s="342"/>
      <c r="R485" s="342"/>
      <c r="S485" s="342"/>
      <c r="T485" s="343"/>
      <c r="AT485" s="337" t="s">
        <v>155</v>
      </c>
      <c r="AU485" s="337" t="s">
        <v>83</v>
      </c>
      <c r="AV485" s="335" t="s">
        <v>83</v>
      </c>
      <c r="AW485" s="335" t="s">
        <v>34</v>
      </c>
      <c r="AX485" s="335" t="s">
        <v>76</v>
      </c>
      <c r="AY485" s="337" t="s">
        <v>146</v>
      </c>
    </row>
    <row r="486" spans="2:51" s="347" customFormat="1" ht="12">
      <c r="B486" s="348"/>
      <c r="D486" s="328" t="s">
        <v>155</v>
      </c>
      <c r="E486" s="349" t="s">
        <v>1</v>
      </c>
      <c r="F486" s="356" t="s">
        <v>157</v>
      </c>
      <c r="H486" s="351">
        <f>SUM(H483:H485)</f>
        <v>115.19</v>
      </c>
      <c r="I486" s="499"/>
      <c r="L486" s="352"/>
      <c r="M486" s="353"/>
      <c r="N486" s="354"/>
      <c r="O486" s="354"/>
      <c r="P486" s="354"/>
      <c r="Q486" s="354"/>
      <c r="R486" s="354"/>
      <c r="S486" s="354"/>
      <c r="T486" s="355"/>
      <c r="AT486" s="349" t="s">
        <v>155</v>
      </c>
      <c r="AU486" s="349" t="s">
        <v>83</v>
      </c>
      <c r="AV486" s="347" t="s">
        <v>153</v>
      </c>
      <c r="AW486" s="347" t="s">
        <v>34</v>
      </c>
      <c r="AX486" s="347" t="s">
        <v>81</v>
      </c>
      <c r="AY486" s="349" t="s">
        <v>146</v>
      </c>
    </row>
    <row r="487" spans="1:65" s="225" customFormat="1" ht="24.2" customHeight="1">
      <c r="A487" s="222"/>
      <c r="B487" s="223"/>
      <c r="C487" s="314">
        <v>64</v>
      </c>
      <c r="D487" s="314" t="s">
        <v>148</v>
      </c>
      <c r="E487" s="315" t="s">
        <v>460</v>
      </c>
      <c r="F487" s="316" t="s">
        <v>461</v>
      </c>
      <c r="G487" s="317" t="s">
        <v>151</v>
      </c>
      <c r="H487" s="318">
        <f>H492</f>
        <v>115.19</v>
      </c>
      <c r="I487" s="79"/>
      <c r="J487" s="319">
        <f>ROUND(I487*H487,2)</f>
        <v>0</v>
      </c>
      <c r="K487" s="316"/>
      <c r="L487" s="229"/>
      <c r="M487" s="320" t="s">
        <v>1</v>
      </c>
      <c r="N487" s="321" t="s">
        <v>42</v>
      </c>
      <c r="O487" s="322">
        <v>0.027</v>
      </c>
      <c r="P487" s="322">
        <f>O487*H487</f>
        <v>3.11013</v>
      </c>
      <c r="Q487" s="322">
        <v>0.38314</v>
      </c>
      <c r="R487" s="322">
        <f>Q487*H487</f>
        <v>44.1338966</v>
      </c>
      <c r="S487" s="322">
        <v>0</v>
      </c>
      <c r="T487" s="323">
        <f>S487*H487</f>
        <v>0</v>
      </c>
      <c r="U487" s="222"/>
      <c r="V487" s="222"/>
      <c r="W487" s="222"/>
      <c r="X487" s="222"/>
      <c r="Y487" s="222"/>
      <c r="Z487" s="222"/>
      <c r="AA487" s="222"/>
      <c r="AB487" s="222"/>
      <c r="AC487" s="222"/>
      <c r="AD487" s="222"/>
      <c r="AE487" s="222"/>
      <c r="AR487" s="324" t="s">
        <v>153</v>
      </c>
      <c r="AT487" s="324" t="s">
        <v>148</v>
      </c>
      <c r="AU487" s="324" t="s">
        <v>83</v>
      </c>
      <c r="AY487" s="214" t="s">
        <v>146</v>
      </c>
      <c r="BE487" s="325">
        <f>IF(N487="základní",J487,0)</f>
        <v>0</v>
      </c>
      <c r="BF487" s="325">
        <f>IF(N487="snížená",J487,0)</f>
        <v>0</v>
      </c>
      <c r="BG487" s="325">
        <f>IF(N487="zákl. přenesená",J487,0)</f>
        <v>0</v>
      </c>
      <c r="BH487" s="325">
        <f>IF(N487="sníž. přenesená",J487,0)</f>
        <v>0</v>
      </c>
      <c r="BI487" s="325">
        <f>IF(N487="nulová",J487,0)</f>
        <v>0</v>
      </c>
      <c r="BJ487" s="214" t="s">
        <v>81</v>
      </c>
      <c r="BK487" s="325">
        <f>ROUND(I487*H487,2)</f>
        <v>0</v>
      </c>
      <c r="BL487" s="214" t="s">
        <v>153</v>
      </c>
      <c r="BM487" s="324" t="s">
        <v>462</v>
      </c>
    </row>
    <row r="488" spans="2:51" s="326" customFormat="1" ht="12">
      <c r="B488" s="327"/>
      <c r="D488" s="328" t="s">
        <v>155</v>
      </c>
      <c r="E488" s="329" t="s">
        <v>1</v>
      </c>
      <c r="F488" s="330" t="s">
        <v>454</v>
      </c>
      <c r="H488" s="329" t="s">
        <v>1</v>
      </c>
      <c r="I488" s="497"/>
      <c r="L488" s="331"/>
      <c r="M488" s="332"/>
      <c r="N488" s="333"/>
      <c r="O488" s="333"/>
      <c r="P488" s="333"/>
      <c r="Q488" s="333"/>
      <c r="R488" s="333"/>
      <c r="S488" s="333"/>
      <c r="T488" s="334"/>
      <c r="AT488" s="329" t="s">
        <v>155</v>
      </c>
      <c r="AU488" s="329" t="s">
        <v>83</v>
      </c>
      <c r="AV488" s="326" t="s">
        <v>81</v>
      </c>
      <c r="AW488" s="326" t="s">
        <v>34</v>
      </c>
      <c r="AX488" s="326" t="s">
        <v>76</v>
      </c>
      <c r="AY488" s="329" t="s">
        <v>146</v>
      </c>
    </row>
    <row r="489" spans="2:51" s="335" customFormat="1" ht="12">
      <c r="B489" s="336"/>
      <c r="D489" s="328" t="s">
        <v>155</v>
      </c>
      <c r="E489" s="337" t="s">
        <v>1</v>
      </c>
      <c r="F489" s="338" t="s">
        <v>2639</v>
      </c>
      <c r="H489" s="339">
        <f>6.35*(2.5*3+2.75*2)</f>
        <v>82.55</v>
      </c>
      <c r="I489" s="498"/>
      <c r="L489" s="340"/>
      <c r="M489" s="341"/>
      <c r="N489" s="342"/>
      <c r="O489" s="342"/>
      <c r="P489" s="342"/>
      <c r="Q489" s="342"/>
      <c r="R489" s="342"/>
      <c r="S489" s="342"/>
      <c r="T489" s="343"/>
      <c r="AT489" s="337" t="s">
        <v>155</v>
      </c>
      <c r="AU489" s="337" t="s">
        <v>83</v>
      </c>
      <c r="AV489" s="335" t="s">
        <v>83</v>
      </c>
      <c r="AW489" s="335" t="s">
        <v>34</v>
      </c>
      <c r="AX489" s="335" t="s">
        <v>76</v>
      </c>
      <c r="AY489" s="337" t="s">
        <v>146</v>
      </c>
    </row>
    <row r="490" spans="2:51" s="326" customFormat="1" ht="22.5">
      <c r="B490" s="327"/>
      <c r="D490" s="328" t="s">
        <v>155</v>
      </c>
      <c r="E490" s="329" t="s">
        <v>1</v>
      </c>
      <c r="F490" s="330" t="s">
        <v>2771</v>
      </c>
      <c r="H490" s="329" t="s">
        <v>1</v>
      </c>
      <c r="I490" s="497"/>
      <c r="L490" s="331"/>
      <c r="M490" s="332"/>
      <c r="N490" s="333"/>
      <c r="O490" s="333"/>
      <c r="P490" s="333"/>
      <c r="Q490" s="333"/>
      <c r="R490" s="333"/>
      <c r="S490" s="333"/>
      <c r="T490" s="334"/>
      <c r="AT490" s="329" t="s">
        <v>155</v>
      </c>
      <c r="AU490" s="329" t="s">
        <v>83</v>
      </c>
      <c r="AV490" s="326" t="s">
        <v>81</v>
      </c>
      <c r="AW490" s="326" t="s">
        <v>34</v>
      </c>
      <c r="AX490" s="326" t="s">
        <v>76</v>
      </c>
      <c r="AY490" s="329" t="s">
        <v>146</v>
      </c>
    </row>
    <row r="491" spans="2:51" s="335" customFormat="1" ht="12">
      <c r="B491" s="336"/>
      <c r="D491" s="328" t="s">
        <v>155</v>
      </c>
      <c r="E491" s="337" t="s">
        <v>1</v>
      </c>
      <c r="F491" s="338" t="s">
        <v>3322</v>
      </c>
      <c r="H491" s="339">
        <f>(22.95-2+14.15-2.46)*1</f>
        <v>32.64</v>
      </c>
      <c r="I491" s="498"/>
      <c r="L491" s="340"/>
      <c r="M491" s="341"/>
      <c r="N491" s="342"/>
      <c r="O491" s="342"/>
      <c r="P491" s="342"/>
      <c r="Q491" s="342"/>
      <c r="R491" s="342"/>
      <c r="S491" s="342"/>
      <c r="T491" s="343"/>
      <c r="AT491" s="337" t="s">
        <v>155</v>
      </c>
      <c r="AU491" s="337" t="s">
        <v>83</v>
      </c>
      <c r="AV491" s="335" t="s">
        <v>83</v>
      </c>
      <c r="AW491" s="335" t="s">
        <v>34</v>
      </c>
      <c r="AX491" s="335" t="s">
        <v>76</v>
      </c>
      <c r="AY491" s="337" t="s">
        <v>146</v>
      </c>
    </row>
    <row r="492" spans="2:51" s="347" customFormat="1" ht="12">
      <c r="B492" s="348"/>
      <c r="D492" s="328" t="s">
        <v>155</v>
      </c>
      <c r="E492" s="349" t="s">
        <v>1</v>
      </c>
      <c r="F492" s="356" t="s">
        <v>157</v>
      </c>
      <c r="H492" s="351">
        <f>SUM(H489:H491)</f>
        <v>115.19</v>
      </c>
      <c r="I492" s="499"/>
      <c r="L492" s="352"/>
      <c r="M492" s="353"/>
      <c r="N492" s="354"/>
      <c r="O492" s="354"/>
      <c r="P492" s="354"/>
      <c r="Q492" s="354"/>
      <c r="R492" s="354"/>
      <c r="S492" s="354"/>
      <c r="T492" s="355"/>
      <c r="AT492" s="349" t="s">
        <v>155</v>
      </c>
      <c r="AU492" s="349" t="s">
        <v>83</v>
      </c>
      <c r="AV492" s="347" t="s">
        <v>153</v>
      </c>
      <c r="AW492" s="347" t="s">
        <v>34</v>
      </c>
      <c r="AX492" s="347" t="s">
        <v>81</v>
      </c>
      <c r="AY492" s="349" t="s">
        <v>146</v>
      </c>
    </row>
    <row r="493" spans="1:65" s="225" customFormat="1" ht="24.2" customHeight="1">
      <c r="A493" s="222"/>
      <c r="B493" s="223"/>
      <c r="C493" s="314">
        <v>65</v>
      </c>
      <c r="D493" s="314" t="s">
        <v>148</v>
      </c>
      <c r="E493" s="315" t="s">
        <v>464</v>
      </c>
      <c r="F493" s="316" t="s">
        <v>465</v>
      </c>
      <c r="G493" s="317" t="s">
        <v>151</v>
      </c>
      <c r="H493" s="318">
        <v>1.451</v>
      </c>
      <c r="I493" s="79"/>
      <c r="J493" s="319">
        <f>ROUND(I493*H493,2)</f>
        <v>0</v>
      </c>
      <c r="K493" s="316"/>
      <c r="L493" s="229"/>
      <c r="M493" s="320" t="s">
        <v>1</v>
      </c>
      <c r="N493" s="321" t="s">
        <v>42</v>
      </c>
      <c r="O493" s="322">
        <v>0.047</v>
      </c>
      <c r="P493" s="322">
        <f>O493*H493</f>
        <v>0.06819700000000001</v>
      </c>
      <c r="Q493" s="322">
        <v>0.612</v>
      </c>
      <c r="R493" s="322">
        <f>Q493*H493</f>
        <v>0.888012</v>
      </c>
      <c r="S493" s="322">
        <v>0</v>
      </c>
      <c r="T493" s="323">
        <f>S493*H493</f>
        <v>0</v>
      </c>
      <c r="U493" s="222"/>
      <c r="V493" s="222"/>
      <c r="W493" s="222"/>
      <c r="X493" s="222"/>
      <c r="Y493" s="222"/>
      <c r="Z493" s="222"/>
      <c r="AA493" s="222"/>
      <c r="AB493" s="222"/>
      <c r="AC493" s="222"/>
      <c r="AD493" s="222"/>
      <c r="AE493" s="222"/>
      <c r="AR493" s="324" t="s">
        <v>153</v>
      </c>
      <c r="AT493" s="324" t="s">
        <v>148</v>
      </c>
      <c r="AU493" s="324" t="s">
        <v>83</v>
      </c>
      <c r="AY493" s="214" t="s">
        <v>146</v>
      </c>
      <c r="BE493" s="325">
        <f>IF(N493="základní",J493,0)</f>
        <v>0</v>
      </c>
      <c r="BF493" s="325">
        <f>IF(N493="snížená",J493,0)</f>
        <v>0</v>
      </c>
      <c r="BG493" s="325">
        <f>IF(N493="zákl. přenesená",J493,0)</f>
        <v>0</v>
      </c>
      <c r="BH493" s="325">
        <f>IF(N493="sníž. přenesená",J493,0)</f>
        <v>0</v>
      </c>
      <c r="BI493" s="325">
        <f>IF(N493="nulová",J493,0)</f>
        <v>0</v>
      </c>
      <c r="BJ493" s="214" t="s">
        <v>81</v>
      </c>
      <c r="BK493" s="325">
        <f>ROUND(I493*H493,2)</f>
        <v>0</v>
      </c>
      <c r="BL493" s="214" t="s">
        <v>153</v>
      </c>
      <c r="BM493" s="324" t="s">
        <v>466</v>
      </c>
    </row>
    <row r="494" spans="2:51" s="326" customFormat="1" ht="12">
      <c r="B494" s="327"/>
      <c r="D494" s="328" t="s">
        <v>155</v>
      </c>
      <c r="E494" s="329" t="s">
        <v>1</v>
      </c>
      <c r="F494" s="330" t="s">
        <v>467</v>
      </c>
      <c r="H494" s="329" t="s">
        <v>1</v>
      </c>
      <c r="I494" s="497"/>
      <c r="L494" s="331"/>
      <c r="M494" s="332"/>
      <c r="N494" s="333"/>
      <c r="O494" s="333"/>
      <c r="P494" s="333"/>
      <c r="Q494" s="333"/>
      <c r="R494" s="333"/>
      <c r="S494" s="333"/>
      <c r="T494" s="334"/>
      <c r="AT494" s="329" t="s">
        <v>155</v>
      </c>
      <c r="AU494" s="329" t="s">
        <v>83</v>
      </c>
      <c r="AV494" s="326" t="s">
        <v>81</v>
      </c>
      <c r="AW494" s="326" t="s">
        <v>34</v>
      </c>
      <c r="AX494" s="326" t="s">
        <v>76</v>
      </c>
      <c r="AY494" s="329" t="s">
        <v>146</v>
      </c>
    </row>
    <row r="495" spans="2:51" s="335" customFormat="1" ht="12">
      <c r="B495" s="336"/>
      <c r="D495" s="328" t="s">
        <v>155</v>
      </c>
      <c r="E495" s="337" t="s">
        <v>1</v>
      </c>
      <c r="F495" s="338" t="s">
        <v>468</v>
      </c>
      <c r="H495" s="339">
        <v>1.451</v>
      </c>
      <c r="I495" s="498"/>
      <c r="L495" s="340"/>
      <c r="M495" s="341"/>
      <c r="N495" s="342"/>
      <c r="O495" s="342"/>
      <c r="P495" s="342"/>
      <c r="Q495" s="342"/>
      <c r="R495" s="342"/>
      <c r="S495" s="342"/>
      <c r="T495" s="343"/>
      <c r="AT495" s="337" t="s">
        <v>155</v>
      </c>
      <c r="AU495" s="337" t="s">
        <v>83</v>
      </c>
      <c r="AV495" s="335" t="s">
        <v>83</v>
      </c>
      <c r="AW495" s="335" t="s">
        <v>34</v>
      </c>
      <c r="AX495" s="335" t="s">
        <v>81</v>
      </c>
      <c r="AY495" s="337" t="s">
        <v>146</v>
      </c>
    </row>
    <row r="496" spans="1:65" s="225" customFormat="1" ht="21.75" customHeight="1">
      <c r="A496" s="222"/>
      <c r="B496" s="223"/>
      <c r="C496" s="314">
        <v>66</v>
      </c>
      <c r="D496" s="314" t="s">
        <v>148</v>
      </c>
      <c r="E496" s="315" t="s">
        <v>470</v>
      </c>
      <c r="F496" s="316" t="s">
        <v>471</v>
      </c>
      <c r="G496" s="317" t="s">
        <v>151</v>
      </c>
      <c r="H496" s="318">
        <f>H501</f>
        <v>115.19</v>
      </c>
      <c r="I496" s="79"/>
      <c r="J496" s="319">
        <f>ROUND(I496*H496,2)</f>
        <v>0</v>
      </c>
      <c r="K496" s="316"/>
      <c r="L496" s="229"/>
      <c r="M496" s="320" t="s">
        <v>1</v>
      </c>
      <c r="N496" s="321" t="s">
        <v>42</v>
      </c>
      <c r="O496" s="322">
        <v>0.336</v>
      </c>
      <c r="P496" s="322">
        <f>O496*H496</f>
        <v>38.70384</v>
      </c>
      <c r="Q496" s="322">
        <v>0.29902</v>
      </c>
      <c r="R496" s="322">
        <f>Q496*H496</f>
        <v>34.444113800000004</v>
      </c>
      <c r="S496" s="322">
        <v>0</v>
      </c>
      <c r="T496" s="323">
        <f>S496*H496</f>
        <v>0</v>
      </c>
      <c r="U496" s="222"/>
      <c r="V496" s="222"/>
      <c r="W496" s="222"/>
      <c r="X496" s="222"/>
      <c r="Y496" s="222"/>
      <c r="Z496" s="222"/>
      <c r="AA496" s="222"/>
      <c r="AB496" s="222"/>
      <c r="AC496" s="222"/>
      <c r="AD496" s="222"/>
      <c r="AE496" s="222"/>
      <c r="AR496" s="324" t="s">
        <v>153</v>
      </c>
      <c r="AT496" s="324" t="s">
        <v>148</v>
      </c>
      <c r="AU496" s="324" t="s">
        <v>83</v>
      </c>
      <c r="AY496" s="214" t="s">
        <v>146</v>
      </c>
      <c r="BE496" s="325">
        <f>IF(N496="základní",J496,0)</f>
        <v>0</v>
      </c>
      <c r="BF496" s="325">
        <f>IF(N496="snížená",J496,0)</f>
        <v>0</v>
      </c>
      <c r="BG496" s="325">
        <f>IF(N496="zákl. přenesená",J496,0)</f>
        <v>0</v>
      </c>
      <c r="BH496" s="325">
        <f>IF(N496="sníž. přenesená",J496,0)</f>
        <v>0</v>
      </c>
      <c r="BI496" s="325">
        <f>IF(N496="nulová",J496,0)</f>
        <v>0</v>
      </c>
      <c r="BJ496" s="214" t="s">
        <v>81</v>
      </c>
      <c r="BK496" s="325">
        <f>ROUND(I496*H496,2)</f>
        <v>0</v>
      </c>
      <c r="BL496" s="214" t="s">
        <v>153</v>
      </c>
      <c r="BM496" s="324" t="s">
        <v>472</v>
      </c>
    </row>
    <row r="497" spans="2:51" s="326" customFormat="1" ht="12">
      <c r="B497" s="327"/>
      <c r="D497" s="328" t="s">
        <v>155</v>
      </c>
      <c r="E497" s="329" t="s">
        <v>1</v>
      </c>
      <c r="F497" s="330" t="s">
        <v>454</v>
      </c>
      <c r="H497" s="329" t="s">
        <v>1</v>
      </c>
      <c r="I497" s="497"/>
      <c r="L497" s="331"/>
      <c r="M497" s="332"/>
      <c r="N497" s="333"/>
      <c r="O497" s="333"/>
      <c r="P497" s="333"/>
      <c r="Q497" s="333"/>
      <c r="R497" s="333"/>
      <c r="S497" s="333"/>
      <c r="T497" s="334"/>
      <c r="AT497" s="329" t="s">
        <v>155</v>
      </c>
      <c r="AU497" s="329" t="s">
        <v>83</v>
      </c>
      <c r="AV497" s="326" t="s">
        <v>81</v>
      </c>
      <c r="AW497" s="326" t="s">
        <v>34</v>
      </c>
      <c r="AX497" s="326" t="s">
        <v>76</v>
      </c>
      <c r="AY497" s="329" t="s">
        <v>146</v>
      </c>
    </row>
    <row r="498" spans="2:51" s="335" customFormat="1" ht="12">
      <c r="B498" s="336"/>
      <c r="D498" s="328" t="s">
        <v>155</v>
      </c>
      <c r="E498" s="337" t="s">
        <v>1</v>
      </c>
      <c r="F498" s="338" t="s">
        <v>2639</v>
      </c>
      <c r="H498" s="339">
        <f>6.35*(2.5*3+2.75*2)</f>
        <v>82.55</v>
      </c>
      <c r="I498" s="498"/>
      <c r="L498" s="340"/>
      <c r="M498" s="341"/>
      <c r="N498" s="342"/>
      <c r="O498" s="342"/>
      <c r="P498" s="342"/>
      <c r="Q498" s="342"/>
      <c r="R498" s="342"/>
      <c r="S498" s="342"/>
      <c r="T498" s="343"/>
      <c r="AT498" s="337" t="s">
        <v>155</v>
      </c>
      <c r="AU498" s="337" t="s">
        <v>83</v>
      </c>
      <c r="AV498" s="335" t="s">
        <v>83</v>
      </c>
      <c r="AW498" s="335" t="s">
        <v>34</v>
      </c>
      <c r="AX498" s="335" t="s">
        <v>76</v>
      </c>
      <c r="AY498" s="337" t="s">
        <v>146</v>
      </c>
    </row>
    <row r="499" spans="2:51" s="326" customFormat="1" ht="22.5">
      <c r="B499" s="327"/>
      <c r="D499" s="328" t="s">
        <v>155</v>
      </c>
      <c r="E499" s="329" t="s">
        <v>1</v>
      </c>
      <c r="F499" s="330" t="s">
        <v>2771</v>
      </c>
      <c r="H499" s="329" t="s">
        <v>1</v>
      </c>
      <c r="I499" s="497"/>
      <c r="L499" s="331"/>
      <c r="M499" s="332"/>
      <c r="N499" s="333"/>
      <c r="O499" s="333"/>
      <c r="P499" s="333"/>
      <c r="Q499" s="333"/>
      <c r="R499" s="333"/>
      <c r="S499" s="333"/>
      <c r="T499" s="334"/>
      <c r="AT499" s="329" t="s">
        <v>155</v>
      </c>
      <c r="AU499" s="329" t="s">
        <v>83</v>
      </c>
      <c r="AV499" s="326" t="s">
        <v>81</v>
      </c>
      <c r="AW499" s="326" t="s">
        <v>34</v>
      </c>
      <c r="AX499" s="326" t="s">
        <v>76</v>
      </c>
      <c r="AY499" s="329" t="s">
        <v>146</v>
      </c>
    </row>
    <row r="500" spans="2:51" s="335" customFormat="1" ht="12">
      <c r="B500" s="336"/>
      <c r="D500" s="328" t="s">
        <v>155</v>
      </c>
      <c r="E500" s="337" t="s">
        <v>1</v>
      </c>
      <c r="F500" s="338" t="s">
        <v>3322</v>
      </c>
      <c r="H500" s="339">
        <f>(22.95-2+14.15-2.46)*1</f>
        <v>32.64</v>
      </c>
      <c r="I500" s="498"/>
      <c r="L500" s="340"/>
      <c r="M500" s="341"/>
      <c r="N500" s="342"/>
      <c r="O500" s="342"/>
      <c r="P500" s="342"/>
      <c r="Q500" s="342"/>
      <c r="R500" s="342"/>
      <c r="S500" s="342"/>
      <c r="T500" s="343"/>
      <c r="AT500" s="337" t="s">
        <v>155</v>
      </c>
      <c r="AU500" s="337" t="s">
        <v>83</v>
      </c>
      <c r="AV500" s="335" t="s">
        <v>83</v>
      </c>
      <c r="AW500" s="335" t="s">
        <v>34</v>
      </c>
      <c r="AX500" s="335" t="s">
        <v>76</v>
      </c>
      <c r="AY500" s="337" t="s">
        <v>146</v>
      </c>
    </row>
    <row r="501" spans="2:51" s="347" customFormat="1" ht="12">
      <c r="B501" s="348"/>
      <c r="D501" s="328" t="s">
        <v>155</v>
      </c>
      <c r="E501" s="349" t="s">
        <v>1</v>
      </c>
      <c r="F501" s="356" t="s">
        <v>157</v>
      </c>
      <c r="H501" s="351">
        <f>SUM(H498:H500)</f>
        <v>115.19</v>
      </c>
      <c r="I501" s="499"/>
      <c r="L501" s="352"/>
      <c r="M501" s="353"/>
      <c r="N501" s="354"/>
      <c r="O501" s="354"/>
      <c r="P501" s="354"/>
      <c r="Q501" s="354"/>
      <c r="R501" s="354"/>
      <c r="S501" s="354"/>
      <c r="T501" s="355"/>
      <c r="AT501" s="349" t="s">
        <v>155</v>
      </c>
      <c r="AU501" s="349" t="s">
        <v>83</v>
      </c>
      <c r="AV501" s="347" t="s">
        <v>153</v>
      </c>
      <c r="AW501" s="347" t="s">
        <v>34</v>
      </c>
      <c r="AX501" s="347" t="s">
        <v>81</v>
      </c>
      <c r="AY501" s="349" t="s">
        <v>146</v>
      </c>
    </row>
    <row r="502" spans="1:65" s="225" customFormat="1" ht="21.75" customHeight="1">
      <c r="A502" s="222"/>
      <c r="B502" s="223"/>
      <c r="C502" s="314">
        <v>67</v>
      </c>
      <c r="D502" s="314" t="s">
        <v>148</v>
      </c>
      <c r="E502" s="315" t="s">
        <v>475</v>
      </c>
      <c r="F502" s="316" t="s">
        <v>476</v>
      </c>
      <c r="G502" s="317" t="s">
        <v>151</v>
      </c>
      <c r="H502" s="318">
        <f>H511</f>
        <v>110.4975</v>
      </c>
      <c r="I502" s="79"/>
      <c r="J502" s="319">
        <f>ROUND(I502*H502,2)</f>
        <v>0</v>
      </c>
      <c r="K502" s="316"/>
      <c r="L502" s="229"/>
      <c r="M502" s="320" t="s">
        <v>1</v>
      </c>
      <c r="N502" s="321" t="s">
        <v>42</v>
      </c>
      <c r="O502" s="322">
        <v>0.518</v>
      </c>
      <c r="P502" s="322">
        <f>O502*H502</f>
        <v>57.237705000000005</v>
      </c>
      <c r="Q502" s="322">
        <v>0.62275</v>
      </c>
      <c r="R502" s="322">
        <f>Q502*H502</f>
        <v>68.812318125</v>
      </c>
      <c r="S502" s="322">
        <v>0</v>
      </c>
      <c r="T502" s="323">
        <f>S502*H502</f>
        <v>0</v>
      </c>
      <c r="U502" s="222"/>
      <c r="V502" s="222"/>
      <c r="W502" s="222"/>
      <c r="X502" s="222"/>
      <c r="Y502" s="222"/>
      <c r="Z502" s="222"/>
      <c r="AA502" s="222"/>
      <c r="AB502" s="222"/>
      <c r="AC502" s="222"/>
      <c r="AD502" s="222"/>
      <c r="AE502" s="222"/>
      <c r="AR502" s="324" t="s">
        <v>153</v>
      </c>
      <c r="AT502" s="324" t="s">
        <v>148</v>
      </c>
      <c r="AU502" s="324" t="s">
        <v>83</v>
      </c>
      <c r="AY502" s="214" t="s">
        <v>146</v>
      </c>
      <c r="BE502" s="325">
        <f>IF(N502="základní",J502,0)</f>
        <v>0</v>
      </c>
      <c r="BF502" s="325">
        <f>IF(N502="snížená",J502,0)</f>
        <v>0</v>
      </c>
      <c r="BG502" s="325">
        <f>IF(N502="zákl. přenesená",J502,0)</f>
        <v>0</v>
      </c>
      <c r="BH502" s="325">
        <f>IF(N502="sníž. přenesená",J502,0)</f>
        <v>0</v>
      </c>
      <c r="BI502" s="325">
        <f>IF(N502="nulová",J502,0)</f>
        <v>0</v>
      </c>
      <c r="BJ502" s="214" t="s">
        <v>81</v>
      </c>
      <c r="BK502" s="325">
        <f>ROUND(I502*H502,2)</f>
        <v>0</v>
      </c>
      <c r="BL502" s="214" t="s">
        <v>153</v>
      </c>
      <c r="BM502" s="324" t="s">
        <v>477</v>
      </c>
    </row>
    <row r="503" spans="2:51" s="326" customFormat="1" ht="12">
      <c r="B503" s="327"/>
      <c r="D503" s="328" t="s">
        <v>155</v>
      </c>
      <c r="E503" s="329" t="s">
        <v>1</v>
      </c>
      <c r="F503" s="330" t="s">
        <v>226</v>
      </c>
      <c r="H503" s="329" t="s">
        <v>1</v>
      </c>
      <c r="I503" s="497"/>
      <c r="L503" s="331"/>
      <c r="M503" s="332"/>
      <c r="N503" s="333"/>
      <c r="O503" s="333"/>
      <c r="P503" s="333"/>
      <c r="Q503" s="333"/>
      <c r="R503" s="333"/>
      <c r="S503" s="333"/>
      <c r="T503" s="334"/>
      <c r="AT503" s="329" t="s">
        <v>155</v>
      </c>
      <c r="AU503" s="329" t="s">
        <v>83</v>
      </c>
      <c r="AV503" s="326" t="s">
        <v>81</v>
      </c>
      <c r="AW503" s="326" t="s">
        <v>34</v>
      </c>
      <c r="AX503" s="326" t="s">
        <v>76</v>
      </c>
      <c r="AY503" s="329" t="s">
        <v>146</v>
      </c>
    </row>
    <row r="504" spans="2:51" s="335" customFormat="1" ht="12">
      <c r="B504" s="336"/>
      <c r="D504" s="328" t="s">
        <v>155</v>
      </c>
      <c r="E504" s="337" t="s">
        <v>1</v>
      </c>
      <c r="F504" s="338" t="s">
        <v>3321</v>
      </c>
      <c r="H504" s="339">
        <f>14.3*2</f>
        <v>28.6</v>
      </c>
      <c r="I504" s="498"/>
      <c r="L504" s="340"/>
      <c r="M504" s="341"/>
      <c r="N504" s="342"/>
      <c r="O504" s="342"/>
      <c r="P504" s="342"/>
      <c r="Q504" s="342"/>
      <c r="R504" s="342"/>
      <c r="S504" s="342"/>
      <c r="T504" s="343"/>
      <c r="AT504" s="337" t="s">
        <v>155</v>
      </c>
      <c r="AU504" s="337" t="s">
        <v>83</v>
      </c>
      <c r="AV504" s="335" t="s">
        <v>83</v>
      </c>
      <c r="AW504" s="335" t="s">
        <v>34</v>
      </c>
      <c r="AX504" s="335" t="s">
        <v>81</v>
      </c>
      <c r="AY504" s="337" t="s">
        <v>146</v>
      </c>
    </row>
    <row r="505" spans="2:51" s="326" customFormat="1" ht="12">
      <c r="B505" s="327"/>
      <c r="D505" s="328" t="s">
        <v>155</v>
      </c>
      <c r="E505" s="329" t="s">
        <v>1</v>
      </c>
      <c r="F505" s="330" t="s">
        <v>3323</v>
      </c>
      <c r="H505" s="329" t="s">
        <v>1</v>
      </c>
      <c r="I505" s="497"/>
      <c r="L505" s="331"/>
      <c r="M505" s="332"/>
      <c r="N505" s="333"/>
      <c r="O505" s="333"/>
      <c r="P505" s="333"/>
      <c r="Q505" s="333"/>
      <c r="R505" s="333"/>
      <c r="S505" s="333"/>
      <c r="T505" s="334"/>
      <c r="AT505" s="329" t="s">
        <v>155</v>
      </c>
      <c r="AU505" s="329" t="s">
        <v>83</v>
      </c>
      <c r="AV505" s="326" t="s">
        <v>81</v>
      </c>
      <c r="AW505" s="326" t="s">
        <v>34</v>
      </c>
      <c r="AX505" s="326" t="s">
        <v>76</v>
      </c>
      <c r="AY505" s="329" t="s">
        <v>146</v>
      </c>
    </row>
    <row r="506" spans="2:51" s="335" customFormat="1" ht="12">
      <c r="B506" s="336"/>
      <c r="D506" s="328" t="s">
        <v>155</v>
      </c>
      <c r="E506" s="337" t="s">
        <v>1</v>
      </c>
      <c r="F506" s="338" t="s">
        <v>3926</v>
      </c>
      <c r="H506" s="339">
        <f>6*(2.73-0.22)</f>
        <v>15.059999999999999</v>
      </c>
      <c r="I506" s="498"/>
      <c r="L506" s="340"/>
      <c r="M506" s="341"/>
      <c r="N506" s="342"/>
      <c r="O506" s="342"/>
      <c r="P506" s="342"/>
      <c r="Q506" s="342"/>
      <c r="R506" s="342"/>
      <c r="S506" s="342"/>
      <c r="T506" s="343"/>
      <c r="AT506" s="337" t="s">
        <v>155</v>
      </c>
      <c r="AU506" s="337" t="s">
        <v>83</v>
      </c>
      <c r="AV506" s="335" t="s">
        <v>83</v>
      </c>
      <c r="AW506" s="335" t="s">
        <v>34</v>
      </c>
      <c r="AX506" s="335" t="s">
        <v>81</v>
      </c>
      <c r="AY506" s="337" t="s">
        <v>146</v>
      </c>
    </row>
    <row r="507" spans="2:51" s="326" customFormat="1" ht="12">
      <c r="B507" s="327"/>
      <c r="D507" s="328" t="s">
        <v>155</v>
      </c>
      <c r="E507" s="329" t="s">
        <v>1</v>
      </c>
      <c r="F507" s="330" t="s">
        <v>3930</v>
      </c>
      <c r="H507" s="329" t="s">
        <v>1</v>
      </c>
      <c r="I507" s="497"/>
      <c r="L507" s="331"/>
      <c r="M507" s="332"/>
      <c r="N507" s="333"/>
      <c r="O507" s="333"/>
      <c r="P507" s="333"/>
      <c r="Q507" s="333"/>
      <c r="R507" s="333"/>
      <c r="S507" s="333"/>
      <c r="T507" s="334"/>
      <c r="AT507" s="329" t="s">
        <v>155</v>
      </c>
      <c r="AU507" s="329" t="s">
        <v>83</v>
      </c>
      <c r="AV507" s="326" t="s">
        <v>81</v>
      </c>
      <c r="AW507" s="326" t="s">
        <v>34</v>
      </c>
      <c r="AX507" s="326" t="s">
        <v>76</v>
      </c>
      <c r="AY507" s="329" t="s">
        <v>146</v>
      </c>
    </row>
    <row r="508" spans="2:51" s="335" customFormat="1" ht="12">
      <c r="B508" s="336"/>
      <c r="D508" s="328" t="s">
        <v>155</v>
      </c>
      <c r="E508" s="337" t="s">
        <v>1</v>
      </c>
      <c r="F508" s="338" t="s">
        <v>3929</v>
      </c>
      <c r="H508" s="339">
        <f>5.75*1.35</f>
        <v>7.7625</v>
      </c>
      <c r="I508" s="498"/>
      <c r="L508" s="340"/>
      <c r="M508" s="341"/>
      <c r="N508" s="342"/>
      <c r="O508" s="342"/>
      <c r="P508" s="342"/>
      <c r="Q508" s="342"/>
      <c r="R508" s="342"/>
      <c r="S508" s="342"/>
      <c r="T508" s="343"/>
      <c r="AT508" s="337" t="s">
        <v>155</v>
      </c>
      <c r="AU508" s="337" t="s">
        <v>83</v>
      </c>
      <c r="AV508" s="335" t="s">
        <v>83</v>
      </c>
      <c r="AW508" s="335" t="s">
        <v>34</v>
      </c>
      <c r="AX508" s="335" t="s">
        <v>76</v>
      </c>
      <c r="AY508" s="337" t="s">
        <v>146</v>
      </c>
    </row>
    <row r="509" spans="2:51" s="326" customFormat="1" ht="12">
      <c r="B509" s="327"/>
      <c r="D509" s="328" t="s">
        <v>155</v>
      </c>
      <c r="E509" s="329" t="s">
        <v>1</v>
      </c>
      <c r="F509" s="330" t="s">
        <v>3931</v>
      </c>
      <c r="H509" s="329" t="s">
        <v>1</v>
      </c>
      <c r="I509" s="497"/>
      <c r="L509" s="331"/>
      <c r="M509" s="332"/>
      <c r="N509" s="333"/>
      <c r="O509" s="333"/>
      <c r="P509" s="333"/>
      <c r="Q509" s="333"/>
      <c r="R509" s="333"/>
      <c r="S509" s="333"/>
      <c r="T509" s="334"/>
      <c r="AT509" s="329" t="s">
        <v>155</v>
      </c>
      <c r="AU509" s="329" t="s">
        <v>83</v>
      </c>
      <c r="AV509" s="326" t="s">
        <v>81</v>
      </c>
      <c r="AW509" s="326" t="s">
        <v>34</v>
      </c>
      <c r="AX509" s="326" t="s">
        <v>76</v>
      </c>
      <c r="AY509" s="329" t="s">
        <v>146</v>
      </c>
    </row>
    <row r="510" spans="2:51" s="335" customFormat="1" ht="12">
      <c r="B510" s="336"/>
      <c r="D510" s="328" t="s">
        <v>155</v>
      </c>
      <c r="E510" s="337" t="s">
        <v>1</v>
      </c>
      <c r="F510" s="338" t="s">
        <v>3932</v>
      </c>
      <c r="H510" s="339">
        <f>8.5*6.95</f>
        <v>59.075</v>
      </c>
      <c r="I510" s="498"/>
      <c r="L510" s="340"/>
      <c r="M510" s="341"/>
      <c r="N510" s="342"/>
      <c r="O510" s="342"/>
      <c r="P510" s="342"/>
      <c r="Q510" s="342"/>
      <c r="R510" s="342"/>
      <c r="S510" s="342"/>
      <c r="T510" s="343"/>
      <c r="AT510" s="337" t="s">
        <v>155</v>
      </c>
      <c r="AU510" s="337" t="s">
        <v>83</v>
      </c>
      <c r="AV510" s="335" t="s">
        <v>83</v>
      </c>
      <c r="AW510" s="335" t="s">
        <v>34</v>
      </c>
      <c r="AX510" s="335" t="s">
        <v>76</v>
      </c>
      <c r="AY510" s="337" t="s">
        <v>146</v>
      </c>
    </row>
    <row r="511" spans="2:51" s="347" customFormat="1" ht="12">
      <c r="B511" s="348"/>
      <c r="D511" s="328" t="s">
        <v>155</v>
      </c>
      <c r="E511" s="349" t="s">
        <v>1</v>
      </c>
      <c r="F511" s="356" t="s">
        <v>157</v>
      </c>
      <c r="H511" s="351">
        <f>SUM(H504:H510)</f>
        <v>110.4975</v>
      </c>
      <c r="I511" s="499"/>
      <c r="L511" s="352"/>
      <c r="M511" s="353"/>
      <c r="N511" s="354"/>
      <c r="O511" s="354"/>
      <c r="P511" s="354"/>
      <c r="Q511" s="354"/>
      <c r="R511" s="354"/>
      <c r="S511" s="354"/>
      <c r="T511" s="355"/>
      <c r="AT511" s="349" t="s">
        <v>155</v>
      </c>
      <c r="AU511" s="349" t="s">
        <v>83</v>
      </c>
      <c r="AV511" s="347" t="s">
        <v>153</v>
      </c>
      <c r="AW511" s="347" t="s">
        <v>34</v>
      </c>
      <c r="AX511" s="347" t="s">
        <v>81</v>
      </c>
      <c r="AY511" s="349" t="s">
        <v>146</v>
      </c>
    </row>
    <row r="512" spans="1:65" s="225" customFormat="1" ht="24.2" customHeight="1">
      <c r="A512" s="222"/>
      <c r="B512" s="223"/>
      <c r="C512" s="314">
        <v>69</v>
      </c>
      <c r="D512" s="314" t="s">
        <v>148</v>
      </c>
      <c r="E512" s="315"/>
      <c r="F512" s="316" t="s">
        <v>3324</v>
      </c>
      <c r="G512" s="317" t="s">
        <v>151</v>
      </c>
      <c r="H512" s="318">
        <f>H513</f>
        <v>220.995</v>
      </c>
      <c r="I512" s="79"/>
      <c r="J512" s="319">
        <f>ROUND(I512*H512,2)</f>
        <v>0</v>
      </c>
      <c r="K512" s="316"/>
      <c r="L512" s="229"/>
      <c r="M512" s="320" t="s">
        <v>1</v>
      </c>
      <c r="N512" s="321" t="s">
        <v>42</v>
      </c>
      <c r="O512" s="322">
        <v>36.877</v>
      </c>
      <c r="P512" s="322">
        <f>O512*H512</f>
        <v>8149.632615</v>
      </c>
      <c r="Q512" s="322">
        <v>1.0492724</v>
      </c>
      <c r="R512" s="322">
        <f>Q512*H512</f>
        <v>231.883954038</v>
      </c>
      <c r="S512" s="322">
        <v>0</v>
      </c>
      <c r="T512" s="323">
        <f>S512*H512</f>
        <v>0</v>
      </c>
      <c r="U512" s="222"/>
      <c r="V512" s="222"/>
      <c r="W512" s="222"/>
      <c r="X512" s="222"/>
      <c r="Y512" s="222"/>
      <c r="Z512" s="222"/>
      <c r="AA512" s="222"/>
      <c r="AB512" s="222"/>
      <c r="AC512" s="222"/>
      <c r="AD512" s="222"/>
      <c r="AE512" s="222"/>
      <c r="AR512" s="324" t="s">
        <v>153</v>
      </c>
      <c r="AT512" s="324" t="s">
        <v>148</v>
      </c>
      <c r="AU512" s="324" t="s">
        <v>83</v>
      </c>
      <c r="AY512" s="214" t="s">
        <v>146</v>
      </c>
      <c r="BE512" s="325">
        <f>IF(N512="základní",J512,0)</f>
        <v>0</v>
      </c>
      <c r="BF512" s="325">
        <f>IF(N512="snížená",J512,0)</f>
        <v>0</v>
      </c>
      <c r="BG512" s="325">
        <f>IF(N512="zákl. přenesená",J512,0)</f>
        <v>0</v>
      </c>
      <c r="BH512" s="325">
        <f>IF(N512="sníž. přenesená",J512,0)</f>
        <v>0</v>
      </c>
      <c r="BI512" s="325">
        <f>IF(N512="nulová",J512,0)</f>
        <v>0</v>
      </c>
      <c r="BJ512" s="214" t="s">
        <v>81</v>
      </c>
      <c r="BK512" s="325">
        <f>ROUND(I512*H512,2)</f>
        <v>0</v>
      </c>
      <c r="BL512" s="214" t="s">
        <v>153</v>
      </c>
      <c r="BM512" s="324" t="s">
        <v>430</v>
      </c>
    </row>
    <row r="513" spans="2:51" s="335" customFormat="1" ht="12">
      <c r="B513" s="336"/>
      <c r="D513" s="328" t="s">
        <v>155</v>
      </c>
      <c r="E513" s="337" t="s">
        <v>1</v>
      </c>
      <c r="F513" s="338" t="s">
        <v>3933</v>
      </c>
      <c r="H513" s="339">
        <f>H502*2</f>
        <v>220.995</v>
      </c>
      <c r="I513" s="498"/>
      <c r="L513" s="340"/>
      <c r="M513" s="341"/>
      <c r="N513" s="342"/>
      <c r="O513" s="342"/>
      <c r="P513" s="342"/>
      <c r="Q513" s="342"/>
      <c r="R513" s="342"/>
      <c r="S513" s="342"/>
      <c r="T513" s="343"/>
      <c r="AT513" s="337" t="s">
        <v>155</v>
      </c>
      <c r="AU513" s="337" t="s">
        <v>83</v>
      </c>
      <c r="AV513" s="335" t="s">
        <v>83</v>
      </c>
      <c r="AW513" s="335" t="s">
        <v>34</v>
      </c>
      <c r="AX513" s="335" t="s">
        <v>81</v>
      </c>
      <c r="AY513" s="337" t="s">
        <v>146</v>
      </c>
    </row>
    <row r="514" spans="1:65" s="225" customFormat="1" ht="38.25" customHeight="1">
      <c r="A514" s="222"/>
      <c r="B514" s="223"/>
      <c r="C514" s="314">
        <v>70</v>
      </c>
      <c r="D514" s="314" t="s">
        <v>148</v>
      </c>
      <c r="E514" s="315"/>
      <c r="F514" s="316" t="s">
        <v>3325</v>
      </c>
      <c r="G514" s="317" t="s">
        <v>1361</v>
      </c>
      <c r="H514" s="318">
        <f>H515</f>
        <v>124</v>
      </c>
      <c r="I514" s="79"/>
      <c r="J514" s="319">
        <f>ROUND(I514*H514,2)</f>
        <v>0</v>
      </c>
      <c r="K514" s="316"/>
      <c r="L514" s="229"/>
      <c r="M514" s="320" t="s">
        <v>1</v>
      </c>
      <c r="N514" s="321" t="s">
        <v>42</v>
      </c>
      <c r="O514" s="322">
        <v>36.877</v>
      </c>
      <c r="P514" s="322">
        <f>O514*H514</f>
        <v>4572.7480000000005</v>
      </c>
      <c r="Q514" s="322">
        <v>1.0492724</v>
      </c>
      <c r="R514" s="322">
        <f>Q514*H514</f>
        <v>130.1097776</v>
      </c>
      <c r="S514" s="322">
        <v>0</v>
      </c>
      <c r="T514" s="323">
        <f>S514*H514</f>
        <v>0</v>
      </c>
      <c r="U514" s="222"/>
      <c r="V514" s="222"/>
      <c r="W514" s="222"/>
      <c r="X514" s="222"/>
      <c r="Y514" s="222"/>
      <c r="Z514" s="222"/>
      <c r="AA514" s="222"/>
      <c r="AB514" s="222"/>
      <c r="AC514" s="222"/>
      <c r="AD514" s="222"/>
      <c r="AE514" s="222"/>
      <c r="AR514" s="324" t="s">
        <v>153</v>
      </c>
      <c r="AT514" s="324" t="s">
        <v>148</v>
      </c>
      <c r="AU514" s="324" t="s">
        <v>83</v>
      </c>
      <c r="AY514" s="214" t="s">
        <v>146</v>
      </c>
      <c r="BE514" s="325">
        <f>IF(N514="základní",J514,0)</f>
        <v>0</v>
      </c>
      <c r="BF514" s="325">
        <f>IF(N514="snížená",J514,0)</f>
        <v>0</v>
      </c>
      <c r="BG514" s="325">
        <f>IF(N514="zákl. přenesená",J514,0)</f>
        <v>0</v>
      </c>
      <c r="BH514" s="325">
        <f>IF(N514="sníž. přenesená",J514,0)</f>
        <v>0</v>
      </c>
      <c r="BI514" s="325">
        <f>IF(N514="nulová",J514,0)</f>
        <v>0</v>
      </c>
      <c r="BJ514" s="214" t="s">
        <v>81</v>
      </c>
      <c r="BK514" s="325">
        <f>ROUND(I514*H514,2)</f>
        <v>0</v>
      </c>
      <c r="BL514" s="214" t="s">
        <v>153</v>
      </c>
      <c r="BM514" s="324" t="s">
        <v>430</v>
      </c>
    </row>
    <row r="515" spans="2:51" s="326" customFormat="1" ht="12">
      <c r="B515" s="327"/>
      <c r="D515" s="328" t="s">
        <v>155</v>
      </c>
      <c r="E515" s="329" t="s">
        <v>1</v>
      </c>
      <c r="F515" s="330" t="s">
        <v>3934</v>
      </c>
      <c r="H515" s="469">
        <f>(6+6+6+6+8+7)*2+46</f>
        <v>124</v>
      </c>
      <c r="I515" s="497"/>
      <c r="L515" s="331"/>
      <c r="M515" s="332"/>
      <c r="N515" s="333"/>
      <c r="O515" s="333"/>
      <c r="P515" s="333"/>
      <c r="Q515" s="333"/>
      <c r="R515" s="333"/>
      <c r="S515" s="333"/>
      <c r="T515" s="334"/>
      <c r="AT515" s="329" t="s">
        <v>155</v>
      </c>
      <c r="AU515" s="329" t="s">
        <v>83</v>
      </c>
      <c r="AV515" s="326" t="s">
        <v>81</v>
      </c>
      <c r="AW515" s="326" t="s">
        <v>34</v>
      </c>
      <c r="AX515" s="326" t="s">
        <v>76</v>
      </c>
      <c r="AY515" s="329" t="s">
        <v>146</v>
      </c>
    </row>
    <row r="516" spans="1:65" s="225" customFormat="1" ht="24.2" customHeight="1">
      <c r="A516" s="222"/>
      <c r="B516" s="223"/>
      <c r="C516" s="314">
        <v>71</v>
      </c>
      <c r="D516" s="314" t="s">
        <v>148</v>
      </c>
      <c r="E516" s="315" t="s">
        <v>479</v>
      </c>
      <c r="F516" s="316" t="s">
        <v>480</v>
      </c>
      <c r="G516" s="317" t="s">
        <v>151</v>
      </c>
      <c r="H516" s="318">
        <f>H518</f>
        <v>82.55</v>
      </c>
      <c r="I516" s="79"/>
      <c r="J516" s="319">
        <f>ROUND(I516*H516,2)</f>
        <v>0</v>
      </c>
      <c r="K516" s="316"/>
      <c r="L516" s="229"/>
      <c r="M516" s="320" t="s">
        <v>1</v>
      </c>
      <c r="N516" s="321" t="s">
        <v>42</v>
      </c>
      <c r="O516" s="322">
        <v>0.627</v>
      </c>
      <c r="P516" s="322">
        <f>O516*H516</f>
        <v>51.758849999999995</v>
      </c>
      <c r="Q516" s="322">
        <v>0.11162</v>
      </c>
      <c r="R516" s="322">
        <f>Q516*H516</f>
        <v>9.214231</v>
      </c>
      <c r="S516" s="322">
        <v>0</v>
      </c>
      <c r="T516" s="323">
        <f>S516*H516</f>
        <v>0</v>
      </c>
      <c r="U516" s="222"/>
      <c r="V516" s="222"/>
      <c r="W516" s="222"/>
      <c r="X516" s="222"/>
      <c r="Y516" s="222"/>
      <c r="Z516" s="222"/>
      <c r="AA516" s="222"/>
      <c r="AB516" s="222"/>
      <c r="AC516" s="222"/>
      <c r="AD516" s="222"/>
      <c r="AE516" s="222"/>
      <c r="AR516" s="324" t="s">
        <v>153</v>
      </c>
      <c r="AT516" s="324" t="s">
        <v>148</v>
      </c>
      <c r="AU516" s="324" t="s">
        <v>83</v>
      </c>
      <c r="AY516" s="214" t="s">
        <v>146</v>
      </c>
      <c r="BE516" s="325">
        <f>IF(N516="základní",J516,0)</f>
        <v>0</v>
      </c>
      <c r="BF516" s="325">
        <f>IF(N516="snížená",J516,0)</f>
        <v>0</v>
      </c>
      <c r="BG516" s="325">
        <f>IF(N516="zákl. přenesená",J516,0)</f>
        <v>0</v>
      </c>
      <c r="BH516" s="325">
        <f>IF(N516="sníž. přenesená",J516,0)</f>
        <v>0</v>
      </c>
      <c r="BI516" s="325">
        <f>IF(N516="nulová",J516,0)</f>
        <v>0</v>
      </c>
      <c r="BJ516" s="214" t="s">
        <v>81</v>
      </c>
      <c r="BK516" s="325">
        <f>ROUND(I516*H516,2)</f>
        <v>0</v>
      </c>
      <c r="BL516" s="214" t="s">
        <v>153</v>
      </c>
      <c r="BM516" s="324" t="s">
        <v>481</v>
      </c>
    </row>
    <row r="517" spans="2:51" s="326" customFormat="1" ht="12">
      <c r="B517" s="327"/>
      <c r="D517" s="328" t="s">
        <v>155</v>
      </c>
      <c r="E517" s="329" t="s">
        <v>1</v>
      </c>
      <c r="F517" s="330" t="s">
        <v>3320</v>
      </c>
      <c r="H517" s="329" t="s">
        <v>1</v>
      </c>
      <c r="I517" s="497"/>
      <c r="L517" s="331"/>
      <c r="M517" s="332"/>
      <c r="N517" s="333"/>
      <c r="O517" s="333"/>
      <c r="P517" s="333"/>
      <c r="Q517" s="333"/>
      <c r="R517" s="333"/>
      <c r="S517" s="333"/>
      <c r="T517" s="334"/>
      <c r="AT517" s="329" t="s">
        <v>155</v>
      </c>
      <c r="AU517" s="329" t="s">
        <v>83</v>
      </c>
      <c r="AV517" s="326" t="s">
        <v>81</v>
      </c>
      <c r="AW517" s="326" t="s">
        <v>34</v>
      </c>
      <c r="AX517" s="326" t="s">
        <v>76</v>
      </c>
      <c r="AY517" s="329" t="s">
        <v>146</v>
      </c>
    </row>
    <row r="518" spans="2:51" s="335" customFormat="1" ht="12">
      <c r="B518" s="336"/>
      <c r="D518" s="328" t="s">
        <v>155</v>
      </c>
      <c r="E518" s="337" t="s">
        <v>1</v>
      </c>
      <c r="F518" s="338" t="s">
        <v>2639</v>
      </c>
      <c r="H518" s="339">
        <f>6.35*(2.5*3+2.75*2)</f>
        <v>82.55</v>
      </c>
      <c r="I518" s="498"/>
      <c r="L518" s="340"/>
      <c r="M518" s="341"/>
      <c r="N518" s="342"/>
      <c r="O518" s="342"/>
      <c r="P518" s="342"/>
      <c r="Q518" s="342"/>
      <c r="R518" s="342"/>
      <c r="S518" s="342"/>
      <c r="T518" s="343"/>
      <c r="AT518" s="337" t="s">
        <v>155</v>
      </c>
      <c r="AU518" s="337" t="s">
        <v>83</v>
      </c>
      <c r="AV518" s="335" t="s">
        <v>83</v>
      </c>
      <c r="AW518" s="335" t="s">
        <v>34</v>
      </c>
      <c r="AX518" s="335" t="s">
        <v>76</v>
      </c>
      <c r="AY518" s="337" t="s">
        <v>146</v>
      </c>
    </row>
    <row r="519" spans="1:65" s="225" customFormat="1" ht="21.75" customHeight="1">
      <c r="A519" s="222"/>
      <c r="B519" s="223"/>
      <c r="C519" s="358">
        <v>72</v>
      </c>
      <c r="D519" s="358" t="s">
        <v>208</v>
      </c>
      <c r="E519" s="359" t="s">
        <v>483</v>
      </c>
      <c r="F519" s="364" t="s">
        <v>484</v>
      </c>
      <c r="G519" s="361" t="s">
        <v>151</v>
      </c>
      <c r="H519" s="362">
        <f>H520</f>
        <v>85.0265</v>
      </c>
      <c r="I519" s="80"/>
      <c r="J519" s="363">
        <f>ROUND(I519*H519,2)</f>
        <v>0</v>
      </c>
      <c r="K519" s="364"/>
      <c r="L519" s="365"/>
      <c r="M519" s="366" t="s">
        <v>1</v>
      </c>
      <c r="N519" s="367" t="s">
        <v>42</v>
      </c>
      <c r="O519" s="322">
        <v>0</v>
      </c>
      <c r="P519" s="322">
        <f>O519*H519</f>
        <v>0</v>
      </c>
      <c r="Q519" s="322">
        <v>0.176</v>
      </c>
      <c r="R519" s="322">
        <f>Q519*H519</f>
        <v>14.964663999999999</v>
      </c>
      <c r="S519" s="322">
        <v>0</v>
      </c>
      <c r="T519" s="323">
        <f>S519*H519</f>
        <v>0</v>
      </c>
      <c r="U519" s="222"/>
      <c r="V519" s="222"/>
      <c r="W519" s="222"/>
      <c r="X519" s="222"/>
      <c r="Y519" s="222"/>
      <c r="Z519" s="222"/>
      <c r="AA519" s="222"/>
      <c r="AB519" s="222"/>
      <c r="AC519" s="222"/>
      <c r="AD519" s="222"/>
      <c r="AE519" s="222"/>
      <c r="AR519" s="324" t="s">
        <v>189</v>
      </c>
      <c r="AT519" s="324" t="s">
        <v>208</v>
      </c>
      <c r="AU519" s="324" t="s">
        <v>83</v>
      </c>
      <c r="AY519" s="214" t="s">
        <v>146</v>
      </c>
      <c r="BE519" s="325">
        <f>IF(N519="základní",J519,0)</f>
        <v>0</v>
      </c>
      <c r="BF519" s="325">
        <f>IF(N519="snížená",J519,0)</f>
        <v>0</v>
      </c>
      <c r="BG519" s="325">
        <f>IF(N519="zákl. přenesená",J519,0)</f>
        <v>0</v>
      </c>
      <c r="BH519" s="325">
        <f>IF(N519="sníž. přenesená",J519,0)</f>
        <v>0</v>
      </c>
      <c r="BI519" s="325">
        <f>IF(N519="nulová",J519,0)</f>
        <v>0</v>
      </c>
      <c r="BJ519" s="214" t="s">
        <v>81</v>
      </c>
      <c r="BK519" s="325">
        <f>ROUND(I519*H519,2)</f>
        <v>0</v>
      </c>
      <c r="BL519" s="214" t="s">
        <v>153</v>
      </c>
      <c r="BM519" s="324" t="s">
        <v>485</v>
      </c>
    </row>
    <row r="520" spans="2:51" s="335" customFormat="1" ht="12">
      <c r="B520" s="336"/>
      <c r="D520" s="328" t="s">
        <v>155</v>
      </c>
      <c r="F520" s="338" t="s">
        <v>2640</v>
      </c>
      <c r="H520" s="339">
        <f>82.55*1.03</f>
        <v>85.0265</v>
      </c>
      <c r="I520" s="498"/>
      <c r="L520" s="340"/>
      <c r="M520" s="341"/>
      <c r="N520" s="342"/>
      <c r="O520" s="342"/>
      <c r="P520" s="342"/>
      <c r="Q520" s="342"/>
      <c r="R520" s="342"/>
      <c r="S520" s="342"/>
      <c r="T520" s="343"/>
      <c r="AT520" s="337" t="s">
        <v>155</v>
      </c>
      <c r="AU520" s="337" t="s">
        <v>83</v>
      </c>
      <c r="AV520" s="335" t="s">
        <v>83</v>
      </c>
      <c r="AW520" s="335" t="s">
        <v>3</v>
      </c>
      <c r="AX520" s="335" t="s">
        <v>81</v>
      </c>
      <c r="AY520" s="337" t="s">
        <v>146</v>
      </c>
    </row>
    <row r="521" spans="2:63" s="297" customFormat="1" ht="22.9" customHeight="1">
      <c r="B521" s="298"/>
      <c r="D521" s="299" t="s">
        <v>75</v>
      </c>
      <c r="E521" s="310" t="s">
        <v>181</v>
      </c>
      <c r="F521" s="310" t="s">
        <v>486</v>
      </c>
      <c r="I521" s="501"/>
      <c r="J521" s="311">
        <f>SUM(J522:J804)</f>
        <v>0</v>
      </c>
      <c r="L521" s="302"/>
      <c r="M521" s="303"/>
      <c r="N521" s="304"/>
      <c r="O521" s="304"/>
      <c r="P521" s="305">
        <f>SUM(P522:P785)</f>
        <v>5760.5960425500025</v>
      </c>
      <c r="Q521" s="304"/>
      <c r="R521" s="305">
        <f>SUM(R522:R804)</f>
        <v>119.59634644908586</v>
      </c>
      <c r="S521" s="304"/>
      <c r="T521" s="313">
        <f>SUM(T522:T804)</f>
        <v>0</v>
      </c>
      <c r="AR521" s="299" t="s">
        <v>81</v>
      </c>
      <c r="AT521" s="308" t="s">
        <v>75</v>
      </c>
      <c r="AU521" s="308" t="s">
        <v>81</v>
      </c>
      <c r="AY521" s="299" t="s">
        <v>146</v>
      </c>
      <c r="BK521" s="309">
        <f>SUM(BK522:BK785)</f>
        <v>0</v>
      </c>
    </row>
    <row r="522" spans="1:65" s="225" customFormat="1" ht="37.9" customHeight="1">
      <c r="A522" s="222"/>
      <c r="B522" s="223"/>
      <c r="C522" s="314">
        <v>73</v>
      </c>
      <c r="D522" s="314" t="s">
        <v>148</v>
      </c>
      <c r="E522" s="315"/>
      <c r="F522" s="344" t="s">
        <v>3280</v>
      </c>
      <c r="G522" s="317" t="s">
        <v>151</v>
      </c>
      <c r="H522" s="318">
        <f>H531</f>
        <v>570.2375000000001</v>
      </c>
      <c r="I522" s="79"/>
      <c r="J522" s="319">
        <f>ROUND(I522*H522,2)</f>
        <v>0</v>
      </c>
      <c r="K522" s="316"/>
      <c r="L522" s="373"/>
      <c r="M522" s="320" t="s">
        <v>1</v>
      </c>
      <c r="N522" s="321" t="s">
        <v>42</v>
      </c>
      <c r="O522" s="322">
        <v>0.716</v>
      </c>
      <c r="P522" s="322">
        <f>O522*H522</f>
        <v>408.29005</v>
      </c>
      <c r="Q522" s="322">
        <v>0.021</v>
      </c>
      <c r="R522" s="322">
        <f>Q522*H522</f>
        <v>11.974987500000003</v>
      </c>
      <c r="S522" s="322">
        <v>0</v>
      </c>
      <c r="T522" s="323">
        <f>S522*H522</f>
        <v>0</v>
      </c>
      <c r="U522" s="222"/>
      <c r="V522" s="222"/>
      <c r="W522" s="222"/>
      <c r="X522" s="222"/>
      <c r="Y522" s="222"/>
      <c r="Z522" s="222"/>
      <c r="AA522" s="222"/>
      <c r="AB522" s="222"/>
      <c r="AC522" s="222"/>
      <c r="AD522" s="222"/>
      <c r="AE522" s="222"/>
      <c r="AR522" s="324" t="s">
        <v>153</v>
      </c>
      <c r="AT522" s="324" t="s">
        <v>148</v>
      </c>
      <c r="AU522" s="324" t="s">
        <v>83</v>
      </c>
      <c r="AY522" s="214" t="s">
        <v>146</v>
      </c>
      <c r="BE522" s="325">
        <f>IF(N522="základní",J522,0)</f>
        <v>0</v>
      </c>
      <c r="BF522" s="325">
        <f>IF(N522="snížená",J522,0)</f>
        <v>0</v>
      </c>
      <c r="BG522" s="325">
        <f>IF(N522="zákl. přenesená",J522,0)</f>
        <v>0</v>
      </c>
      <c r="BH522" s="325">
        <f>IF(N522="sníž. přenesená",J522,0)</f>
        <v>0</v>
      </c>
      <c r="BI522" s="325">
        <f>IF(N522="nulová",J522,0)</f>
        <v>0</v>
      </c>
      <c r="BJ522" s="214" t="s">
        <v>81</v>
      </c>
      <c r="BK522" s="325">
        <f>ROUND(I522*H522,2)</f>
        <v>0</v>
      </c>
      <c r="BL522" s="214" t="s">
        <v>153</v>
      </c>
      <c r="BM522" s="324" t="s">
        <v>497</v>
      </c>
    </row>
    <row r="523" spans="2:51" s="326" customFormat="1" ht="12">
      <c r="B523" s="327"/>
      <c r="D523" s="328" t="s">
        <v>155</v>
      </c>
      <c r="E523" s="329" t="s">
        <v>1</v>
      </c>
      <c r="F523" s="345" t="s">
        <v>492</v>
      </c>
      <c r="H523" s="329" t="s">
        <v>1</v>
      </c>
      <c r="I523" s="497"/>
      <c r="L523" s="331"/>
      <c r="M523" s="332"/>
      <c r="N523" s="333"/>
      <c r="O523" s="333"/>
      <c r="P523" s="333"/>
      <c r="Q523" s="333"/>
      <c r="R523" s="333"/>
      <c r="S523" s="333"/>
      <c r="T523" s="334"/>
      <c r="AT523" s="329" t="s">
        <v>155</v>
      </c>
      <c r="AU523" s="329" t="s">
        <v>83</v>
      </c>
      <c r="AV523" s="326" t="s">
        <v>81</v>
      </c>
      <c r="AW523" s="326" t="s">
        <v>34</v>
      </c>
      <c r="AX523" s="326" t="s">
        <v>76</v>
      </c>
      <c r="AY523" s="329" t="s">
        <v>146</v>
      </c>
    </row>
    <row r="524" spans="2:51" s="326" customFormat="1" ht="12">
      <c r="B524" s="327"/>
      <c r="D524" s="328" t="s">
        <v>155</v>
      </c>
      <c r="E524" s="329" t="s">
        <v>1</v>
      </c>
      <c r="F524" s="345" t="s">
        <v>493</v>
      </c>
      <c r="H524" s="329" t="s">
        <v>1</v>
      </c>
      <c r="I524" s="497"/>
      <c r="L524" s="331"/>
      <c r="M524" s="332"/>
      <c r="N524" s="333"/>
      <c r="O524" s="333"/>
      <c r="P524" s="333"/>
      <c r="Q524" s="333"/>
      <c r="R524" s="333"/>
      <c r="S524" s="333"/>
      <c r="T524" s="334"/>
      <c r="AT524" s="329" t="s">
        <v>155</v>
      </c>
      <c r="AU524" s="329" t="s">
        <v>83</v>
      </c>
      <c r="AV524" s="326" t="s">
        <v>81</v>
      </c>
      <c r="AW524" s="326" t="s">
        <v>34</v>
      </c>
      <c r="AX524" s="326" t="s">
        <v>76</v>
      </c>
      <c r="AY524" s="329" t="s">
        <v>146</v>
      </c>
    </row>
    <row r="525" spans="2:51" s="335" customFormat="1" ht="12">
      <c r="B525" s="336"/>
      <c r="D525" s="328" t="s">
        <v>155</v>
      </c>
      <c r="E525" s="337" t="s">
        <v>1</v>
      </c>
      <c r="F525" s="346" t="s">
        <v>494</v>
      </c>
      <c r="H525" s="339">
        <f>21.44+17.68+22.6+47.21</f>
        <v>108.93</v>
      </c>
      <c r="I525" s="498"/>
      <c r="L525" s="340"/>
      <c r="M525" s="341"/>
      <c r="N525" s="342"/>
      <c r="O525" s="342"/>
      <c r="P525" s="342"/>
      <c r="Q525" s="342"/>
      <c r="R525" s="342"/>
      <c r="S525" s="342"/>
      <c r="T525" s="343"/>
      <c r="AT525" s="337" t="s">
        <v>155</v>
      </c>
      <c r="AU525" s="337" t="s">
        <v>83</v>
      </c>
      <c r="AV525" s="335" t="s">
        <v>83</v>
      </c>
      <c r="AW525" s="335" t="s">
        <v>34</v>
      </c>
      <c r="AX525" s="335" t="s">
        <v>76</v>
      </c>
      <c r="AY525" s="337" t="s">
        <v>146</v>
      </c>
    </row>
    <row r="526" spans="2:51" s="326" customFormat="1" ht="12">
      <c r="B526" s="327"/>
      <c r="D526" s="328" t="s">
        <v>155</v>
      </c>
      <c r="E526" s="329" t="s">
        <v>1</v>
      </c>
      <c r="F526" s="345" t="s">
        <v>501</v>
      </c>
      <c r="H526" s="329" t="s">
        <v>1</v>
      </c>
      <c r="I526" s="497"/>
      <c r="L526" s="331"/>
      <c r="M526" s="332"/>
      <c r="N526" s="333"/>
      <c r="O526" s="333"/>
      <c r="P526" s="333"/>
      <c r="Q526" s="333"/>
      <c r="R526" s="333"/>
      <c r="S526" s="333"/>
      <c r="T526" s="334"/>
      <c r="AT526" s="329" t="s">
        <v>155</v>
      </c>
      <c r="AU526" s="329" t="s">
        <v>83</v>
      </c>
      <c r="AV526" s="326" t="s">
        <v>81</v>
      </c>
      <c r="AW526" s="326" t="s">
        <v>34</v>
      </c>
      <c r="AX526" s="326" t="s">
        <v>76</v>
      </c>
      <c r="AY526" s="329" t="s">
        <v>146</v>
      </c>
    </row>
    <row r="527" spans="2:51" s="335" customFormat="1" ht="12">
      <c r="B527" s="336"/>
      <c r="D527" s="328" t="s">
        <v>155</v>
      </c>
      <c r="E527" s="337" t="s">
        <v>1</v>
      </c>
      <c r="F527" s="346" t="s">
        <v>3232</v>
      </c>
      <c r="H527" s="339">
        <f>(9.675+2.55)*5.9+58.92+65.76+40.8+73.92</f>
        <v>311.52750000000003</v>
      </c>
      <c r="I527" s="498"/>
      <c r="L527" s="340"/>
      <c r="M527" s="341"/>
      <c r="N527" s="342"/>
      <c r="O527" s="342"/>
      <c r="P527" s="342"/>
      <c r="Q527" s="342"/>
      <c r="R527" s="342"/>
      <c r="S527" s="342"/>
      <c r="T527" s="343"/>
      <c r="AT527" s="337" t="s">
        <v>155</v>
      </c>
      <c r="AU527" s="337" t="s">
        <v>83</v>
      </c>
      <c r="AV527" s="335" t="s">
        <v>83</v>
      </c>
      <c r="AW527" s="335" t="s">
        <v>34</v>
      </c>
      <c r="AX527" s="335" t="s">
        <v>81</v>
      </c>
      <c r="AY527" s="337" t="s">
        <v>146</v>
      </c>
    </row>
    <row r="528" spans="2:51" s="326" customFormat="1" ht="12">
      <c r="B528" s="327"/>
      <c r="D528" s="328" t="s">
        <v>155</v>
      </c>
      <c r="E528" s="329" t="s">
        <v>1</v>
      </c>
      <c r="F528" s="345" t="s">
        <v>495</v>
      </c>
      <c r="H528" s="329" t="s">
        <v>1</v>
      </c>
      <c r="I528" s="497"/>
      <c r="L528" s="331"/>
      <c r="M528" s="332"/>
      <c r="N528" s="333"/>
      <c r="O528" s="333"/>
      <c r="P528" s="333"/>
      <c r="Q528" s="333"/>
      <c r="R528" s="333"/>
      <c r="S528" s="333"/>
      <c r="T528" s="334"/>
      <c r="AT528" s="329" t="s">
        <v>155</v>
      </c>
      <c r="AU528" s="329" t="s">
        <v>83</v>
      </c>
      <c r="AV528" s="326" t="s">
        <v>81</v>
      </c>
      <c r="AW528" s="326" t="s">
        <v>34</v>
      </c>
      <c r="AX528" s="326" t="s">
        <v>76</v>
      </c>
      <c r="AY528" s="329" t="s">
        <v>146</v>
      </c>
    </row>
    <row r="529" spans="2:51" s="326" customFormat="1" ht="12">
      <c r="B529" s="327"/>
      <c r="D529" s="328" t="s">
        <v>155</v>
      </c>
      <c r="E529" s="329" t="s">
        <v>1</v>
      </c>
      <c r="F529" s="345" t="s">
        <v>498</v>
      </c>
      <c r="H529" s="329" t="s">
        <v>1</v>
      </c>
      <c r="I529" s="497"/>
      <c r="L529" s="331"/>
      <c r="M529" s="332"/>
      <c r="N529" s="333"/>
      <c r="O529" s="333"/>
      <c r="P529" s="333"/>
      <c r="Q529" s="333"/>
      <c r="R529" s="333"/>
      <c r="S529" s="333"/>
      <c r="T529" s="334"/>
      <c r="AT529" s="329" t="s">
        <v>155</v>
      </c>
      <c r="AU529" s="329" t="s">
        <v>83</v>
      </c>
      <c r="AV529" s="326" t="s">
        <v>81</v>
      </c>
      <c r="AW529" s="326" t="s">
        <v>34</v>
      </c>
      <c r="AX529" s="326" t="s">
        <v>76</v>
      </c>
      <c r="AY529" s="329" t="s">
        <v>146</v>
      </c>
    </row>
    <row r="530" spans="2:51" s="335" customFormat="1" ht="12">
      <c r="B530" s="336"/>
      <c r="D530" s="328" t="s">
        <v>155</v>
      </c>
      <c r="E530" s="337" t="s">
        <v>1</v>
      </c>
      <c r="F530" s="346" t="s">
        <v>499</v>
      </c>
      <c r="H530" s="339">
        <f>22.72+32.64+29.47+15.83+9.12+21.72+18.28</f>
        <v>149.78</v>
      </c>
      <c r="I530" s="498"/>
      <c r="L530" s="340"/>
      <c r="M530" s="341"/>
      <c r="N530" s="342"/>
      <c r="O530" s="342"/>
      <c r="P530" s="342"/>
      <c r="Q530" s="342"/>
      <c r="R530" s="342"/>
      <c r="S530" s="342"/>
      <c r="T530" s="343"/>
      <c r="AT530" s="337" t="s">
        <v>155</v>
      </c>
      <c r="AU530" s="337" t="s">
        <v>83</v>
      </c>
      <c r="AV530" s="335" t="s">
        <v>83</v>
      </c>
      <c r="AW530" s="335" t="s">
        <v>34</v>
      </c>
      <c r="AX530" s="335" t="s">
        <v>76</v>
      </c>
      <c r="AY530" s="337" t="s">
        <v>146</v>
      </c>
    </row>
    <row r="531" spans="2:51" s="374" customFormat="1" ht="12">
      <c r="B531" s="375"/>
      <c r="D531" s="376" t="s">
        <v>155</v>
      </c>
      <c r="E531" s="377" t="s">
        <v>1</v>
      </c>
      <c r="F531" s="350" t="s">
        <v>157</v>
      </c>
      <c r="H531" s="378">
        <f>SUM(H525:H530)</f>
        <v>570.2375000000001</v>
      </c>
      <c r="I531" s="502"/>
      <c r="L531" s="379"/>
      <c r="M531" s="380"/>
      <c r="N531" s="381"/>
      <c r="O531" s="381"/>
      <c r="P531" s="381"/>
      <c r="Q531" s="381"/>
      <c r="R531" s="381"/>
      <c r="S531" s="381"/>
      <c r="T531" s="382"/>
      <c r="AT531" s="377" t="s">
        <v>155</v>
      </c>
      <c r="AU531" s="377" t="s">
        <v>83</v>
      </c>
      <c r="AV531" s="374" t="s">
        <v>153</v>
      </c>
      <c r="AW531" s="374" t="s">
        <v>34</v>
      </c>
      <c r="AX531" s="374" t="s">
        <v>81</v>
      </c>
      <c r="AY531" s="377" t="s">
        <v>146</v>
      </c>
    </row>
    <row r="532" spans="1:65" s="225" customFormat="1" ht="24.2" customHeight="1">
      <c r="A532" s="222"/>
      <c r="B532" s="223"/>
      <c r="C532" s="314">
        <v>74</v>
      </c>
      <c r="D532" s="314" t="s">
        <v>148</v>
      </c>
      <c r="E532" s="315" t="s">
        <v>504</v>
      </c>
      <c r="F532" s="344" t="s">
        <v>505</v>
      </c>
      <c r="G532" s="317" t="s">
        <v>151</v>
      </c>
      <c r="H532" s="318">
        <f>H548</f>
        <v>669.69175</v>
      </c>
      <c r="I532" s="79"/>
      <c r="J532" s="319">
        <f>ROUND(I532*H532,2)</f>
        <v>0</v>
      </c>
      <c r="K532" s="316"/>
      <c r="L532" s="229"/>
      <c r="M532" s="320" t="s">
        <v>1</v>
      </c>
      <c r="N532" s="321" t="s">
        <v>42</v>
      </c>
      <c r="O532" s="322">
        <v>0.36</v>
      </c>
      <c r="P532" s="322">
        <f>O532*H532</f>
        <v>241.08902999999998</v>
      </c>
      <c r="Q532" s="322">
        <v>0.004384</v>
      </c>
      <c r="R532" s="322">
        <f>Q532*H532</f>
        <v>2.9359286319999995</v>
      </c>
      <c r="S532" s="322">
        <v>0</v>
      </c>
      <c r="T532" s="323">
        <f>S532*H532</f>
        <v>0</v>
      </c>
      <c r="U532" s="222"/>
      <c r="V532" s="222"/>
      <c r="W532" s="222"/>
      <c r="X532" s="222"/>
      <c r="Y532" s="222"/>
      <c r="Z532" s="222"/>
      <c r="AA532" s="222"/>
      <c r="AB532" s="222"/>
      <c r="AC532" s="222"/>
      <c r="AD532" s="222"/>
      <c r="AE532" s="222"/>
      <c r="AR532" s="324" t="s">
        <v>153</v>
      </c>
      <c r="AT532" s="324" t="s">
        <v>148</v>
      </c>
      <c r="AU532" s="324" t="s">
        <v>83</v>
      </c>
      <c r="AY532" s="214" t="s">
        <v>146</v>
      </c>
      <c r="BE532" s="325">
        <f>IF(N532="základní",J532,0)</f>
        <v>0</v>
      </c>
      <c r="BF532" s="325">
        <f>IF(N532="snížená",J532,0)</f>
        <v>0</v>
      </c>
      <c r="BG532" s="325">
        <f>IF(N532="zákl. přenesená",J532,0)</f>
        <v>0</v>
      </c>
      <c r="BH532" s="325">
        <f>IF(N532="sníž. přenesená",J532,0)</f>
        <v>0</v>
      </c>
      <c r="BI532" s="325">
        <f>IF(N532="nulová",J532,0)</f>
        <v>0</v>
      </c>
      <c r="BJ532" s="214" t="s">
        <v>81</v>
      </c>
      <c r="BK532" s="325">
        <f>ROUND(I532*H532,2)</f>
        <v>0</v>
      </c>
      <c r="BL532" s="214" t="s">
        <v>153</v>
      </c>
      <c r="BM532" s="324" t="s">
        <v>506</v>
      </c>
    </row>
    <row r="533" spans="2:51" s="326" customFormat="1" ht="12">
      <c r="B533" s="327"/>
      <c r="D533" s="328" t="s">
        <v>155</v>
      </c>
      <c r="E533" s="329" t="s">
        <v>1</v>
      </c>
      <c r="F533" s="345" t="s">
        <v>507</v>
      </c>
      <c r="H533" s="329" t="s">
        <v>1</v>
      </c>
      <c r="I533" s="497"/>
      <c r="L533" s="331"/>
      <c r="M533" s="332"/>
      <c r="N533" s="333"/>
      <c r="O533" s="333"/>
      <c r="P533" s="333"/>
      <c r="Q533" s="333"/>
      <c r="R533" s="333"/>
      <c r="S533" s="333"/>
      <c r="T533" s="334"/>
      <c r="AT533" s="329" t="s">
        <v>155</v>
      </c>
      <c r="AU533" s="329" t="s">
        <v>83</v>
      </c>
      <c r="AV533" s="326" t="s">
        <v>81</v>
      </c>
      <c r="AW533" s="326" t="s">
        <v>34</v>
      </c>
      <c r="AX533" s="326" t="s">
        <v>76</v>
      </c>
      <c r="AY533" s="329" t="s">
        <v>146</v>
      </c>
    </row>
    <row r="534" spans="2:51" s="335" customFormat="1" ht="12">
      <c r="B534" s="336"/>
      <c r="D534" s="328" t="s">
        <v>155</v>
      </c>
      <c r="E534" s="337" t="s">
        <v>1</v>
      </c>
      <c r="F534" s="346" t="s">
        <v>2701</v>
      </c>
      <c r="H534" s="339">
        <f>23.625*2</f>
        <v>47.25</v>
      </c>
      <c r="I534" s="498"/>
      <c r="L534" s="340"/>
      <c r="M534" s="341"/>
      <c r="N534" s="342"/>
      <c r="O534" s="342"/>
      <c r="P534" s="342"/>
      <c r="Q534" s="342"/>
      <c r="R534" s="342"/>
      <c r="S534" s="342"/>
      <c r="T534" s="343"/>
      <c r="AT534" s="337" t="s">
        <v>155</v>
      </c>
      <c r="AU534" s="337" t="s">
        <v>83</v>
      </c>
      <c r="AV534" s="335" t="s">
        <v>83</v>
      </c>
      <c r="AW534" s="335" t="s">
        <v>34</v>
      </c>
      <c r="AX534" s="335" t="s">
        <v>76</v>
      </c>
      <c r="AY534" s="337" t="s">
        <v>146</v>
      </c>
    </row>
    <row r="535" spans="2:51" s="335" customFormat="1" ht="12">
      <c r="B535" s="336"/>
      <c r="D535" s="328" t="s">
        <v>155</v>
      </c>
      <c r="E535" s="337" t="s">
        <v>1</v>
      </c>
      <c r="F535" s="346" t="s">
        <v>2702</v>
      </c>
      <c r="H535" s="339">
        <f>5.03*2</f>
        <v>10.06</v>
      </c>
      <c r="I535" s="498"/>
      <c r="L535" s="330"/>
      <c r="M535" s="341"/>
      <c r="N535" s="342"/>
      <c r="O535" s="342"/>
      <c r="P535" s="342"/>
      <c r="Q535" s="342"/>
      <c r="R535" s="342"/>
      <c r="S535" s="342"/>
      <c r="T535" s="343"/>
      <c r="AT535" s="337" t="s">
        <v>155</v>
      </c>
      <c r="AU535" s="337" t="s">
        <v>83</v>
      </c>
      <c r="AV535" s="335" t="s">
        <v>83</v>
      </c>
      <c r="AW535" s="335" t="s">
        <v>34</v>
      </c>
      <c r="AX535" s="335" t="s">
        <v>76</v>
      </c>
      <c r="AY535" s="337" t="s">
        <v>146</v>
      </c>
    </row>
    <row r="536" spans="2:51" s="335" customFormat="1" ht="12">
      <c r="B536" s="336"/>
      <c r="D536" s="328" t="s">
        <v>155</v>
      </c>
      <c r="E536" s="337" t="s">
        <v>1</v>
      </c>
      <c r="F536" s="346" t="s">
        <v>2703</v>
      </c>
      <c r="H536" s="339">
        <f>76.468*2</f>
        <v>152.936</v>
      </c>
      <c r="I536" s="498"/>
      <c r="L536" s="338"/>
      <c r="M536" s="341"/>
      <c r="N536" s="342"/>
      <c r="O536" s="342"/>
      <c r="P536" s="342"/>
      <c r="Q536" s="342"/>
      <c r="R536" s="342"/>
      <c r="S536" s="342"/>
      <c r="T536" s="343"/>
      <c r="AT536" s="337" t="s">
        <v>155</v>
      </c>
      <c r="AU536" s="337" t="s">
        <v>83</v>
      </c>
      <c r="AV536" s="335" t="s">
        <v>83</v>
      </c>
      <c r="AW536" s="335" t="s">
        <v>34</v>
      </c>
      <c r="AX536" s="335" t="s">
        <v>76</v>
      </c>
      <c r="AY536" s="337" t="s">
        <v>146</v>
      </c>
    </row>
    <row r="537" spans="2:51" s="335" customFormat="1" ht="12">
      <c r="B537" s="336"/>
      <c r="D537" s="328" t="s">
        <v>155</v>
      </c>
      <c r="E537" s="337" t="s">
        <v>1</v>
      </c>
      <c r="F537" s="346" t="s">
        <v>2705</v>
      </c>
      <c r="H537" s="339">
        <f>5.525*2</f>
        <v>11.05</v>
      </c>
      <c r="I537" s="498"/>
      <c r="L537" s="330"/>
      <c r="M537" s="341"/>
      <c r="N537" s="342"/>
      <c r="O537" s="342"/>
      <c r="P537" s="342"/>
      <c r="Q537" s="342"/>
      <c r="R537" s="342"/>
      <c r="S537" s="342"/>
      <c r="T537" s="343"/>
      <c r="AT537" s="337" t="s">
        <v>155</v>
      </c>
      <c r="AU537" s="337" t="s">
        <v>83</v>
      </c>
      <c r="AV537" s="335" t="s">
        <v>83</v>
      </c>
      <c r="AW537" s="335" t="s">
        <v>34</v>
      </c>
      <c r="AX537" s="335" t="s">
        <v>76</v>
      </c>
      <c r="AY537" s="337" t="s">
        <v>146</v>
      </c>
    </row>
    <row r="538" spans="2:51" s="335" customFormat="1" ht="12">
      <c r="B538" s="336"/>
      <c r="D538" s="328" t="s">
        <v>155</v>
      </c>
      <c r="E538" s="337" t="s">
        <v>1</v>
      </c>
      <c r="F538" s="346" t="s">
        <v>2704</v>
      </c>
      <c r="H538" s="339">
        <f>95.651*2</f>
        <v>191.302</v>
      </c>
      <c r="I538" s="498"/>
      <c r="L538" s="338"/>
      <c r="M538" s="341"/>
      <c r="N538" s="342"/>
      <c r="O538" s="342"/>
      <c r="P538" s="342"/>
      <c r="Q538" s="342"/>
      <c r="R538" s="342"/>
      <c r="S538" s="342"/>
      <c r="T538" s="343"/>
      <c r="AT538" s="337" t="s">
        <v>155</v>
      </c>
      <c r="AU538" s="337" t="s">
        <v>83</v>
      </c>
      <c r="AV538" s="335" t="s">
        <v>83</v>
      </c>
      <c r="AW538" s="335" t="s">
        <v>34</v>
      </c>
      <c r="AX538" s="335" t="s">
        <v>76</v>
      </c>
      <c r="AY538" s="337" t="s">
        <v>146</v>
      </c>
    </row>
    <row r="539" spans="2:51" s="335" customFormat="1" ht="12">
      <c r="B539" s="336"/>
      <c r="D539" s="328" t="s">
        <v>155</v>
      </c>
      <c r="E539" s="337" t="s">
        <v>1</v>
      </c>
      <c r="F539" s="346" t="s">
        <v>3025</v>
      </c>
      <c r="H539" s="339">
        <f>18.148+2.183+9.548+1.17+1.95+1.3</f>
        <v>34.299</v>
      </c>
      <c r="I539" s="498"/>
      <c r="L539" s="330"/>
      <c r="M539" s="341"/>
      <c r="N539" s="342"/>
      <c r="O539" s="342"/>
      <c r="P539" s="342"/>
      <c r="Q539" s="342"/>
      <c r="R539" s="342"/>
      <c r="S539" s="342"/>
      <c r="T539" s="343"/>
      <c r="AT539" s="337" t="s">
        <v>155</v>
      </c>
      <c r="AU539" s="337" t="s">
        <v>83</v>
      </c>
      <c r="AV539" s="335" t="s">
        <v>83</v>
      </c>
      <c r="AW539" s="335" t="s">
        <v>34</v>
      </c>
      <c r="AX539" s="335" t="s">
        <v>76</v>
      </c>
      <c r="AY539" s="337" t="s">
        <v>146</v>
      </c>
    </row>
    <row r="540" spans="2:51" s="326" customFormat="1" ht="12">
      <c r="B540" s="327"/>
      <c r="D540" s="328" t="s">
        <v>155</v>
      </c>
      <c r="E540" s="329" t="s">
        <v>1</v>
      </c>
      <c r="F540" s="345" t="s">
        <v>508</v>
      </c>
      <c r="H540" s="329" t="s">
        <v>1</v>
      </c>
      <c r="I540" s="497"/>
      <c r="L540" s="338"/>
      <c r="M540" s="332"/>
      <c r="N540" s="333"/>
      <c r="O540" s="333"/>
      <c r="P540" s="333"/>
      <c r="Q540" s="333"/>
      <c r="R540" s="333"/>
      <c r="S540" s="333"/>
      <c r="T540" s="334"/>
      <c r="AT540" s="329" t="s">
        <v>155</v>
      </c>
      <c r="AU540" s="329" t="s">
        <v>83</v>
      </c>
      <c r="AV540" s="326" t="s">
        <v>81</v>
      </c>
      <c r="AW540" s="326" t="s">
        <v>34</v>
      </c>
      <c r="AX540" s="326" t="s">
        <v>76</v>
      </c>
      <c r="AY540" s="329" t="s">
        <v>146</v>
      </c>
    </row>
    <row r="541" spans="2:51" s="326" customFormat="1" ht="12">
      <c r="B541" s="327"/>
      <c r="D541" s="328" t="s">
        <v>155</v>
      </c>
      <c r="E541" s="329" t="s">
        <v>1</v>
      </c>
      <c r="F541" s="345" t="s">
        <v>509</v>
      </c>
      <c r="H541" s="329" t="s">
        <v>1</v>
      </c>
      <c r="I541" s="497"/>
      <c r="L541" s="331"/>
      <c r="M541" s="332"/>
      <c r="N541" s="333"/>
      <c r="O541" s="333"/>
      <c r="P541" s="333"/>
      <c r="Q541" s="333"/>
      <c r="R541" s="333"/>
      <c r="S541" s="333"/>
      <c r="T541" s="334"/>
      <c r="AT541" s="329" t="s">
        <v>155</v>
      </c>
      <c r="AU541" s="329" t="s">
        <v>83</v>
      </c>
      <c r="AV541" s="326" t="s">
        <v>81</v>
      </c>
      <c r="AW541" s="326" t="s">
        <v>34</v>
      </c>
      <c r="AX541" s="326" t="s">
        <v>76</v>
      </c>
      <c r="AY541" s="329" t="s">
        <v>146</v>
      </c>
    </row>
    <row r="542" spans="2:51" s="326" customFormat="1" ht="12">
      <c r="B542" s="327"/>
      <c r="D542" s="328" t="s">
        <v>155</v>
      </c>
      <c r="E542" s="329" t="s">
        <v>1</v>
      </c>
      <c r="F542" s="345" t="s">
        <v>164</v>
      </c>
      <c r="H542" s="329" t="s">
        <v>1</v>
      </c>
      <c r="I542" s="497"/>
      <c r="L542" s="331"/>
      <c r="M542" s="332"/>
      <c r="N542" s="333"/>
      <c r="O542" s="333"/>
      <c r="P542" s="333"/>
      <c r="Q542" s="333"/>
      <c r="R542" s="333"/>
      <c r="S542" s="333"/>
      <c r="T542" s="334"/>
      <c r="AT542" s="329" t="s">
        <v>155</v>
      </c>
      <c r="AU542" s="329" t="s">
        <v>83</v>
      </c>
      <c r="AV542" s="326" t="s">
        <v>81</v>
      </c>
      <c r="AW542" s="326" t="s">
        <v>34</v>
      </c>
      <c r="AX542" s="326" t="s">
        <v>76</v>
      </c>
      <c r="AY542" s="329" t="s">
        <v>146</v>
      </c>
    </row>
    <row r="543" spans="2:51" s="335" customFormat="1" ht="12">
      <c r="B543" s="336"/>
      <c r="D543" s="328" t="s">
        <v>155</v>
      </c>
      <c r="E543" s="337" t="s">
        <v>1</v>
      </c>
      <c r="F543" s="346" t="s">
        <v>510</v>
      </c>
      <c r="H543" s="339">
        <f>(0.925+0.5)*(26.8+12.4)*2</f>
        <v>111.72000000000001</v>
      </c>
      <c r="I543" s="498"/>
      <c r="L543" s="340"/>
      <c r="M543" s="341"/>
      <c r="N543" s="342"/>
      <c r="O543" s="342"/>
      <c r="P543" s="342"/>
      <c r="Q543" s="342"/>
      <c r="R543" s="342"/>
      <c r="S543" s="342"/>
      <c r="T543" s="343"/>
      <c r="AT543" s="337" t="s">
        <v>155</v>
      </c>
      <c r="AU543" s="337" t="s">
        <v>83</v>
      </c>
      <c r="AV543" s="335" t="s">
        <v>83</v>
      </c>
      <c r="AW543" s="335" t="s">
        <v>34</v>
      </c>
      <c r="AX543" s="335" t="s">
        <v>76</v>
      </c>
      <c r="AY543" s="337" t="s">
        <v>146</v>
      </c>
    </row>
    <row r="544" spans="2:51" s="326" customFormat="1" ht="12">
      <c r="B544" s="327"/>
      <c r="D544" s="328" t="s">
        <v>155</v>
      </c>
      <c r="E544" s="329" t="s">
        <v>1</v>
      </c>
      <c r="F544" s="345" t="s">
        <v>511</v>
      </c>
      <c r="H544" s="329" t="s">
        <v>1</v>
      </c>
      <c r="I544" s="497"/>
      <c r="L544" s="331"/>
      <c r="M544" s="332"/>
      <c r="N544" s="333"/>
      <c r="O544" s="333"/>
      <c r="P544" s="333"/>
      <c r="Q544" s="333"/>
      <c r="R544" s="333"/>
      <c r="S544" s="333"/>
      <c r="T544" s="334"/>
      <c r="AT544" s="329" t="s">
        <v>155</v>
      </c>
      <c r="AU544" s="329" t="s">
        <v>83</v>
      </c>
      <c r="AV544" s="326" t="s">
        <v>81</v>
      </c>
      <c r="AW544" s="326" t="s">
        <v>34</v>
      </c>
      <c r="AX544" s="326" t="s">
        <v>76</v>
      </c>
      <c r="AY544" s="329" t="s">
        <v>146</v>
      </c>
    </row>
    <row r="545" spans="2:51" s="335" customFormat="1" ht="12">
      <c r="B545" s="336"/>
      <c r="D545" s="328" t="s">
        <v>155</v>
      </c>
      <c r="E545" s="337" t="s">
        <v>1</v>
      </c>
      <c r="F545" s="346" t="s">
        <v>512</v>
      </c>
      <c r="H545" s="339">
        <f>0.965*(12.4)</f>
        <v>11.966</v>
      </c>
      <c r="I545" s="498"/>
      <c r="L545" s="340"/>
      <c r="M545" s="341"/>
      <c r="N545" s="342"/>
      <c r="O545" s="342"/>
      <c r="P545" s="342"/>
      <c r="Q545" s="342"/>
      <c r="R545" s="342"/>
      <c r="S545" s="342"/>
      <c r="T545" s="343"/>
      <c r="AT545" s="337" t="s">
        <v>155</v>
      </c>
      <c r="AU545" s="337" t="s">
        <v>83</v>
      </c>
      <c r="AV545" s="335" t="s">
        <v>83</v>
      </c>
      <c r="AW545" s="335" t="s">
        <v>34</v>
      </c>
      <c r="AX545" s="335" t="s">
        <v>76</v>
      </c>
      <c r="AY545" s="337" t="s">
        <v>146</v>
      </c>
    </row>
    <row r="546" spans="2:51" s="326" customFormat="1" ht="12">
      <c r="B546" s="327"/>
      <c r="D546" s="328" t="s">
        <v>155</v>
      </c>
      <c r="E546" s="329" t="s">
        <v>1</v>
      </c>
      <c r="F546" s="345" t="s">
        <v>167</v>
      </c>
      <c r="H546" s="329" t="s">
        <v>1</v>
      </c>
      <c r="I546" s="497"/>
      <c r="L546" s="331"/>
      <c r="M546" s="332"/>
      <c r="N546" s="333"/>
      <c r="O546" s="333"/>
      <c r="P546" s="333"/>
      <c r="Q546" s="333"/>
      <c r="R546" s="333"/>
      <c r="S546" s="333"/>
      <c r="T546" s="334"/>
      <c r="AT546" s="329" t="s">
        <v>155</v>
      </c>
      <c r="AU546" s="329" t="s">
        <v>83</v>
      </c>
      <c r="AV546" s="326" t="s">
        <v>81</v>
      </c>
      <c r="AW546" s="326" t="s">
        <v>34</v>
      </c>
      <c r="AX546" s="326" t="s">
        <v>76</v>
      </c>
      <c r="AY546" s="329" t="s">
        <v>146</v>
      </c>
    </row>
    <row r="547" spans="2:51" s="335" customFormat="1" ht="12">
      <c r="B547" s="336"/>
      <c r="D547" s="328" t="s">
        <v>155</v>
      </c>
      <c r="E547" s="337" t="s">
        <v>1</v>
      </c>
      <c r="F547" s="346" t="s">
        <v>2706</v>
      </c>
      <c r="H547" s="339">
        <f>(0.925+0.5)*(22.375+12.4)*2</f>
        <v>99.10875</v>
      </c>
      <c r="I547" s="498"/>
      <c r="L547" s="340"/>
      <c r="M547" s="341"/>
      <c r="N547" s="342"/>
      <c r="O547" s="342"/>
      <c r="P547" s="342"/>
      <c r="Q547" s="342"/>
      <c r="R547" s="342"/>
      <c r="S547" s="342"/>
      <c r="T547" s="343"/>
      <c r="AT547" s="337" t="s">
        <v>155</v>
      </c>
      <c r="AU547" s="337" t="s">
        <v>83</v>
      </c>
      <c r="AV547" s="335" t="s">
        <v>83</v>
      </c>
      <c r="AW547" s="335" t="s">
        <v>34</v>
      </c>
      <c r="AX547" s="335" t="s">
        <v>76</v>
      </c>
      <c r="AY547" s="337" t="s">
        <v>146</v>
      </c>
    </row>
    <row r="548" spans="2:51" s="347" customFormat="1" ht="12">
      <c r="B548" s="348"/>
      <c r="D548" s="328" t="s">
        <v>155</v>
      </c>
      <c r="E548" s="349" t="s">
        <v>1</v>
      </c>
      <c r="F548" s="350" t="s">
        <v>157</v>
      </c>
      <c r="H548" s="351">
        <f>SUM(H534:H547)</f>
        <v>669.69175</v>
      </c>
      <c r="I548" s="499"/>
      <c r="L548" s="352"/>
      <c r="M548" s="353"/>
      <c r="N548" s="354"/>
      <c r="O548" s="354"/>
      <c r="P548" s="354"/>
      <c r="Q548" s="354"/>
      <c r="R548" s="354"/>
      <c r="S548" s="354"/>
      <c r="T548" s="355"/>
      <c r="AT548" s="349" t="s">
        <v>155</v>
      </c>
      <c r="AU548" s="349" t="s">
        <v>83</v>
      </c>
      <c r="AV548" s="347" t="s">
        <v>153</v>
      </c>
      <c r="AW548" s="347" t="s">
        <v>34</v>
      </c>
      <c r="AX548" s="347" t="s">
        <v>81</v>
      </c>
      <c r="AY548" s="349" t="s">
        <v>146</v>
      </c>
    </row>
    <row r="549" spans="1:65" s="225" customFormat="1" ht="24.2" customHeight="1">
      <c r="A549" s="222"/>
      <c r="B549" s="223"/>
      <c r="C549" s="314">
        <v>75</v>
      </c>
      <c r="D549" s="314" t="s">
        <v>148</v>
      </c>
      <c r="E549" s="315" t="s">
        <v>514</v>
      </c>
      <c r="F549" s="344" t="s">
        <v>515</v>
      </c>
      <c r="G549" s="317" t="s">
        <v>151</v>
      </c>
      <c r="H549" s="318">
        <f>H574</f>
        <v>237.978</v>
      </c>
      <c r="I549" s="79"/>
      <c r="J549" s="319">
        <f>ROUND(I549*H549,2)</f>
        <v>0</v>
      </c>
      <c r="K549" s="316"/>
      <c r="L549" s="229"/>
      <c r="M549" s="320" t="s">
        <v>1</v>
      </c>
      <c r="N549" s="321" t="s">
        <v>42</v>
      </c>
      <c r="O549" s="322">
        <v>0.272</v>
      </c>
      <c r="P549" s="322">
        <f>O549*H549</f>
        <v>64.730016</v>
      </c>
      <c r="Q549" s="322">
        <v>0.003</v>
      </c>
      <c r="R549" s="322">
        <f>Q549*H549</f>
        <v>0.7139340000000001</v>
      </c>
      <c r="S549" s="322">
        <v>0</v>
      </c>
      <c r="T549" s="323">
        <f>S549*H549</f>
        <v>0</v>
      </c>
      <c r="U549" s="222"/>
      <c r="V549" s="222"/>
      <c r="W549" s="222"/>
      <c r="X549" s="222"/>
      <c r="Y549" s="222"/>
      <c r="Z549" s="222"/>
      <c r="AA549" s="222"/>
      <c r="AB549" s="222"/>
      <c r="AC549" s="222"/>
      <c r="AD549" s="222"/>
      <c r="AE549" s="222"/>
      <c r="AR549" s="324" t="s">
        <v>153</v>
      </c>
      <c r="AT549" s="324" t="s">
        <v>148</v>
      </c>
      <c r="AU549" s="324" t="s">
        <v>83</v>
      </c>
      <c r="AY549" s="214" t="s">
        <v>146</v>
      </c>
      <c r="BE549" s="325">
        <f>IF(N549="základní",J549,0)</f>
        <v>0</v>
      </c>
      <c r="BF549" s="325">
        <f>IF(N549="snížená",J549,0)</f>
        <v>0</v>
      </c>
      <c r="BG549" s="325">
        <f>IF(N549="zákl. přenesená",J549,0)</f>
        <v>0</v>
      </c>
      <c r="BH549" s="325">
        <f>IF(N549="sníž. přenesená",J549,0)</f>
        <v>0</v>
      </c>
      <c r="BI549" s="325">
        <f>IF(N549="nulová",J549,0)</f>
        <v>0</v>
      </c>
      <c r="BJ549" s="214" t="s">
        <v>81</v>
      </c>
      <c r="BK549" s="325">
        <f>ROUND(I549*H549,2)</f>
        <v>0</v>
      </c>
      <c r="BL549" s="214" t="s">
        <v>153</v>
      </c>
      <c r="BM549" s="324" t="s">
        <v>516</v>
      </c>
    </row>
    <row r="550" spans="1:65" s="225" customFormat="1" ht="24.2" customHeight="1">
      <c r="A550" s="222"/>
      <c r="B550" s="223"/>
      <c r="C550" s="383"/>
      <c r="D550" s="383"/>
      <c r="E550" s="384"/>
      <c r="F550" s="345" t="s">
        <v>3233</v>
      </c>
      <c r="G550" s="385"/>
      <c r="H550" s="386"/>
      <c r="I550" s="86"/>
      <c r="J550" s="387"/>
      <c r="K550" s="388"/>
      <c r="L550" s="229"/>
      <c r="M550" s="320"/>
      <c r="N550" s="321"/>
      <c r="O550" s="322"/>
      <c r="P550" s="322"/>
      <c r="Q550" s="322"/>
      <c r="R550" s="322"/>
      <c r="S550" s="322"/>
      <c r="T550" s="323"/>
      <c r="U550" s="222"/>
      <c r="V550" s="222"/>
      <c r="W550" s="222"/>
      <c r="X550" s="222"/>
      <c r="Y550" s="222"/>
      <c r="Z550" s="222"/>
      <c r="AA550" s="222"/>
      <c r="AB550" s="222"/>
      <c r="AC550" s="222"/>
      <c r="AD550" s="222"/>
      <c r="AE550" s="222"/>
      <c r="AR550" s="324"/>
      <c r="AT550" s="324"/>
      <c r="AU550" s="324"/>
      <c r="AY550" s="214"/>
      <c r="BE550" s="325"/>
      <c r="BF550" s="325"/>
      <c r="BG550" s="325"/>
      <c r="BH550" s="325"/>
      <c r="BI550" s="325"/>
      <c r="BJ550" s="214"/>
      <c r="BK550" s="325"/>
      <c r="BL550" s="214"/>
      <c r="BM550" s="324"/>
    </row>
    <row r="551" spans="2:51" s="390" customFormat="1" ht="12">
      <c r="B551" s="389"/>
      <c r="D551" s="376" t="s">
        <v>155</v>
      </c>
      <c r="E551" s="391" t="s">
        <v>1</v>
      </c>
      <c r="F551" s="346" t="s">
        <v>3239</v>
      </c>
      <c r="H551" s="392">
        <f>(2.35+0.825+0.9)*2.8-0.8*2*2-(1.2+0.825)*2.05</f>
        <v>4.058750000000002</v>
      </c>
      <c r="I551" s="503"/>
      <c r="L551" s="393"/>
      <c r="M551" s="394"/>
      <c r="N551" s="395"/>
      <c r="O551" s="395"/>
      <c r="P551" s="395"/>
      <c r="Q551" s="395"/>
      <c r="R551" s="395"/>
      <c r="S551" s="395"/>
      <c r="T551" s="396"/>
      <c r="AT551" s="391" t="s">
        <v>155</v>
      </c>
      <c r="AU551" s="391" t="s">
        <v>83</v>
      </c>
      <c r="AV551" s="390" t="s">
        <v>83</v>
      </c>
      <c r="AW551" s="390" t="s">
        <v>34</v>
      </c>
      <c r="AX551" s="390" t="s">
        <v>76</v>
      </c>
      <c r="AY551" s="391" t="s">
        <v>146</v>
      </c>
    </row>
    <row r="552" spans="2:51" s="390" customFormat="1" ht="12">
      <c r="B552" s="389"/>
      <c r="D552" s="376" t="s">
        <v>155</v>
      </c>
      <c r="E552" s="391" t="s">
        <v>1</v>
      </c>
      <c r="F552" s="346" t="s">
        <v>3240</v>
      </c>
      <c r="H552" s="392">
        <f>(0.9+1.55)*(2.8-2.05)</f>
        <v>1.8375000000000001</v>
      </c>
      <c r="I552" s="503"/>
      <c r="L552" s="393"/>
      <c r="M552" s="394"/>
      <c r="N552" s="395"/>
      <c r="O552" s="395"/>
      <c r="P552" s="395"/>
      <c r="Q552" s="395"/>
      <c r="R552" s="395"/>
      <c r="S552" s="395"/>
      <c r="T552" s="396"/>
      <c r="AT552" s="391" t="s">
        <v>155</v>
      </c>
      <c r="AU552" s="391" t="s">
        <v>83</v>
      </c>
      <c r="AV552" s="390" t="s">
        <v>83</v>
      </c>
      <c r="AW552" s="390" t="s">
        <v>34</v>
      </c>
      <c r="AX552" s="390" t="s">
        <v>76</v>
      </c>
      <c r="AY552" s="391" t="s">
        <v>146</v>
      </c>
    </row>
    <row r="553" spans="2:51" s="390" customFormat="1" ht="12">
      <c r="B553" s="389"/>
      <c r="D553" s="376" t="s">
        <v>155</v>
      </c>
      <c r="E553" s="391" t="s">
        <v>1</v>
      </c>
      <c r="F553" s="346" t="s">
        <v>3241</v>
      </c>
      <c r="H553" s="392">
        <f>(2.625+2.85)*2.8-0.8*2</f>
        <v>13.729999999999999</v>
      </c>
      <c r="I553" s="503"/>
      <c r="L553" s="393"/>
      <c r="M553" s="394"/>
      <c r="N553" s="395"/>
      <c r="O553" s="395"/>
      <c r="P553" s="395"/>
      <c r="Q553" s="395"/>
      <c r="R553" s="395"/>
      <c r="S553" s="395"/>
      <c r="T553" s="396"/>
      <c r="AT553" s="391" t="s">
        <v>155</v>
      </c>
      <c r="AU553" s="391" t="s">
        <v>83</v>
      </c>
      <c r="AV553" s="390" t="s">
        <v>83</v>
      </c>
      <c r="AW553" s="390" t="s">
        <v>34</v>
      </c>
      <c r="AX553" s="390" t="s">
        <v>76</v>
      </c>
      <c r="AY553" s="391" t="s">
        <v>146</v>
      </c>
    </row>
    <row r="554" spans="2:51" s="390" customFormat="1" ht="12">
      <c r="B554" s="389"/>
      <c r="D554" s="376" t="s">
        <v>155</v>
      </c>
      <c r="E554" s="391" t="s">
        <v>1</v>
      </c>
      <c r="F554" s="346" t="s">
        <v>3242</v>
      </c>
      <c r="H554" s="392">
        <f>(1.2+1.825)*(2.8-2.05)</f>
        <v>2.26875</v>
      </c>
      <c r="I554" s="503"/>
      <c r="L554" s="393"/>
      <c r="M554" s="394"/>
      <c r="N554" s="395"/>
      <c r="O554" s="395"/>
      <c r="P554" s="395"/>
      <c r="Q554" s="395"/>
      <c r="R554" s="395"/>
      <c r="S554" s="395"/>
      <c r="T554" s="396"/>
      <c r="AT554" s="391" t="s">
        <v>155</v>
      </c>
      <c r="AU554" s="391" t="s">
        <v>83</v>
      </c>
      <c r="AV554" s="390" t="s">
        <v>83</v>
      </c>
      <c r="AW554" s="390" t="s">
        <v>34</v>
      </c>
      <c r="AX554" s="390" t="s">
        <v>76</v>
      </c>
      <c r="AY554" s="391" t="s">
        <v>146</v>
      </c>
    </row>
    <row r="555" spans="2:51" s="390" customFormat="1" ht="12">
      <c r="B555" s="389"/>
      <c r="D555" s="376" t="s">
        <v>155</v>
      </c>
      <c r="E555" s="391" t="s">
        <v>1</v>
      </c>
      <c r="F555" s="346" t="s">
        <v>3243</v>
      </c>
      <c r="H555" s="392">
        <f>(1.15*2+1.95)*(2.7-2.05)</f>
        <v>2.7625000000000015</v>
      </c>
      <c r="I555" s="503"/>
      <c r="L555" s="393"/>
      <c r="M555" s="394"/>
      <c r="N555" s="395"/>
      <c r="O555" s="395"/>
      <c r="P555" s="395"/>
      <c r="Q555" s="395"/>
      <c r="R555" s="395"/>
      <c r="S555" s="395"/>
      <c r="T555" s="396"/>
      <c r="AT555" s="391" t="s">
        <v>155</v>
      </c>
      <c r="AU555" s="391" t="s">
        <v>83</v>
      </c>
      <c r="AV555" s="390" t="s">
        <v>83</v>
      </c>
      <c r="AW555" s="390" t="s">
        <v>34</v>
      </c>
      <c r="AX555" s="390" t="s">
        <v>76</v>
      </c>
      <c r="AY555" s="391" t="s">
        <v>146</v>
      </c>
    </row>
    <row r="556" spans="2:51" s="390" customFormat="1" ht="12">
      <c r="B556" s="389"/>
      <c r="D556" s="376" t="s">
        <v>155</v>
      </c>
      <c r="E556" s="391" t="s">
        <v>1</v>
      </c>
      <c r="F556" s="346" t="s">
        <v>3230</v>
      </c>
      <c r="H556" s="392">
        <f>1.45*2.05</f>
        <v>2.9724999999999997</v>
      </c>
      <c r="I556" s="503"/>
      <c r="L556" s="393"/>
      <c r="M556" s="394"/>
      <c r="N556" s="395"/>
      <c r="O556" s="395"/>
      <c r="P556" s="395"/>
      <c r="Q556" s="395"/>
      <c r="R556" s="395"/>
      <c r="S556" s="395"/>
      <c r="T556" s="396"/>
      <c r="AT556" s="391" t="s">
        <v>155</v>
      </c>
      <c r="AU556" s="391" t="s">
        <v>83</v>
      </c>
      <c r="AV556" s="390" t="s">
        <v>83</v>
      </c>
      <c r="AW556" s="390" t="s">
        <v>34</v>
      </c>
      <c r="AX556" s="390" t="s">
        <v>76</v>
      </c>
      <c r="AY556" s="391" t="s">
        <v>146</v>
      </c>
    </row>
    <row r="557" spans="2:51" s="390" customFormat="1" ht="12">
      <c r="B557" s="389"/>
      <c r="D557" s="376" t="s">
        <v>155</v>
      </c>
      <c r="E557" s="391" t="s">
        <v>1</v>
      </c>
      <c r="F557" s="346" t="s">
        <v>3244</v>
      </c>
      <c r="H557" s="392">
        <f>(1+1.55)*2*(2.7-2.05)</f>
        <v>3.3150000000000017</v>
      </c>
      <c r="I557" s="503"/>
      <c r="L557" s="393"/>
      <c r="M557" s="394"/>
      <c r="N557" s="395"/>
      <c r="O557" s="395"/>
      <c r="P557" s="395"/>
      <c r="Q557" s="395"/>
      <c r="R557" s="395"/>
      <c r="S557" s="395"/>
      <c r="T557" s="396"/>
      <c r="AT557" s="391" t="s">
        <v>155</v>
      </c>
      <c r="AU557" s="391" t="s">
        <v>83</v>
      </c>
      <c r="AV557" s="390" t="s">
        <v>83</v>
      </c>
      <c r="AW557" s="390" t="s">
        <v>34</v>
      </c>
      <c r="AX557" s="390" t="s">
        <v>76</v>
      </c>
      <c r="AY557" s="391" t="s">
        <v>146</v>
      </c>
    </row>
    <row r="558" spans="2:51" s="390" customFormat="1" ht="12">
      <c r="B558" s="389"/>
      <c r="D558" s="376" t="s">
        <v>155</v>
      </c>
      <c r="E558" s="391" t="s">
        <v>1</v>
      </c>
      <c r="F558" s="346" t="s">
        <v>3245</v>
      </c>
      <c r="H558" s="392">
        <f>(1+0.8+1.55)*(2.7-2.05)</f>
        <v>2.177500000000001</v>
      </c>
      <c r="I558" s="503"/>
      <c r="L558" s="393"/>
      <c r="M558" s="394"/>
      <c r="N558" s="395"/>
      <c r="O558" s="395"/>
      <c r="P558" s="395"/>
      <c r="Q558" s="395"/>
      <c r="R558" s="395"/>
      <c r="S558" s="395"/>
      <c r="T558" s="396"/>
      <c r="AT558" s="391" t="s">
        <v>155</v>
      </c>
      <c r="AU558" s="391" t="s">
        <v>83</v>
      </c>
      <c r="AV558" s="390" t="s">
        <v>83</v>
      </c>
      <c r="AW558" s="390" t="s">
        <v>34</v>
      </c>
      <c r="AX558" s="390" t="s">
        <v>76</v>
      </c>
      <c r="AY558" s="391" t="s">
        <v>146</v>
      </c>
    </row>
    <row r="559" spans="2:51" s="390" customFormat="1" ht="12">
      <c r="B559" s="389"/>
      <c r="D559" s="376" t="s">
        <v>155</v>
      </c>
      <c r="E559" s="391" t="s">
        <v>1</v>
      </c>
      <c r="F559" s="346" t="s">
        <v>3246</v>
      </c>
      <c r="H559" s="392">
        <f>(4.15*2+6.125*2-3.525)*2.7-0.9*2-0.8*2*2</f>
        <v>40.96750000000001</v>
      </c>
      <c r="I559" s="503"/>
      <c r="L559" s="393"/>
      <c r="M559" s="394"/>
      <c r="N559" s="395"/>
      <c r="O559" s="395"/>
      <c r="P559" s="395"/>
      <c r="Q559" s="395"/>
      <c r="R559" s="395"/>
      <c r="S559" s="395"/>
      <c r="T559" s="396"/>
      <c r="AT559" s="391" t="s">
        <v>155</v>
      </c>
      <c r="AU559" s="391" t="s">
        <v>83</v>
      </c>
      <c r="AV559" s="390" t="s">
        <v>83</v>
      </c>
      <c r="AW559" s="390" t="s">
        <v>34</v>
      </c>
      <c r="AX559" s="390" t="s">
        <v>76</v>
      </c>
      <c r="AY559" s="391" t="s">
        <v>146</v>
      </c>
    </row>
    <row r="560" spans="2:51" s="390" customFormat="1" ht="12">
      <c r="B560" s="389"/>
      <c r="D560" s="376" t="s">
        <v>155</v>
      </c>
      <c r="E560" s="391" t="s">
        <v>1</v>
      </c>
      <c r="F560" s="346" t="s">
        <v>3247</v>
      </c>
      <c r="H560" s="392">
        <f>(2.5+3.025*2+0.9*4)*(2.7-2.05)</f>
        <v>7.897500000000004</v>
      </c>
      <c r="I560" s="503"/>
      <c r="L560" s="393"/>
      <c r="M560" s="394"/>
      <c r="N560" s="395"/>
      <c r="O560" s="395"/>
      <c r="P560" s="395"/>
      <c r="Q560" s="395"/>
      <c r="R560" s="395"/>
      <c r="S560" s="395"/>
      <c r="T560" s="396"/>
      <c r="AT560" s="391" t="s">
        <v>155</v>
      </c>
      <c r="AU560" s="391" t="s">
        <v>83</v>
      </c>
      <c r="AV560" s="390" t="s">
        <v>83</v>
      </c>
      <c r="AW560" s="390" t="s">
        <v>34</v>
      </c>
      <c r="AX560" s="390" t="s">
        <v>76</v>
      </c>
      <c r="AY560" s="391" t="s">
        <v>146</v>
      </c>
    </row>
    <row r="561" spans="2:51" s="390" customFormat="1" ht="12">
      <c r="B561" s="389"/>
      <c r="D561" s="376" t="s">
        <v>155</v>
      </c>
      <c r="E561" s="391" t="s">
        <v>1</v>
      </c>
      <c r="F561" s="346" t="s">
        <v>3248</v>
      </c>
      <c r="H561" s="392">
        <f>(5.9+3.525)*3.22-0.9*2</f>
        <v>28.548500000000004</v>
      </c>
      <c r="I561" s="503"/>
      <c r="L561" s="393"/>
      <c r="M561" s="394"/>
      <c r="N561" s="395"/>
      <c r="O561" s="395"/>
      <c r="P561" s="395"/>
      <c r="Q561" s="395"/>
      <c r="R561" s="395"/>
      <c r="S561" s="395"/>
      <c r="T561" s="396"/>
      <c r="AT561" s="391" t="s">
        <v>155</v>
      </c>
      <c r="AU561" s="391" t="s">
        <v>83</v>
      </c>
      <c r="AV561" s="390" t="s">
        <v>83</v>
      </c>
      <c r="AW561" s="390" t="s">
        <v>34</v>
      </c>
      <c r="AX561" s="390" t="s">
        <v>76</v>
      </c>
      <c r="AY561" s="391" t="s">
        <v>146</v>
      </c>
    </row>
    <row r="562" spans="2:51" s="390" customFormat="1" ht="12">
      <c r="B562" s="389"/>
      <c r="D562" s="376" t="s">
        <v>155</v>
      </c>
      <c r="E562" s="391" t="s">
        <v>1</v>
      </c>
      <c r="F562" s="346" t="s">
        <v>3249</v>
      </c>
      <c r="H562" s="392">
        <f>(6+1.5)*2.7-0.9*2*4</f>
        <v>13.05</v>
      </c>
      <c r="I562" s="503"/>
      <c r="L562" s="393"/>
      <c r="M562" s="394"/>
      <c r="N562" s="395"/>
      <c r="O562" s="395"/>
      <c r="P562" s="395"/>
      <c r="Q562" s="395"/>
      <c r="R562" s="395"/>
      <c r="S562" s="395"/>
      <c r="T562" s="396"/>
      <c r="AT562" s="391" t="s">
        <v>155</v>
      </c>
      <c r="AU562" s="391" t="s">
        <v>83</v>
      </c>
      <c r="AV562" s="390" t="s">
        <v>83</v>
      </c>
      <c r="AW562" s="390" t="s">
        <v>34</v>
      </c>
      <c r="AX562" s="390" t="s">
        <v>76</v>
      </c>
      <c r="AY562" s="391" t="s">
        <v>146</v>
      </c>
    </row>
    <row r="563" spans="2:51" s="390" customFormat="1" ht="12">
      <c r="B563" s="389"/>
      <c r="D563" s="376" t="s">
        <v>155</v>
      </c>
      <c r="E563" s="391" t="s">
        <v>1</v>
      </c>
      <c r="F563" s="346" t="s">
        <v>3175</v>
      </c>
      <c r="H563" s="392">
        <f>(0.45+2.1)*(2.7-0.9)</f>
        <v>4.590000000000001</v>
      </c>
      <c r="I563" s="503"/>
      <c r="L563" s="393"/>
      <c r="M563" s="394"/>
      <c r="N563" s="395"/>
      <c r="O563" s="395"/>
      <c r="P563" s="395"/>
      <c r="Q563" s="395"/>
      <c r="R563" s="395"/>
      <c r="S563" s="395"/>
      <c r="T563" s="396"/>
      <c r="AT563" s="391" t="s">
        <v>155</v>
      </c>
      <c r="AU563" s="391" t="s">
        <v>83</v>
      </c>
      <c r="AV563" s="390" t="s">
        <v>83</v>
      </c>
      <c r="AW563" s="390" t="s">
        <v>34</v>
      </c>
      <c r="AX563" s="390" t="s">
        <v>76</v>
      </c>
      <c r="AY563" s="391" t="s">
        <v>146</v>
      </c>
    </row>
    <row r="564" spans="2:51" s="390" customFormat="1" ht="12">
      <c r="B564" s="389"/>
      <c r="D564" s="376" t="s">
        <v>155</v>
      </c>
      <c r="E564" s="391" t="s">
        <v>1</v>
      </c>
      <c r="F564" s="346" t="s">
        <v>3176</v>
      </c>
      <c r="H564" s="392">
        <f>(0.6+2.25)*2.95</f>
        <v>8.4075</v>
      </c>
      <c r="I564" s="503"/>
      <c r="L564" s="393"/>
      <c r="M564" s="394"/>
      <c r="N564" s="395"/>
      <c r="O564" s="395"/>
      <c r="P564" s="395"/>
      <c r="Q564" s="395"/>
      <c r="R564" s="395"/>
      <c r="S564" s="395"/>
      <c r="T564" s="396"/>
      <c r="AT564" s="391" t="s">
        <v>155</v>
      </c>
      <c r="AU564" s="391" t="s">
        <v>83</v>
      </c>
      <c r="AV564" s="390" t="s">
        <v>83</v>
      </c>
      <c r="AW564" s="390" t="s">
        <v>34</v>
      </c>
      <c r="AX564" s="390" t="s">
        <v>76</v>
      </c>
      <c r="AY564" s="391" t="s">
        <v>146</v>
      </c>
    </row>
    <row r="565" spans="2:51" s="390" customFormat="1" ht="12">
      <c r="B565" s="389"/>
      <c r="D565" s="376" t="s">
        <v>155</v>
      </c>
      <c r="E565" s="391" t="s">
        <v>1</v>
      </c>
      <c r="F565" s="346" t="s">
        <v>3177</v>
      </c>
      <c r="H565" s="392">
        <f>3.7*2.95</f>
        <v>10.915000000000001</v>
      </c>
      <c r="I565" s="503"/>
      <c r="L565" s="393"/>
      <c r="M565" s="394"/>
      <c r="N565" s="395"/>
      <c r="O565" s="395"/>
      <c r="P565" s="395"/>
      <c r="Q565" s="395"/>
      <c r="R565" s="395"/>
      <c r="S565" s="395"/>
      <c r="T565" s="396"/>
      <c r="AT565" s="391" t="s">
        <v>155</v>
      </c>
      <c r="AU565" s="391" t="s">
        <v>83</v>
      </c>
      <c r="AV565" s="390" t="s">
        <v>83</v>
      </c>
      <c r="AW565" s="390" t="s">
        <v>34</v>
      </c>
      <c r="AX565" s="390" t="s">
        <v>76</v>
      </c>
      <c r="AY565" s="391" t="s">
        <v>146</v>
      </c>
    </row>
    <row r="566" spans="2:51" s="390" customFormat="1" ht="12">
      <c r="B566" s="389"/>
      <c r="D566" s="376" t="s">
        <v>155</v>
      </c>
      <c r="E566" s="391" t="s">
        <v>1</v>
      </c>
      <c r="F566" s="346" t="s">
        <v>3178</v>
      </c>
      <c r="H566" s="392">
        <f>1.73*(2.5-2.05)</f>
        <v>0.7785000000000003</v>
      </c>
      <c r="I566" s="503"/>
      <c r="L566" s="393"/>
      <c r="M566" s="394"/>
      <c r="N566" s="395"/>
      <c r="O566" s="395"/>
      <c r="P566" s="395"/>
      <c r="Q566" s="395"/>
      <c r="R566" s="395"/>
      <c r="S566" s="395"/>
      <c r="T566" s="396"/>
      <c r="AT566" s="391" t="s">
        <v>155</v>
      </c>
      <c r="AU566" s="391" t="s">
        <v>83</v>
      </c>
      <c r="AV566" s="390" t="s">
        <v>83</v>
      </c>
      <c r="AW566" s="390" t="s">
        <v>34</v>
      </c>
      <c r="AX566" s="390" t="s">
        <v>76</v>
      </c>
      <c r="AY566" s="391" t="s">
        <v>146</v>
      </c>
    </row>
    <row r="567" spans="2:51" s="390" customFormat="1" ht="12">
      <c r="B567" s="389"/>
      <c r="D567" s="376" t="s">
        <v>155</v>
      </c>
      <c r="E567" s="391" t="s">
        <v>1</v>
      </c>
      <c r="F567" s="346" t="s">
        <v>3179</v>
      </c>
      <c r="H567" s="392">
        <f>1.7*(2.5-2.05)</f>
        <v>0.7650000000000002</v>
      </c>
      <c r="I567" s="503"/>
      <c r="L567" s="393"/>
      <c r="M567" s="394"/>
      <c r="N567" s="395"/>
      <c r="O567" s="395"/>
      <c r="P567" s="395"/>
      <c r="Q567" s="395"/>
      <c r="R567" s="395"/>
      <c r="S567" s="395"/>
      <c r="T567" s="396"/>
      <c r="AT567" s="391" t="s">
        <v>155</v>
      </c>
      <c r="AU567" s="391" t="s">
        <v>83</v>
      </c>
      <c r="AV567" s="390" t="s">
        <v>83</v>
      </c>
      <c r="AW567" s="390" t="s">
        <v>34</v>
      </c>
      <c r="AX567" s="390" t="s">
        <v>76</v>
      </c>
      <c r="AY567" s="391" t="s">
        <v>146</v>
      </c>
    </row>
    <row r="568" spans="2:51" s="390" customFormat="1" ht="12">
      <c r="B568" s="389"/>
      <c r="D568" s="376" t="s">
        <v>155</v>
      </c>
      <c r="E568" s="391" t="s">
        <v>1</v>
      </c>
      <c r="F568" s="346" t="s">
        <v>3180</v>
      </c>
      <c r="H568" s="392">
        <f>1.6*(2.5-2.05)</f>
        <v>0.7200000000000003</v>
      </c>
      <c r="I568" s="503"/>
      <c r="L568" s="393"/>
      <c r="M568" s="394"/>
      <c r="N568" s="395"/>
      <c r="O568" s="395"/>
      <c r="P568" s="395"/>
      <c r="Q568" s="395"/>
      <c r="R568" s="395"/>
      <c r="S568" s="395"/>
      <c r="T568" s="396"/>
      <c r="AT568" s="391" t="s">
        <v>155</v>
      </c>
      <c r="AU568" s="391" t="s">
        <v>83</v>
      </c>
      <c r="AV568" s="390" t="s">
        <v>83</v>
      </c>
      <c r="AW568" s="390" t="s">
        <v>34</v>
      </c>
      <c r="AX568" s="390" t="s">
        <v>76</v>
      </c>
      <c r="AY568" s="391" t="s">
        <v>146</v>
      </c>
    </row>
    <row r="569" spans="2:51" s="390" customFormat="1" ht="12">
      <c r="B569" s="389"/>
      <c r="D569" s="376" t="s">
        <v>155</v>
      </c>
      <c r="E569" s="391" t="s">
        <v>1</v>
      </c>
      <c r="F569" s="346" t="s">
        <v>3181</v>
      </c>
      <c r="H569" s="392">
        <f>(2.8+5.6+1.1+3.4)*2.7-0.9*2*3-0.8*2*3</f>
        <v>24.63</v>
      </c>
      <c r="I569" s="503"/>
      <c r="L569" s="393"/>
      <c r="M569" s="394"/>
      <c r="N569" s="395"/>
      <c r="O569" s="395"/>
      <c r="P569" s="395"/>
      <c r="Q569" s="395"/>
      <c r="R569" s="395"/>
      <c r="S569" s="395"/>
      <c r="T569" s="396"/>
      <c r="AT569" s="391" t="s">
        <v>155</v>
      </c>
      <c r="AU569" s="391" t="s">
        <v>83</v>
      </c>
      <c r="AV569" s="390" t="s">
        <v>83</v>
      </c>
      <c r="AW569" s="390" t="s">
        <v>34</v>
      </c>
      <c r="AX569" s="390" t="s">
        <v>76</v>
      </c>
      <c r="AY569" s="391" t="s">
        <v>146</v>
      </c>
    </row>
    <row r="570" spans="2:51" s="390" customFormat="1" ht="12">
      <c r="B570" s="389"/>
      <c r="D570" s="376" t="s">
        <v>155</v>
      </c>
      <c r="E570" s="391" t="s">
        <v>1</v>
      </c>
      <c r="F570" s="346" t="s">
        <v>3183</v>
      </c>
      <c r="H570" s="392">
        <f>4.5*2.7+0.9*2-0.9*2-0.9*0.9</f>
        <v>11.34</v>
      </c>
      <c r="I570" s="503"/>
      <c r="L570" s="393"/>
      <c r="M570" s="394"/>
      <c r="N570" s="395"/>
      <c r="O570" s="395"/>
      <c r="P570" s="395"/>
      <c r="Q570" s="395"/>
      <c r="R570" s="395"/>
      <c r="S570" s="395"/>
      <c r="T570" s="396"/>
      <c r="AT570" s="391" t="s">
        <v>155</v>
      </c>
      <c r="AU570" s="391" t="s">
        <v>83</v>
      </c>
      <c r="AV570" s="390" t="s">
        <v>83</v>
      </c>
      <c r="AW570" s="390" t="s">
        <v>34</v>
      </c>
      <c r="AX570" s="390" t="s">
        <v>76</v>
      </c>
      <c r="AY570" s="391" t="s">
        <v>146</v>
      </c>
    </row>
    <row r="571" spans="2:51" s="390" customFormat="1" ht="12">
      <c r="B571" s="389"/>
      <c r="D571" s="376" t="s">
        <v>155</v>
      </c>
      <c r="E571" s="391" t="s">
        <v>1</v>
      </c>
      <c r="F571" s="346" t="s">
        <v>3182</v>
      </c>
      <c r="H571" s="392">
        <f>(3.35+2.7)*2.7-0.9*2</f>
        <v>14.535000000000004</v>
      </c>
      <c r="I571" s="503"/>
      <c r="L571" s="393"/>
      <c r="M571" s="394"/>
      <c r="N571" s="395"/>
      <c r="O571" s="395"/>
      <c r="P571" s="395"/>
      <c r="Q571" s="395"/>
      <c r="R571" s="395"/>
      <c r="S571" s="395"/>
      <c r="T571" s="396"/>
      <c r="AT571" s="391" t="s">
        <v>155</v>
      </c>
      <c r="AU571" s="391" t="s">
        <v>83</v>
      </c>
      <c r="AV571" s="390" t="s">
        <v>83</v>
      </c>
      <c r="AW571" s="390" t="s">
        <v>34</v>
      </c>
      <c r="AX571" s="390" t="s">
        <v>76</v>
      </c>
      <c r="AY571" s="391" t="s">
        <v>146</v>
      </c>
    </row>
    <row r="572" spans="2:51" s="390" customFormat="1" ht="12">
      <c r="B572" s="389"/>
      <c r="D572" s="376" t="s">
        <v>155</v>
      </c>
      <c r="E572" s="391" t="s">
        <v>1</v>
      </c>
      <c r="F572" s="346" t="s">
        <v>3184</v>
      </c>
      <c r="H572" s="392">
        <f>(3.83+3.1)*2.7-0.9*2</f>
        <v>16.911</v>
      </c>
      <c r="I572" s="503"/>
      <c r="L572" s="393"/>
      <c r="M572" s="394"/>
      <c r="N572" s="395"/>
      <c r="O572" s="395"/>
      <c r="P572" s="395"/>
      <c r="Q572" s="395"/>
      <c r="R572" s="395"/>
      <c r="S572" s="395"/>
      <c r="T572" s="396"/>
      <c r="AT572" s="391" t="s">
        <v>155</v>
      </c>
      <c r="AU572" s="391" t="s">
        <v>83</v>
      </c>
      <c r="AV572" s="390" t="s">
        <v>83</v>
      </c>
      <c r="AW572" s="390" t="s">
        <v>34</v>
      </c>
      <c r="AX572" s="390" t="s">
        <v>76</v>
      </c>
      <c r="AY572" s="391" t="s">
        <v>146</v>
      </c>
    </row>
    <row r="573" spans="2:51" s="390" customFormat="1" ht="12">
      <c r="B573" s="389"/>
      <c r="D573" s="376" t="s">
        <v>155</v>
      </c>
      <c r="E573" s="391" t="s">
        <v>1</v>
      </c>
      <c r="F573" s="346" t="s">
        <v>3185</v>
      </c>
      <c r="H573" s="392">
        <f>(2.85+1.63)*2*2.5-0.8*2</f>
        <v>20.8</v>
      </c>
      <c r="I573" s="503"/>
      <c r="L573" s="393"/>
      <c r="M573" s="394"/>
      <c r="N573" s="395"/>
      <c r="O573" s="395"/>
      <c r="P573" s="395"/>
      <c r="Q573" s="395"/>
      <c r="R573" s="395"/>
      <c r="S573" s="395"/>
      <c r="T573" s="396"/>
      <c r="AT573" s="391" t="s">
        <v>155</v>
      </c>
      <c r="AU573" s="391" t="s">
        <v>83</v>
      </c>
      <c r="AV573" s="390" t="s">
        <v>83</v>
      </c>
      <c r="AW573" s="390" t="s">
        <v>34</v>
      </c>
      <c r="AX573" s="390" t="s">
        <v>76</v>
      </c>
      <c r="AY573" s="391" t="s">
        <v>146</v>
      </c>
    </row>
    <row r="574" spans="2:51" s="374" customFormat="1" ht="12">
      <c r="B574" s="375"/>
      <c r="D574" s="376" t="s">
        <v>155</v>
      </c>
      <c r="E574" s="377" t="s">
        <v>1</v>
      </c>
      <c r="F574" s="350" t="s">
        <v>157</v>
      </c>
      <c r="H574" s="378">
        <f>SUM(H551:H573)</f>
        <v>237.978</v>
      </c>
      <c r="I574" s="502"/>
      <c r="L574" s="379"/>
      <c r="M574" s="380"/>
      <c r="N574" s="381"/>
      <c r="O574" s="381"/>
      <c r="P574" s="381"/>
      <c r="Q574" s="381"/>
      <c r="R574" s="381"/>
      <c r="S574" s="381"/>
      <c r="T574" s="382"/>
      <c r="AT574" s="377" t="s">
        <v>155</v>
      </c>
      <c r="AU574" s="377" t="s">
        <v>83</v>
      </c>
      <c r="AV574" s="374" t="s">
        <v>153</v>
      </c>
      <c r="AW574" s="374" t="s">
        <v>34</v>
      </c>
      <c r="AX574" s="374" t="s">
        <v>81</v>
      </c>
      <c r="AY574" s="377" t="s">
        <v>146</v>
      </c>
    </row>
    <row r="575" spans="1:65" s="225" customFormat="1" ht="24.2" customHeight="1">
      <c r="A575" s="222"/>
      <c r="B575" s="223"/>
      <c r="C575" s="314">
        <v>76</v>
      </c>
      <c r="D575" s="314" t="s">
        <v>148</v>
      </c>
      <c r="E575" s="315"/>
      <c r="F575" s="344" t="s">
        <v>2967</v>
      </c>
      <c r="G575" s="317" t="s">
        <v>151</v>
      </c>
      <c r="H575" s="318">
        <f>H577</f>
        <v>50.41199999999999</v>
      </c>
      <c r="I575" s="79"/>
      <c r="J575" s="319">
        <f>ROUND(I575*H575,2)</f>
        <v>0</v>
      </c>
      <c r="K575" s="316"/>
      <c r="L575" s="229"/>
      <c r="M575" s="320" t="s">
        <v>1</v>
      </c>
      <c r="N575" s="321" t="s">
        <v>42</v>
      </c>
      <c r="O575" s="322">
        <v>1.908</v>
      </c>
      <c r="P575" s="322">
        <f>O575*H575</f>
        <v>96.18609599999998</v>
      </c>
      <c r="Q575" s="322">
        <v>0.05</v>
      </c>
      <c r="R575" s="322">
        <f>Q575*H575</f>
        <v>2.5206</v>
      </c>
      <c r="S575" s="322">
        <v>0</v>
      </c>
      <c r="T575" s="323">
        <f>S575*H575</f>
        <v>0</v>
      </c>
      <c r="U575" s="222"/>
      <c r="V575" s="222"/>
      <c r="W575" s="222"/>
      <c r="X575" s="222"/>
      <c r="Y575" s="222"/>
      <c r="Z575" s="222"/>
      <c r="AA575" s="222"/>
      <c r="AB575" s="222"/>
      <c r="AC575" s="222"/>
      <c r="AD575" s="222"/>
      <c r="AE575" s="222"/>
      <c r="AR575" s="324" t="s">
        <v>153</v>
      </c>
      <c r="AT575" s="324" t="s">
        <v>148</v>
      </c>
      <c r="AU575" s="324" t="s">
        <v>83</v>
      </c>
      <c r="AY575" s="214" t="s">
        <v>146</v>
      </c>
      <c r="BE575" s="325">
        <f>IF(N575="základní",J575,0)</f>
        <v>0</v>
      </c>
      <c r="BF575" s="325">
        <f>IF(N575="snížená",J575,0)</f>
        <v>0</v>
      </c>
      <c r="BG575" s="325">
        <f>IF(N575="zákl. přenesená",J575,0)</f>
        <v>0</v>
      </c>
      <c r="BH575" s="325">
        <f>IF(N575="sníž. přenesená",J575,0)</f>
        <v>0</v>
      </c>
      <c r="BI575" s="325">
        <f>IF(N575="nulová",J575,0)</f>
        <v>0</v>
      </c>
      <c r="BJ575" s="214" t="s">
        <v>81</v>
      </c>
      <c r="BK575" s="325">
        <f>ROUND(I575*H575,2)</f>
        <v>0</v>
      </c>
      <c r="BL575" s="214" t="s">
        <v>153</v>
      </c>
      <c r="BM575" s="324" t="s">
        <v>518</v>
      </c>
    </row>
    <row r="576" spans="2:51" s="326" customFormat="1" ht="12">
      <c r="B576" s="327"/>
      <c r="D576" s="328" t="s">
        <v>155</v>
      </c>
      <c r="E576" s="329" t="s">
        <v>1</v>
      </c>
      <c r="F576" s="345" t="s">
        <v>519</v>
      </c>
      <c r="H576" s="329" t="s">
        <v>1</v>
      </c>
      <c r="I576" s="497"/>
      <c r="L576" s="331"/>
      <c r="M576" s="332"/>
      <c r="N576" s="333"/>
      <c r="O576" s="333"/>
      <c r="P576" s="333"/>
      <c r="Q576" s="333"/>
      <c r="R576" s="333"/>
      <c r="S576" s="333"/>
      <c r="T576" s="334"/>
      <c r="AT576" s="329" t="s">
        <v>155</v>
      </c>
      <c r="AU576" s="329" t="s">
        <v>83</v>
      </c>
      <c r="AV576" s="326" t="s">
        <v>81</v>
      </c>
      <c r="AW576" s="326" t="s">
        <v>34</v>
      </c>
      <c r="AX576" s="326" t="s">
        <v>76</v>
      </c>
      <c r="AY576" s="329" t="s">
        <v>146</v>
      </c>
    </row>
    <row r="577" spans="2:51" s="335" customFormat="1" ht="45">
      <c r="B577" s="336"/>
      <c r="D577" s="328" t="s">
        <v>155</v>
      </c>
      <c r="E577" s="337" t="s">
        <v>1</v>
      </c>
      <c r="F577" s="346" t="s">
        <v>3238</v>
      </c>
      <c r="H577" s="339">
        <f>0.9*2*2+0.9*2+1.575*2.9*2+1.5*1.5*3+6.21*2.9-1.6*1.2*2+1.8*(0.88+0.25)+0.1*1.5+1.5*0.9+1.6*(3.18-2.14)*2*2+1.6*2.98</f>
        <v>50.41199999999999</v>
      </c>
      <c r="I577" s="498"/>
      <c r="L577" s="340"/>
      <c r="M577" s="341"/>
      <c r="N577" s="342"/>
      <c r="O577" s="342"/>
      <c r="P577" s="342"/>
      <c r="Q577" s="342"/>
      <c r="R577" s="342"/>
      <c r="S577" s="342"/>
      <c r="T577" s="343"/>
      <c r="AT577" s="337" t="s">
        <v>155</v>
      </c>
      <c r="AU577" s="337" t="s">
        <v>83</v>
      </c>
      <c r="AV577" s="335" t="s">
        <v>83</v>
      </c>
      <c r="AW577" s="335" t="s">
        <v>34</v>
      </c>
      <c r="AX577" s="335" t="s">
        <v>76</v>
      </c>
      <c r="AY577" s="337" t="s">
        <v>146</v>
      </c>
    </row>
    <row r="578" spans="1:65" s="225" customFormat="1" ht="24.2" customHeight="1">
      <c r="A578" s="222"/>
      <c r="B578" s="223"/>
      <c r="C578" s="314">
        <v>77</v>
      </c>
      <c r="D578" s="314" t="s">
        <v>148</v>
      </c>
      <c r="E578" s="397" t="s">
        <v>521</v>
      </c>
      <c r="F578" s="344" t="s">
        <v>3225</v>
      </c>
      <c r="G578" s="317" t="s">
        <v>151</v>
      </c>
      <c r="H578" s="318">
        <f>H591</f>
        <v>47.684749999999994</v>
      </c>
      <c r="I578" s="79"/>
      <c r="J578" s="319">
        <f>ROUND(I578*H578,2)</f>
        <v>0</v>
      </c>
      <c r="K578" s="316"/>
      <c r="L578" s="229"/>
      <c r="M578" s="320" t="s">
        <v>1</v>
      </c>
      <c r="N578" s="321" t="s">
        <v>42</v>
      </c>
      <c r="O578" s="322">
        <v>0.27</v>
      </c>
      <c r="P578" s="322">
        <f>O578*H578</f>
        <v>12.8748825</v>
      </c>
      <c r="Q578" s="322">
        <v>0.0157</v>
      </c>
      <c r="R578" s="322">
        <f>Q578*H578</f>
        <v>0.7486505749999999</v>
      </c>
      <c r="S578" s="322">
        <v>0</v>
      </c>
      <c r="T578" s="323">
        <f>S578*H578</f>
        <v>0</v>
      </c>
      <c r="U578" s="222"/>
      <c r="V578" s="222"/>
      <c r="W578" s="222"/>
      <c r="X578" s="222"/>
      <c r="Y578" s="222"/>
      <c r="Z578" s="222"/>
      <c r="AA578" s="222"/>
      <c r="AB578" s="222"/>
      <c r="AC578" s="222"/>
      <c r="AD578" s="222"/>
      <c r="AE578" s="222"/>
      <c r="AR578" s="324" t="s">
        <v>153</v>
      </c>
      <c r="AT578" s="324" t="s">
        <v>148</v>
      </c>
      <c r="AU578" s="324" t="s">
        <v>83</v>
      </c>
      <c r="AY578" s="214" t="s">
        <v>146</v>
      </c>
      <c r="BE578" s="325">
        <f>IF(N578="základní",J578,0)</f>
        <v>0</v>
      </c>
      <c r="BF578" s="325">
        <f>IF(N578="snížená",J578,0)</f>
        <v>0</v>
      </c>
      <c r="BG578" s="325">
        <f>IF(N578="zákl. přenesená",J578,0)</f>
        <v>0</v>
      </c>
      <c r="BH578" s="325">
        <f>IF(N578="sníž. přenesená",J578,0)</f>
        <v>0</v>
      </c>
      <c r="BI578" s="325">
        <f>IF(N578="nulová",J578,0)</f>
        <v>0</v>
      </c>
      <c r="BJ578" s="214" t="s">
        <v>81</v>
      </c>
      <c r="BK578" s="325">
        <f>ROUND(I578*H578,2)</f>
        <v>0</v>
      </c>
      <c r="BL578" s="214" t="s">
        <v>153</v>
      </c>
      <c r="BM578" s="324" t="s">
        <v>522</v>
      </c>
    </row>
    <row r="579" spans="2:51" s="335" customFormat="1" ht="12">
      <c r="B579" s="336"/>
      <c r="D579" s="328" t="s">
        <v>155</v>
      </c>
      <c r="E579" s="337" t="s">
        <v>1</v>
      </c>
      <c r="F579" s="346" t="s">
        <v>3226</v>
      </c>
      <c r="H579" s="339">
        <f>0.73*2.05</f>
        <v>1.4965</v>
      </c>
      <c r="I579" s="498"/>
      <c r="L579" s="340"/>
      <c r="M579" s="341"/>
      <c r="N579" s="342"/>
      <c r="O579" s="342"/>
      <c r="P579" s="342"/>
      <c r="Q579" s="342"/>
      <c r="R579" s="342"/>
      <c r="S579" s="342"/>
      <c r="T579" s="343"/>
      <c r="AT579" s="337" t="s">
        <v>155</v>
      </c>
      <c r="AU579" s="337" t="s">
        <v>83</v>
      </c>
      <c r="AV579" s="335" t="s">
        <v>83</v>
      </c>
      <c r="AW579" s="335" t="s">
        <v>34</v>
      </c>
      <c r="AX579" s="335" t="s">
        <v>76</v>
      </c>
      <c r="AY579" s="337" t="s">
        <v>146</v>
      </c>
    </row>
    <row r="580" spans="2:51" s="335" customFormat="1" ht="12">
      <c r="B580" s="336"/>
      <c r="D580" s="328" t="s">
        <v>155</v>
      </c>
      <c r="E580" s="337" t="s">
        <v>1</v>
      </c>
      <c r="F580" s="346" t="s">
        <v>3208</v>
      </c>
      <c r="H580" s="339">
        <f>(1.55+0.9)*2.05</f>
        <v>5.0225</v>
      </c>
      <c r="I580" s="498"/>
      <c r="L580" s="340"/>
      <c r="M580" s="341"/>
      <c r="N580" s="342"/>
      <c r="O580" s="342"/>
      <c r="P580" s="342"/>
      <c r="Q580" s="342"/>
      <c r="R580" s="342"/>
      <c r="S580" s="342"/>
      <c r="T580" s="343"/>
      <c r="AT580" s="337" t="s">
        <v>155</v>
      </c>
      <c r="AU580" s="337" t="s">
        <v>83</v>
      </c>
      <c r="AV580" s="335" t="s">
        <v>83</v>
      </c>
      <c r="AW580" s="335" t="s">
        <v>34</v>
      </c>
      <c r="AX580" s="335" t="s">
        <v>76</v>
      </c>
      <c r="AY580" s="337" t="s">
        <v>146</v>
      </c>
    </row>
    <row r="581" spans="2:51" s="335" customFormat="1" ht="12">
      <c r="B581" s="336"/>
      <c r="D581" s="328" t="s">
        <v>155</v>
      </c>
      <c r="E581" s="337" t="s">
        <v>1</v>
      </c>
      <c r="F581" s="346" t="s">
        <v>3227</v>
      </c>
      <c r="H581" s="339">
        <f>(0.9+0.95)*2.05</f>
        <v>3.7925</v>
      </c>
      <c r="I581" s="498"/>
      <c r="L581" s="340"/>
      <c r="M581" s="341"/>
      <c r="N581" s="342"/>
      <c r="O581" s="342"/>
      <c r="P581" s="342"/>
      <c r="Q581" s="342"/>
      <c r="R581" s="342"/>
      <c r="S581" s="342"/>
      <c r="T581" s="343"/>
      <c r="AT581" s="337" t="s">
        <v>155</v>
      </c>
      <c r="AU581" s="337" t="s">
        <v>83</v>
      </c>
      <c r="AV581" s="335" t="s">
        <v>83</v>
      </c>
      <c r="AW581" s="335" t="s">
        <v>34</v>
      </c>
      <c r="AX581" s="335" t="s">
        <v>76</v>
      </c>
      <c r="AY581" s="337" t="s">
        <v>146</v>
      </c>
    </row>
    <row r="582" spans="2:51" s="335" customFormat="1" ht="12">
      <c r="B582" s="336"/>
      <c r="D582" s="328" t="s">
        <v>155</v>
      </c>
      <c r="E582" s="337" t="s">
        <v>1</v>
      </c>
      <c r="F582" s="346" t="s">
        <v>3228</v>
      </c>
      <c r="H582" s="339">
        <f>(1.2+1.825)*2.05-0.8*2+(0.92+2.1*2)*0.15</f>
        <v>5.369249999999998</v>
      </c>
      <c r="I582" s="498"/>
      <c r="L582" s="340"/>
      <c r="M582" s="341"/>
      <c r="N582" s="342"/>
      <c r="O582" s="342"/>
      <c r="P582" s="342"/>
      <c r="Q582" s="342"/>
      <c r="R582" s="342"/>
      <c r="S582" s="342"/>
      <c r="T582" s="343"/>
      <c r="AT582" s="337" t="s">
        <v>155</v>
      </c>
      <c r="AU582" s="337" t="s">
        <v>83</v>
      </c>
      <c r="AV582" s="335" t="s">
        <v>83</v>
      </c>
      <c r="AW582" s="335" t="s">
        <v>34</v>
      </c>
      <c r="AX582" s="335" t="s">
        <v>76</v>
      </c>
      <c r="AY582" s="337" t="s">
        <v>146</v>
      </c>
    </row>
    <row r="583" spans="2:51" s="335" customFormat="1" ht="12">
      <c r="B583" s="336"/>
      <c r="D583" s="328" t="s">
        <v>155</v>
      </c>
      <c r="E583" s="337" t="s">
        <v>1</v>
      </c>
      <c r="F583" s="346" t="s">
        <v>3229</v>
      </c>
      <c r="H583" s="339">
        <f>1.95*2.05</f>
        <v>3.9974999999999996</v>
      </c>
      <c r="I583" s="498"/>
      <c r="L583" s="340"/>
      <c r="M583" s="341"/>
      <c r="N583" s="342"/>
      <c r="O583" s="342"/>
      <c r="P583" s="342"/>
      <c r="Q583" s="342"/>
      <c r="R583" s="342"/>
      <c r="S583" s="342"/>
      <c r="T583" s="343"/>
      <c r="AT583" s="337" t="s">
        <v>155</v>
      </c>
      <c r="AU583" s="337" t="s">
        <v>83</v>
      </c>
      <c r="AV583" s="335" t="s">
        <v>83</v>
      </c>
      <c r="AW583" s="335" t="s">
        <v>34</v>
      </c>
      <c r="AX583" s="335" t="s">
        <v>76</v>
      </c>
      <c r="AY583" s="337" t="s">
        <v>146</v>
      </c>
    </row>
    <row r="584" spans="2:51" s="335" customFormat="1" ht="12">
      <c r="B584" s="336"/>
      <c r="D584" s="328" t="s">
        <v>155</v>
      </c>
      <c r="E584" s="337" t="s">
        <v>1</v>
      </c>
      <c r="F584" s="346" t="s">
        <v>3252</v>
      </c>
      <c r="H584" s="339">
        <f>1.35*2.05</f>
        <v>2.7675</v>
      </c>
      <c r="I584" s="498"/>
      <c r="L584" s="340"/>
      <c r="M584" s="341"/>
      <c r="N584" s="342"/>
      <c r="O584" s="342"/>
      <c r="P584" s="342"/>
      <c r="Q584" s="342"/>
      <c r="R584" s="342"/>
      <c r="S584" s="342"/>
      <c r="T584" s="343"/>
      <c r="AT584" s="337" t="s">
        <v>155</v>
      </c>
      <c r="AU584" s="337" t="s">
        <v>83</v>
      </c>
      <c r="AV584" s="335" t="s">
        <v>83</v>
      </c>
      <c r="AW584" s="335" t="s">
        <v>34</v>
      </c>
      <c r="AX584" s="335" t="s">
        <v>76</v>
      </c>
      <c r="AY584" s="337" t="s">
        <v>146</v>
      </c>
    </row>
    <row r="585" spans="2:51" s="335" customFormat="1" ht="12">
      <c r="B585" s="336"/>
      <c r="D585" s="328" t="s">
        <v>155</v>
      </c>
      <c r="E585" s="337" t="s">
        <v>1</v>
      </c>
      <c r="F585" s="346" t="s">
        <v>3231</v>
      </c>
      <c r="H585" s="339">
        <f>2.5*2.05</f>
        <v>5.125</v>
      </c>
      <c r="I585" s="498"/>
      <c r="L585" s="340"/>
      <c r="M585" s="341"/>
      <c r="N585" s="342"/>
      <c r="O585" s="342"/>
      <c r="P585" s="342"/>
      <c r="Q585" s="342"/>
      <c r="R585" s="342"/>
      <c r="S585" s="342"/>
      <c r="T585" s="343"/>
      <c r="AT585" s="337" t="s">
        <v>155</v>
      </c>
      <c r="AU585" s="337" t="s">
        <v>83</v>
      </c>
      <c r="AV585" s="335" t="s">
        <v>83</v>
      </c>
      <c r="AW585" s="335" t="s">
        <v>34</v>
      </c>
      <c r="AX585" s="335" t="s">
        <v>76</v>
      </c>
      <c r="AY585" s="337" t="s">
        <v>146</v>
      </c>
    </row>
    <row r="586" spans="2:51" s="335" customFormat="1" ht="12">
      <c r="B586" s="336"/>
      <c r="D586" s="328" t="s">
        <v>155</v>
      </c>
      <c r="E586" s="337" t="s">
        <v>1</v>
      </c>
      <c r="F586" s="346" t="s">
        <v>3170</v>
      </c>
      <c r="H586" s="339">
        <f>(1.5*2+1.73-0.8*2)*2.05</f>
        <v>6.4165</v>
      </c>
      <c r="I586" s="498"/>
      <c r="L586" s="340"/>
      <c r="M586" s="341"/>
      <c r="N586" s="342"/>
      <c r="O586" s="342"/>
      <c r="P586" s="342"/>
      <c r="Q586" s="342"/>
      <c r="R586" s="342"/>
      <c r="S586" s="342"/>
      <c r="T586" s="343"/>
      <c r="AT586" s="337" t="s">
        <v>155</v>
      </c>
      <c r="AU586" s="337" t="s">
        <v>83</v>
      </c>
      <c r="AV586" s="335" t="s">
        <v>83</v>
      </c>
      <c r="AW586" s="335" t="s">
        <v>34</v>
      </c>
      <c r="AX586" s="335" t="s">
        <v>76</v>
      </c>
      <c r="AY586" s="337" t="s">
        <v>146</v>
      </c>
    </row>
    <row r="587" spans="2:51" s="335" customFormat="1" ht="12">
      <c r="B587" s="336"/>
      <c r="D587" s="328" t="s">
        <v>155</v>
      </c>
      <c r="E587" s="337" t="s">
        <v>1</v>
      </c>
      <c r="F587" s="346" t="s">
        <v>3171</v>
      </c>
      <c r="H587" s="339">
        <f>(1.7+1.5-0.8*2)*2.05</f>
        <v>3.28</v>
      </c>
      <c r="I587" s="498"/>
      <c r="L587" s="340"/>
      <c r="M587" s="341"/>
      <c r="N587" s="342"/>
      <c r="O587" s="342"/>
      <c r="P587" s="342"/>
      <c r="Q587" s="342"/>
      <c r="R587" s="342"/>
      <c r="S587" s="342"/>
      <c r="T587" s="343"/>
      <c r="AT587" s="337" t="s">
        <v>155</v>
      </c>
      <c r="AU587" s="337" t="s">
        <v>83</v>
      </c>
      <c r="AV587" s="335" t="s">
        <v>83</v>
      </c>
      <c r="AW587" s="335" t="s">
        <v>34</v>
      </c>
      <c r="AX587" s="335" t="s">
        <v>76</v>
      </c>
      <c r="AY587" s="337" t="s">
        <v>146</v>
      </c>
    </row>
    <row r="588" spans="2:51" s="335" customFormat="1" ht="12">
      <c r="B588" s="336"/>
      <c r="D588" s="328" t="s">
        <v>155</v>
      </c>
      <c r="E588" s="337" t="s">
        <v>1</v>
      </c>
      <c r="F588" s="346" t="s">
        <v>3172</v>
      </c>
      <c r="H588" s="339">
        <f>(1.6+1.85-0.8*2)*2.05</f>
        <v>3.7925</v>
      </c>
      <c r="I588" s="498"/>
      <c r="L588" s="340"/>
      <c r="M588" s="341"/>
      <c r="N588" s="342"/>
      <c r="O588" s="342"/>
      <c r="P588" s="342"/>
      <c r="Q588" s="342"/>
      <c r="R588" s="342"/>
      <c r="S588" s="342"/>
      <c r="T588" s="343"/>
      <c r="AT588" s="337" t="s">
        <v>155</v>
      </c>
      <c r="AU588" s="337" t="s">
        <v>83</v>
      </c>
      <c r="AV588" s="335" t="s">
        <v>83</v>
      </c>
      <c r="AW588" s="335" t="s">
        <v>34</v>
      </c>
      <c r="AX588" s="335" t="s">
        <v>76</v>
      </c>
      <c r="AY588" s="337" t="s">
        <v>146</v>
      </c>
    </row>
    <row r="589" spans="2:51" s="335" customFormat="1" ht="12">
      <c r="B589" s="336"/>
      <c r="D589" s="328" t="s">
        <v>155</v>
      </c>
      <c r="E589" s="337" t="s">
        <v>1</v>
      </c>
      <c r="F589" s="346" t="s">
        <v>3173</v>
      </c>
      <c r="H589" s="339">
        <f>1.1*2.5</f>
        <v>2.75</v>
      </c>
      <c r="I589" s="498"/>
      <c r="L589" s="340"/>
      <c r="M589" s="341"/>
      <c r="N589" s="342"/>
      <c r="O589" s="342"/>
      <c r="P589" s="342"/>
      <c r="Q589" s="342"/>
      <c r="R589" s="342"/>
      <c r="S589" s="342"/>
      <c r="T589" s="343"/>
      <c r="AT589" s="337" t="s">
        <v>155</v>
      </c>
      <c r="AU589" s="337" t="s">
        <v>83</v>
      </c>
      <c r="AV589" s="335" t="s">
        <v>83</v>
      </c>
      <c r="AW589" s="335" t="s">
        <v>34</v>
      </c>
      <c r="AX589" s="335" t="s">
        <v>76</v>
      </c>
      <c r="AY589" s="337" t="s">
        <v>146</v>
      </c>
    </row>
    <row r="590" spans="2:51" s="335" customFormat="1" ht="12">
      <c r="B590" s="336"/>
      <c r="D590" s="328" t="s">
        <v>155</v>
      </c>
      <c r="E590" s="337" t="s">
        <v>1</v>
      </c>
      <c r="F590" s="346" t="s">
        <v>3174</v>
      </c>
      <c r="H590" s="339">
        <f>1.55*2.5</f>
        <v>3.875</v>
      </c>
      <c r="I590" s="498"/>
      <c r="L590" s="340"/>
      <c r="M590" s="341"/>
      <c r="N590" s="342"/>
      <c r="O590" s="342"/>
      <c r="P590" s="342"/>
      <c r="Q590" s="342"/>
      <c r="R590" s="342"/>
      <c r="S590" s="342"/>
      <c r="T590" s="343"/>
      <c r="AT590" s="337" t="s">
        <v>155</v>
      </c>
      <c r="AU590" s="337" t="s">
        <v>83</v>
      </c>
      <c r="AV590" s="335" t="s">
        <v>83</v>
      </c>
      <c r="AW590" s="335" t="s">
        <v>34</v>
      </c>
      <c r="AX590" s="335" t="s">
        <v>76</v>
      </c>
      <c r="AY590" s="337" t="s">
        <v>146</v>
      </c>
    </row>
    <row r="591" spans="2:51" s="347" customFormat="1" ht="12">
      <c r="B591" s="348"/>
      <c r="D591" s="328" t="s">
        <v>155</v>
      </c>
      <c r="E591" s="349" t="s">
        <v>1</v>
      </c>
      <c r="F591" s="350" t="s">
        <v>157</v>
      </c>
      <c r="H591" s="351">
        <f>SUM(H579:H590)</f>
        <v>47.684749999999994</v>
      </c>
      <c r="I591" s="499"/>
      <c r="L591" s="352"/>
      <c r="M591" s="353"/>
      <c r="N591" s="354"/>
      <c r="O591" s="354"/>
      <c r="P591" s="354"/>
      <c r="Q591" s="354"/>
      <c r="R591" s="354"/>
      <c r="S591" s="354"/>
      <c r="T591" s="355"/>
      <c r="AT591" s="349" t="s">
        <v>155</v>
      </c>
      <c r="AU591" s="349" t="s">
        <v>83</v>
      </c>
      <c r="AV591" s="347" t="s">
        <v>153</v>
      </c>
      <c r="AW591" s="347" t="s">
        <v>34</v>
      </c>
      <c r="AX591" s="347" t="s">
        <v>81</v>
      </c>
      <c r="AY591" s="349" t="s">
        <v>146</v>
      </c>
    </row>
    <row r="592" spans="1:65" s="225" customFormat="1" ht="24.75" customHeight="1">
      <c r="A592" s="222"/>
      <c r="B592" s="223"/>
      <c r="C592" s="314">
        <v>78</v>
      </c>
      <c r="D592" s="314" t="s">
        <v>148</v>
      </c>
      <c r="E592" s="315"/>
      <c r="F592" s="344" t="s">
        <v>3250</v>
      </c>
      <c r="G592" s="317" t="s">
        <v>151</v>
      </c>
      <c r="H592" s="318">
        <f>H633</f>
        <v>1986.058</v>
      </c>
      <c r="I592" s="79"/>
      <c r="J592" s="319">
        <f>ROUND(I592*H592,2)</f>
        <v>0</v>
      </c>
      <c r="K592" s="316"/>
      <c r="L592" s="229"/>
      <c r="M592" s="320" t="s">
        <v>1</v>
      </c>
      <c r="N592" s="321" t="s">
        <v>42</v>
      </c>
      <c r="O592" s="322">
        <v>0.27</v>
      </c>
      <c r="P592" s="322">
        <f>O592*H592</f>
        <v>536.23566</v>
      </c>
      <c r="Q592" s="322">
        <v>0.0157</v>
      </c>
      <c r="R592" s="322">
        <f>Q592*H592</f>
        <v>31.181110599999997</v>
      </c>
      <c r="S592" s="322">
        <v>0</v>
      </c>
      <c r="T592" s="323">
        <f>S592*H592</f>
        <v>0</v>
      </c>
      <c r="U592" s="222"/>
      <c r="V592" s="222"/>
      <c r="W592" s="222"/>
      <c r="X592" s="222"/>
      <c r="Y592" s="222"/>
      <c r="Z592" s="222"/>
      <c r="AA592" s="222"/>
      <c r="AB592" s="222"/>
      <c r="AC592" s="222"/>
      <c r="AD592" s="222"/>
      <c r="AE592" s="222"/>
      <c r="AR592" s="324" t="s">
        <v>153</v>
      </c>
      <c r="AT592" s="324" t="s">
        <v>148</v>
      </c>
      <c r="AU592" s="324" t="s">
        <v>83</v>
      </c>
      <c r="AY592" s="214" t="s">
        <v>146</v>
      </c>
      <c r="BE592" s="325">
        <f>IF(N592="základní",J592,0)</f>
        <v>0</v>
      </c>
      <c r="BF592" s="325">
        <f>IF(N592="snížená",J592,0)</f>
        <v>0</v>
      </c>
      <c r="BG592" s="325">
        <f>IF(N592="zákl. přenesená",J592,0)</f>
        <v>0</v>
      </c>
      <c r="BH592" s="325">
        <f>IF(N592="sníž. přenesená",J592,0)</f>
        <v>0</v>
      </c>
      <c r="BI592" s="325">
        <f>IF(N592="nulová",J592,0)</f>
        <v>0</v>
      </c>
      <c r="BJ592" s="214" t="s">
        <v>81</v>
      </c>
      <c r="BK592" s="325">
        <f>ROUND(I592*H592,2)</f>
        <v>0</v>
      </c>
      <c r="BL592" s="214" t="s">
        <v>153</v>
      </c>
      <c r="BM592" s="324" t="s">
        <v>522</v>
      </c>
    </row>
    <row r="593" spans="2:51" s="335" customFormat="1" ht="22.5">
      <c r="B593" s="336"/>
      <c r="D593" s="328" t="s">
        <v>155</v>
      </c>
      <c r="E593" s="337" t="s">
        <v>1</v>
      </c>
      <c r="F593" s="346" t="s">
        <v>3201</v>
      </c>
      <c r="H593" s="339">
        <f>(4.6+2.85*2+0.4*2)*2.75-1.6*2-1.8*2.4+(1.8+2.4*2)*0.25</f>
        <v>24.655000000000005</v>
      </c>
      <c r="I593" s="498"/>
      <c r="L593" s="340"/>
      <c r="M593" s="341"/>
      <c r="N593" s="342"/>
      <c r="O593" s="342"/>
      <c r="P593" s="342"/>
      <c r="Q593" s="342"/>
      <c r="R593" s="342"/>
      <c r="S593" s="342"/>
      <c r="T593" s="343"/>
      <c r="AT593" s="337" t="s">
        <v>155</v>
      </c>
      <c r="AU593" s="337" t="s">
        <v>83</v>
      </c>
      <c r="AV593" s="335" t="s">
        <v>83</v>
      </c>
      <c r="AW593" s="335" t="s">
        <v>34</v>
      </c>
      <c r="AX593" s="335" t="s">
        <v>76</v>
      </c>
      <c r="AY593" s="337" t="s">
        <v>146</v>
      </c>
    </row>
    <row r="594" spans="2:51" s="335" customFormat="1" ht="12">
      <c r="B594" s="336"/>
      <c r="D594" s="328" t="s">
        <v>155</v>
      </c>
      <c r="E594" s="337" t="s">
        <v>1</v>
      </c>
      <c r="F594" s="346" t="s">
        <v>3202</v>
      </c>
      <c r="H594" s="339">
        <f>(3.7+3.6)*2*2.9-0.9*2-2.1*1.5+(2.1+1.5*2)*0.25</f>
        <v>38.665000000000006</v>
      </c>
      <c r="I594" s="498"/>
      <c r="L594" s="340"/>
      <c r="M594" s="341"/>
      <c r="N594" s="342"/>
      <c r="O594" s="342"/>
      <c r="P594" s="342"/>
      <c r="Q594" s="342"/>
      <c r="R594" s="342"/>
      <c r="S594" s="342"/>
      <c r="T594" s="343"/>
      <c r="AT594" s="337" t="s">
        <v>155</v>
      </c>
      <c r="AU594" s="337" t="s">
        <v>83</v>
      </c>
      <c r="AV594" s="335" t="s">
        <v>83</v>
      </c>
      <c r="AW594" s="335" t="s">
        <v>34</v>
      </c>
      <c r="AX594" s="335" t="s">
        <v>76</v>
      </c>
      <c r="AY594" s="337" t="s">
        <v>146</v>
      </c>
    </row>
    <row r="595" spans="2:51" s="335" customFormat="1" ht="22.5">
      <c r="B595" s="336"/>
      <c r="D595" s="328" t="s">
        <v>155</v>
      </c>
      <c r="E595" s="337" t="s">
        <v>1</v>
      </c>
      <c r="F595" s="346" t="s">
        <v>3203</v>
      </c>
      <c r="H595" s="339">
        <f>(6.4+4.15+0.4)*2.9-0.9*2-1.55*2-2.1*1.5*2+(2.1+1.5*2)*0.25*2+(0.9+2.1*2+1.6+2.1*2)*0.15</f>
        <v>24.740000000000002</v>
      </c>
      <c r="I595" s="498"/>
      <c r="L595" s="340"/>
      <c r="M595" s="341"/>
      <c r="N595" s="342"/>
      <c r="O595" s="342"/>
      <c r="P595" s="342"/>
      <c r="Q595" s="342"/>
      <c r="R595" s="342"/>
      <c r="S595" s="342"/>
      <c r="T595" s="343"/>
      <c r="AT595" s="337" t="s">
        <v>155</v>
      </c>
      <c r="AU595" s="337" t="s">
        <v>83</v>
      </c>
      <c r="AV595" s="335" t="s">
        <v>83</v>
      </c>
      <c r="AW595" s="335" t="s">
        <v>34</v>
      </c>
      <c r="AX595" s="335" t="s">
        <v>76</v>
      </c>
      <c r="AY595" s="337" t="s">
        <v>146</v>
      </c>
    </row>
    <row r="596" spans="2:51" s="335" customFormat="1" ht="22.5">
      <c r="B596" s="336"/>
      <c r="D596" s="328" t="s">
        <v>155</v>
      </c>
      <c r="E596" s="337" t="s">
        <v>1</v>
      </c>
      <c r="F596" s="346" t="s">
        <v>3204</v>
      </c>
      <c r="H596" s="339">
        <f>(4.05+4.15)*2*2.9-1.55*2-2.1*1.5+(2.1+1.5*2)*0.25+(1.6+2.1*2)*0.15</f>
        <v>43.45499999999999</v>
      </c>
      <c r="I596" s="498"/>
      <c r="L596" s="340"/>
      <c r="M596" s="341"/>
      <c r="N596" s="342"/>
      <c r="O596" s="342"/>
      <c r="P596" s="342"/>
      <c r="Q596" s="342"/>
      <c r="R596" s="342"/>
      <c r="S596" s="342"/>
      <c r="T596" s="343"/>
      <c r="AT596" s="337" t="s">
        <v>155</v>
      </c>
      <c r="AU596" s="337" t="s">
        <v>83</v>
      </c>
      <c r="AV596" s="335" t="s">
        <v>83</v>
      </c>
      <c r="AW596" s="335" t="s">
        <v>34</v>
      </c>
      <c r="AX596" s="335" t="s">
        <v>76</v>
      </c>
      <c r="AY596" s="337" t="s">
        <v>146</v>
      </c>
    </row>
    <row r="597" spans="2:51" s="335" customFormat="1" ht="22.5">
      <c r="B597" s="336"/>
      <c r="D597" s="328" t="s">
        <v>155</v>
      </c>
      <c r="E597" s="337" t="s">
        <v>1</v>
      </c>
      <c r="F597" s="346" t="s">
        <v>3205</v>
      </c>
      <c r="H597" s="339">
        <f>(3.63+4.15)*2*2.9-(0.6*2+4.15)*0.55-0.9*2-2.1*1.5+(2.1+1.5*2)*0.25+(1+2.1*2)*0.15</f>
        <v>39.286500000000004</v>
      </c>
      <c r="I597" s="498"/>
      <c r="L597" s="340"/>
      <c r="M597" s="341"/>
      <c r="N597" s="342"/>
      <c r="O597" s="342"/>
      <c r="P597" s="342"/>
      <c r="Q597" s="342"/>
      <c r="R597" s="342"/>
      <c r="S597" s="342"/>
      <c r="T597" s="343"/>
      <c r="AT597" s="337" t="s">
        <v>155</v>
      </c>
      <c r="AU597" s="337" t="s">
        <v>83</v>
      </c>
      <c r="AV597" s="335" t="s">
        <v>83</v>
      </c>
      <c r="AW597" s="335" t="s">
        <v>34</v>
      </c>
      <c r="AX597" s="335" t="s">
        <v>76</v>
      </c>
      <c r="AY597" s="337" t="s">
        <v>146</v>
      </c>
    </row>
    <row r="598" spans="2:51" s="335" customFormat="1" ht="12">
      <c r="B598" s="336"/>
      <c r="D598" s="328" t="s">
        <v>155</v>
      </c>
      <c r="E598" s="337" t="s">
        <v>1</v>
      </c>
      <c r="F598" s="346" t="s">
        <v>3206</v>
      </c>
      <c r="H598" s="339">
        <f>(1.73+2.35)*2.8-0.8*2+(1+2.1*2)*0.15</f>
        <v>10.604</v>
      </c>
      <c r="I598" s="498"/>
      <c r="L598" s="340"/>
      <c r="M598" s="341"/>
      <c r="N598" s="342"/>
      <c r="O598" s="342"/>
      <c r="P598" s="342"/>
      <c r="Q598" s="342"/>
      <c r="R598" s="342"/>
      <c r="S598" s="342"/>
      <c r="T598" s="343"/>
      <c r="AT598" s="337" t="s">
        <v>155</v>
      </c>
      <c r="AU598" s="337" t="s">
        <v>83</v>
      </c>
      <c r="AV598" s="335" t="s">
        <v>83</v>
      </c>
      <c r="AW598" s="335" t="s">
        <v>34</v>
      </c>
      <c r="AX598" s="335" t="s">
        <v>76</v>
      </c>
      <c r="AY598" s="337" t="s">
        <v>146</v>
      </c>
    </row>
    <row r="599" spans="2:51" s="335" customFormat="1" ht="12">
      <c r="B599" s="336"/>
      <c r="D599" s="328" t="s">
        <v>155</v>
      </c>
      <c r="E599" s="337" t="s">
        <v>1</v>
      </c>
      <c r="F599" s="346" t="s">
        <v>3207</v>
      </c>
      <c r="H599" s="339">
        <f>(1.55+0.9)*(2.8-2.05)-0.6*0.75+(0.6+0.75*2)*0.25</f>
        <v>1.9125</v>
      </c>
      <c r="I599" s="498"/>
      <c r="L599" s="340"/>
      <c r="M599" s="341"/>
      <c r="N599" s="342"/>
      <c r="O599" s="342"/>
      <c r="P599" s="342"/>
      <c r="Q599" s="342"/>
      <c r="R599" s="342"/>
      <c r="S599" s="342"/>
      <c r="T599" s="343"/>
      <c r="AT599" s="337" t="s">
        <v>155</v>
      </c>
      <c r="AU599" s="337" t="s">
        <v>83</v>
      </c>
      <c r="AV599" s="335" t="s">
        <v>83</v>
      </c>
      <c r="AW599" s="335" t="s">
        <v>34</v>
      </c>
      <c r="AX599" s="335" t="s">
        <v>76</v>
      </c>
      <c r="AY599" s="337" t="s">
        <v>146</v>
      </c>
    </row>
    <row r="600" spans="2:51" s="335" customFormat="1" ht="11.25" customHeight="1">
      <c r="B600" s="336"/>
      <c r="D600" s="328" t="s">
        <v>155</v>
      </c>
      <c r="E600" s="337" t="s">
        <v>1</v>
      </c>
      <c r="F600" s="346" t="s">
        <v>3209</v>
      </c>
      <c r="H600" s="339">
        <f>(1.88+0.4*2+1.8)*2.8-0.6*0.75*2+(0.6+0.75*2)*0.25*2</f>
        <v>12.693999999999999</v>
      </c>
      <c r="I600" s="498"/>
      <c r="L600" s="340"/>
      <c r="M600" s="341"/>
      <c r="N600" s="342"/>
      <c r="O600" s="342"/>
      <c r="P600" s="342"/>
      <c r="Q600" s="342"/>
      <c r="R600" s="342"/>
      <c r="S600" s="342"/>
      <c r="T600" s="343"/>
      <c r="AT600" s="337" t="s">
        <v>155</v>
      </c>
      <c r="AU600" s="337" t="s">
        <v>83</v>
      </c>
      <c r="AV600" s="335" t="s">
        <v>83</v>
      </c>
      <c r="AW600" s="335" t="s">
        <v>34</v>
      </c>
      <c r="AX600" s="335" t="s">
        <v>76</v>
      </c>
      <c r="AY600" s="337" t="s">
        <v>146</v>
      </c>
    </row>
    <row r="601" spans="2:51" s="335" customFormat="1" ht="12">
      <c r="B601" s="336"/>
      <c r="D601" s="328" t="s">
        <v>155</v>
      </c>
      <c r="E601" s="337" t="s">
        <v>1</v>
      </c>
      <c r="F601" s="346" t="s">
        <v>3210</v>
      </c>
      <c r="H601" s="339">
        <f>(1.2+1.83)*(2.8-0.05)</f>
        <v>8.332500000000001</v>
      </c>
      <c r="I601" s="498"/>
      <c r="L601" s="340"/>
      <c r="M601" s="341"/>
      <c r="N601" s="342"/>
      <c r="O601" s="342"/>
      <c r="P601" s="342"/>
      <c r="Q601" s="342"/>
      <c r="R601" s="342"/>
      <c r="S601" s="342"/>
      <c r="T601" s="343"/>
      <c r="AT601" s="337" t="s">
        <v>155</v>
      </c>
      <c r="AU601" s="337" t="s">
        <v>83</v>
      </c>
      <c r="AV601" s="335" t="s">
        <v>83</v>
      </c>
      <c r="AW601" s="335" t="s">
        <v>34</v>
      </c>
      <c r="AX601" s="335" t="s">
        <v>76</v>
      </c>
      <c r="AY601" s="337" t="s">
        <v>146</v>
      </c>
    </row>
    <row r="602" spans="2:51" s="335" customFormat="1" ht="12">
      <c r="B602" s="336"/>
      <c r="D602" s="328" t="s">
        <v>155</v>
      </c>
      <c r="E602" s="337" t="s">
        <v>1</v>
      </c>
      <c r="F602" s="346" t="s">
        <v>3211</v>
      </c>
      <c r="H602" s="339">
        <f>1.95*(2.7-2.05)</f>
        <v>1.2675000000000007</v>
      </c>
      <c r="I602" s="498"/>
      <c r="L602" s="340"/>
      <c r="M602" s="341"/>
      <c r="N602" s="342"/>
      <c r="O602" s="342"/>
      <c r="P602" s="342"/>
      <c r="Q602" s="342"/>
      <c r="R602" s="342"/>
      <c r="S602" s="342"/>
      <c r="T602" s="343"/>
      <c r="AT602" s="337" t="s">
        <v>155</v>
      </c>
      <c r="AU602" s="337" t="s">
        <v>83</v>
      </c>
      <c r="AV602" s="335" t="s">
        <v>83</v>
      </c>
      <c r="AW602" s="335" t="s">
        <v>34</v>
      </c>
      <c r="AX602" s="335" t="s">
        <v>76</v>
      </c>
      <c r="AY602" s="337" t="s">
        <v>146</v>
      </c>
    </row>
    <row r="603" spans="2:51" s="335" customFormat="1" ht="12">
      <c r="B603" s="336"/>
      <c r="D603" s="328" t="s">
        <v>155</v>
      </c>
      <c r="E603" s="337" t="s">
        <v>1</v>
      </c>
      <c r="F603" s="346" t="s">
        <v>3251</v>
      </c>
      <c r="H603" s="339">
        <f>1.35*(2.7-2.05)-0.6*0.63+(0.6+0.63*2)*0.25</f>
        <v>0.9645000000000005</v>
      </c>
      <c r="I603" s="498"/>
      <c r="L603" s="340"/>
      <c r="M603" s="341"/>
      <c r="N603" s="342"/>
      <c r="O603" s="342"/>
      <c r="P603" s="342"/>
      <c r="Q603" s="342"/>
      <c r="R603" s="342"/>
      <c r="S603" s="342"/>
      <c r="T603" s="343"/>
      <c r="AT603" s="337" t="s">
        <v>155</v>
      </c>
      <c r="AU603" s="337" t="s">
        <v>83</v>
      </c>
      <c r="AV603" s="335" t="s">
        <v>83</v>
      </c>
      <c r="AW603" s="335" t="s">
        <v>34</v>
      </c>
      <c r="AX603" s="335" t="s">
        <v>76</v>
      </c>
      <c r="AY603" s="337" t="s">
        <v>146</v>
      </c>
    </row>
    <row r="604" spans="2:51" s="335" customFormat="1" ht="12">
      <c r="B604" s="336"/>
      <c r="D604" s="328" t="s">
        <v>155</v>
      </c>
      <c r="E604" s="337" t="s">
        <v>1</v>
      </c>
      <c r="F604" s="346" t="s">
        <v>3212</v>
      </c>
      <c r="H604" s="339">
        <f>1.65*(2.7-2.05)</f>
        <v>1.0725000000000005</v>
      </c>
      <c r="I604" s="498"/>
      <c r="L604" s="340"/>
      <c r="M604" s="341"/>
      <c r="N604" s="342"/>
      <c r="O604" s="342"/>
      <c r="P604" s="342"/>
      <c r="Q604" s="342"/>
      <c r="R604" s="342"/>
      <c r="S604" s="342"/>
      <c r="T604" s="343"/>
      <c r="AT604" s="337" t="s">
        <v>155</v>
      </c>
      <c r="AU604" s="337" t="s">
        <v>83</v>
      </c>
      <c r="AV604" s="335" t="s">
        <v>83</v>
      </c>
      <c r="AW604" s="335" t="s">
        <v>34</v>
      </c>
      <c r="AX604" s="335" t="s">
        <v>76</v>
      </c>
      <c r="AY604" s="337" t="s">
        <v>146</v>
      </c>
    </row>
    <row r="605" spans="2:51" s="335" customFormat="1" ht="12">
      <c r="B605" s="336"/>
      <c r="D605" s="328" t="s">
        <v>155</v>
      </c>
      <c r="E605" s="337" t="s">
        <v>1</v>
      </c>
      <c r="F605" s="346" t="s">
        <v>3213</v>
      </c>
      <c r="H605" s="339">
        <f>3.7*2.7-0.6*0.63+(0.6+0.63*2)*0.25</f>
        <v>10.077000000000002</v>
      </c>
      <c r="I605" s="498"/>
      <c r="L605" s="340"/>
      <c r="M605" s="341"/>
      <c r="N605" s="342"/>
      <c r="O605" s="342"/>
      <c r="P605" s="342"/>
      <c r="Q605" s="342"/>
      <c r="R605" s="342"/>
      <c r="S605" s="342"/>
      <c r="T605" s="343"/>
      <c r="AT605" s="337" t="s">
        <v>155</v>
      </c>
      <c r="AU605" s="337" t="s">
        <v>83</v>
      </c>
      <c r="AV605" s="335" t="s">
        <v>83</v>
      </c>
      <c r="AW605" s="335" t="s">
        <v>34</v>
      </c>
      <c r="AX605" s="335" t="s">
        <v>76</v>
      </c>
      <c r="AY605" s="337" t="s">
        <v>146</v>
      </c>
    </row>
    <row r="606" spans="2:51" s="335" customFormat="1" ht="22.5">
      <c r="B606" s="336"/>
      <c r="D606" s="328" t="s">
        <v>155</v>
      </c>
      <c r="E606" s="337" t="s">
        <v>1</v>
      </c>
      <c r="F606" s="346" t="s">
        <v>3214</v>
      </c>
      <c r="H606" s="339">
        <f>(6.08+5.9+2.55)*3.22+(6.1+12.25)*2*(5.58-3.22)-1.5*1.5*2+(1.5*3)*0.4</f>
        <v>130.69860000000003</v>
      </c>
      <c r="I606" s="498"/>
      <c r="L606" s="340"/>
      <c r="M606" s="341"/>
      <c r="N606" s="342"/>
      <c r="O606" s="342"/>
      <c r="P606" s="342"/>
      <c r="Q606" s="342"/>
      <c r="R606" s="342"/>
      <c r="S606" s="342"/>
      <c r="T606" s="343"/>
      <c r="AT606" s="337" t="s">
        <v>155</v>
      </c>
      <c r="AU606" s="337" t="s">
        <v>83</v>
      </c>
      <c r="AV606" s="335" t="s">
        <v>83</v>
      </c>
      <c r="AW606" s="335" t="s">
        <v>34</v>
      </c>
      <c r="AX606" s="335" t="s">
        <v>76</v>
      </c>
      <c r="AY606" s="337" t="s">
        <v>146</v>
      </c>
    </row>
    <row r="607" spans="2:51" s="335" customFormat="1" ht="12">
      <c r="B607" s="336"/>
      <c r="D607" s="328" t="s">
        <v>155</v>
      </c>
      <c r="E607" s="337" t="s">
        <v>1</v>
      </c>
      <c r="F607" s="346" t="s">
        <v>3215</v>
      </c>
      <c r="H607" s="339">
        <f>(6+1.55)*2.7-0.9*2*2+(1+2.1*2)*0.3*2</f>
        <v>19.905</v>
      </c>
      <c r="I607" s="498"/>
      <c r="L607" s="340"/>
      <c r="M607" s="341"/>
      <c r="N607" s="342"/>
      <c r="O607" s="342"/>
      <c r="P607" s="342"/>
      <c r="Q607" s="342"/>
      <c r="R607" s="342"/>
      <c r="S607" s="342"/>
      <c r="T607" s="343"/>
      <c r="AT607" s="337" t="s">
        <v>155</v>
      </c>
      <c r="AU607" s="337" t="s">
        <v>83</v>
      </c>
      <c r="AV607" s="335" t="s">
        <v>83</v>
      </c>
      <c r="AW607" s="335" t="s">
        <v>34</v>
      </c>
      <c r="AX607" s="335" t="s">
        <v>76</v>
      </c>
      <c r="AY607" s="337" t="s">
        <v>146</v>
      </c>
    </row>
    <row r="608" spans="2:51" s="335" customFormat="1" ht="12">
      <c r="B608" s="336"/>
      <c r="D608" s="328" t="s">
        <v>155</v>
      </c>
      <c r="E608" s="337" t="s">
        <v>1</v>
      </c>
      <c r="F608" s="346" t="s">
        <v>3265</v>
      </c>
      <c r="H608" s="339">
        <f>(17.6+1.6)*2*2.75-0.9*2*7-0.8*2-1.55*2*2-1.6*2.75</f>
        <v>80.80000000000003</v>
      </c>
      <c r="I608" s="498"/>
      <c r="L608" s="340"/>
      <c r="M608" s="341"/>
      <c r="N608" s="342"/>
      <c r="O608" s="342"/>
      <c r="P608" s="342"/>
      <c r="Q608" s="342"/>
      <c r="R608" s="342"/>
      <c r="S608" s="342"/>
      <c r="T608" s="343"/>
      <c r="AT608" s="337" t="s">
        <v>155</v>
      </c>
      <c r="AU608" s="337" t="s">
        <v>83</v>
      </c>
      <c r="AV608" s="335" t="s">
        <v>83</v>
      </c>
      <c r="AW608" s="335" t="s">
        <v>34</v>
      </c>
      <c r="AX608" s="335" t="s">
        <v>76</v>
      </c>
      <c r="AY608" s="337" t="s">
        <v>146</v>
      </c>
    </row>
    <row r="609" spans="2:51" s="335" customFormat="1" ht="12">
      <c r="B609" s="336"/>
      <c r="D609" s="328" t="s">
        <v>155</v>
      </c>
      <c r="E609" s="337" t="s">
        <v>1</v>
      </c>
      <c r="F609" s="346" t="s">
        <v>3266</v>
      </c>
      <c r="H609" s="339">
        <f>(5.8*2+3.6)*3.53-2.8*3.5</f>
        <v>43.855999999999995</v>
      </c>
      <c r="I609" s="498"/>
      <c r="L609" s="340"/>
      <c r="M609" s="341"/>
      <c r="N609" s="342"/>
      <c r="O609" s="342"/>
      <c r="P609" s="342"/>
      <c r="Q609" s="342"/>
      <c r="R609" s="342"/>
      <c r="S609" s="342"/>
      <c r="T609" s="343"/>
      <c r="AT609" s="337" t="s">
        <v>155</v>
      </c>
      <c r="AU609" s="337" t="s">
        <v>83</v>
      </c>
      <c r="AV609" s="335" t="s">
        <v>83</v>
      </c>
      <c r="AW609" s="335" t="s">
        <v>34</v>
      </c>
      <c r="AX609" s="335" t="s">
        <v>76</v>
      </c>
      <c r="AY609" s="337" t="s">
        <v>146</v>
      </c>
    </row>
    <row r="610" spans="2:51" s="335" customFormat="1" ht="22.5">
      <c r="B610" s="336"/>
      <c r="D610" s="328" t="s">
        <v>155</v>
      </c>
      <c r="E610" s="337" t="s">
        <v>1</v>
      </c>
      <c r="F610" s="346" t="s">
        <v>3217</v>
      </c>
      <c r="H610" s="339">
        <f>(6.15+3.5)*2*3.18-0.9*2-2.1*1.5+(1+2.1*2)*0.15+(2.1+1.5*2)*0.25</f>
        <v>58.479000000000006</v>
      </c>
      <c r="I610" s="498"/>
      <c r="L610" s="340"/>
      <c r="M610" s="341"/>
      <c r="N610" s="342"/>
      <c r="O610" s="342"/>
      <c r="P610" s="342"/>
      <c r="Q610" s="342"/>
      <c r="R610" s="342"/>
      <c r="S610" s="342"/>
      <c r="T610" s="343"/>
      <c r="AT610" s="337" t="s">
        <v>155</v>
      </c>
      <c r="AU610" s="337" t="s">
        <v>83</v>
      </c>
      <c r="AV610" s="335" t="s">
        <v>83</v>
      </c>
      <c r="AW610" s="335" t="s">
        <v>34</v>
      </c>
      <c r="AX610" s="335" t="s">
        <v>76</v>
      </c>
      <c r="AY610" s="337" t="s">
        <v>146</v>
      </c>
    </row>
    <row r="611" spans="2:51" s="335" customFormat="1" ht="22.5">
      <c r="B611" s="336"/>
      <c r="D611" s="328" t="s">
        <v>155</v>
      </c>
      <c r="E611" s="337" t="s">
        <v>1</v>
      </c>
      <c r="F611" s="346" t="s">
        <v>3218</v>
      </c>
      <c r="H611" s="339">
        <f>(6.15+2.88)*2*3.18-0.9*2-2.1*1.5+(1+2.1*2)*0.15+(2.1+1.5*2)*0.25</f>
        <v>54.535800000000016</v>
      </c>
      <c r="I611" s="498"/>
      <c r="L611" s="340"/>
      <c r="M611" s="341"/>
      <c r="N611" s="342"/>
      <c r="O611" s="342"/>
      <c r="P611" s="342"/>
      <c r="Q611" s="342"/>
      <c r="R611" s="342"/>
      <c r="S611" s="342"/>
      <c r="T611" s="343"/>
      <c r="AT611" s="337" t="s">
        <v>155</v>
      </c>
      <c r="AU611" s="337" t="s">
        <v>83</v>
      </c>
      <c r="AV611" s="335" t="s">
        <v>83</v>
      </c>
      <c r="AW611" s="335" t="s">
        <v>34</v>
      </c>
      <c r="AX611" s="335" t="s">
        <v>76</v>
      </c>
      <c r="AY611" s="337" t="s">
        <v>146</v>
      </c>
    </row>
    <row r="612" spans="2:51" s="335" customFormat="1" ht="22.5">
      <c r="B612" s="336"/>
      <c r="D612" s="328" t="s">
        <v>155</v>
      </c>
      <c r="E612" s="337" t="s">
        <v>1</v>
      </c>
      <c r="F612" s="346" t="s">
        <v>3219</v>
      </c>
      <c r="H612" s="339">
        <f>(6.15+3.68)*2*3.18-0.9*2-1.45*2.4-0.9*1.5+(1+2.1*2)*0.15+(1.45+2.4*2+0.9+1.5*2)*0.25</f>
        <v>59.20630000000001</v>
      </c>
      <c r="I612" s="498"/>
      <c r="L612" s="340"/>
      <c r="M612" s="341"/>
      <c r="N612" s="342"/>
      <c r="O612" s="342"/>
      <c r="P612" s="342"/>
      <c r="Q612" s="342"/>
      <c r="R612" s="342"/>
      <c r="S612" s="342"/>
      <c r="T612" s="343"/>
      <c r="AT612" s="337" t="s">
        <v>155</v>
      </c>
      <c r="AU612" s="337" t="s">
        <v>83</v>
      </c>
      <c r="AV612" s="335" t="s">
        <v>83</v>
      </c>
      <c r="AW612" s="335" t="s">
        <v>34</v>
      </c>
      <c r="AX612" s="335" t="s">
        <v>76</v>
      </c>
      <c r="AY612" s="337" t="s">
        <v>146</v>
      </c>
    </row>
    <row r="613" spans="2:51" s="335" customFormat="1" ht="22.5">
      <c r="B613" s="336"/>
      <c r="D613" s="328" t="s">
        <v>155</v>
      </c>
      <c r="E613" s="337" t="s">
        <v>1</v>
      </c>
      <c r="F613" s="346" t="s">
        <v>3220</v>
      </c>
      <c r="H613" s="339">
        <f>(6.15+7.73+0.4)*2*3.18-0.9*2-1.75*2.4-2.1*1.5+(1+2.1*2)*0.15+(1.75+2.4*2+2.1+1.5*2)*0.25</f>
        <v>85.3633</v>
      </c>
      <c r="I613" s="498"/>
      <c r="L613" s="340"/>
      <c r="M613" s="341"/>
      <c r="N613" s="342"/>
      <c r="O613" s="342"/>
      <c r="P613" s="342"/>
      <c r="Q613" s="342"/>
      <c r="R613" s="342"/>
      <c r="S613" s="342"/>
      <c r="T613" s="343"/>
      <c r="AT613" s="337" t="s">
        <v>155</v>
      </c>
      <c r="AU613" s="337" t="s">
        <v>83</v>
      </c>
      <c r="AV613" s="335" t="s">
        <v>83</v>
      </c>
      <c r="AW613" s="335" t="s">
        <v>34</v>
      </c>
      <c r="AX613" s="335" t="s">
        <v>76</v>
      </c>
      <c r="AY613" s="337" t="s">
        <v>146</v>
      </c>
    </row>
    <row r="614" spans="2:51" s="335" customFormat="1" ht="22.5">
      <c r="B614" s="336"/>
      <c r="D614" s="328" t="s">
        <v>155</v>
      </c>
      <c r="E614" s="337" t="s">
        <v>1</v>
      </c>
      <c r="F614" s="346" t="s">
        <v>3221</v>
      </c>
      <c r="H614" s="339">
        <f>(10.325+5.7+0.4)*2*5.58-0.9*2-3*3.3*2+(1+2.1*2)*0.3*2</f>
        <v>164.82299999999998</v>
      </c>
      <c r="I614" s="498"/>
      <c r="L614" s="340"/>
      <c r="M614" s="341"/>
      <c r="N614" s="342"/>
      <c r="O614" s="342"/>
      <c r="P614" s="342"/>
      <c r="Q614" s="342"/>
      <c r="R614" s="342"/>
      <c r="S614" s="342"/>
      <c r="T614" s="343"/>
      <c r="AT614" s="337" t="s">
        <v>155</v>
      </c>
      <c r="AU614" s="337" t="s">
        <v>83</v>
      </c>
      <c r="AV614" s="335" t="s">
        <v>83</v>
      </c>
      <c r="AW614" s="335" t="s">
        <v>34</v>
      </c>
      <c r="AX614" s="335" t="s">
        <v>76</v>
      </c>
      <c r="AY614" s="337" t="s">
        <v>146</v>
      </c>
    </row>
    <row r="615" spans="2:51" s="335" customFormat="1" ht="22.5">
      <c r="B615" s="336"/>
      <c r="D615" s="328" t="s">
        <v>155</v>
      </c>
      <c r="E615" s="337" t="s">
        <v>1</v>
      </c>
      <c r="F615" s="346" t="s">
        <v>3222</v>
      </c>
      <c r="H615" s="339">
        <f>(10.325+6.4+0.4*2)*2*5.58-3*3.3-1.5*1.5*3+(3+3.3*2)*0.25</f>
        <v>181.32900000000004</v>
      </c>
      <c r="I615" s="498"/>
      <c r="L615" s="340"/>
      <c r="M615" s="341"/>
      <c r="N615" s="342"/>
      <c r="O615" s="342"/>
      <c r="P615" s="342"/>
      <c r="Q615" s="342"/>
      <c r="R615" s="342"/>
      <c r="S615" s="342"/>
      <c r="T615" s="343"/>
      <c r="AT615" s="337" t="s">
        <v>155</v>
      </c>
      <c r="AU615" s="337" t="s">
        <v>83</v>
      </c>
      <c r="AV615" s="335" t="s">
        <v>83</v>
      </c>
      <c r="AW615" s="335" t="s">
        <v>34</v>
      </c>
      <c r="AX615" s="335" t="s">
        <v>76</v>
      </c>
      <c r="AY615" s="337" t="s">
        <v>146</v>
      </c>
    </row>
    <row r="616" spans="2:51" s="335" customFormat="1" ht="12">
      <c r="B616" s="336"/>
      <c r="D616" s="328" t="s">
        <v>155</v>
      </c>
      <c r="E616" s="337" t="s">
        <v>1</v>
      </c>
      <c r="F616" s="346" t="s">
        <v>3223</v>
      </c>
      <c r="H616" s="339">
        <f>(12.4+3.3)*2*5.58-3*3.3-1.5*1.5+(1.5*3)*0.25</f>
        <v>164.18699999999998</v>
      </c>
      <c r="I616" s="498"/>
      <c r="L616" s="340"/>
      <c r="M616" s="341"/>
      <c r="N616" s="342"/>
      <c r="O616" s="342"/>
      <c r="P616" s="342"/>
      <c r="Q616" s="342"/>
      <c r="R616" s="342"/>
      <c r="S616" s="342"/>
      <c r="T616" s="343"/>
      <c r="AT616" s="337" t="s">
        <v>155</v>
      </c>
      <c r="AU616" s="337" t="s">
        <v>83</v>
      </c>
      <c r="AV616" s="335" t="s">
        <v>83</v>
      </c>
      <c r="AW616" s="335" t="s">
        <v>34</v>
      </c>
      <c r="AX616" s="335" t="s">
        <v>76</v>
      </c>
      <c r="AY616" s="337" t="s">
        <v>146</v>
      </c>
    </row>
    <row r="617" spans="2:51" s="335" customFormat="1" ht="22.5">
      <c r="B617" s="336"/>
      <c r="D617" s="328" t="s">
        <v>155</v>
      </c>
      <c r="E617" s="337" t="s">
        <v>1</v>
      </c>
      <c r="F617" s="346" t="s">
        <v>3224</v>
      </c>
      <c r="H617" s="339">
        <f>(12.4+6+0.4)*2*5.58-3.3*3.6-1.5*1.5*2+(1.5*3)*2*0.25</f>
        <v>195.67799999999997</v>
      </c>
      <c r="I617" s="498"/>
      <c r="L617" s="340"/>
      <c r="M617" s="341"/>
      <c r="N617" s="342"/>
      <c r="O617" s="342"/>
      <c r="P617" s="342"/>
      <c r="Q617" s="342"/>
      <c r="R617" s="342"/>
      <c r="S617" s="342"/>
      <c r="T617" s="343"/>
      <c r="AT617" s="337" t="s">
        <v>155</v>
      </c>
      <c r="AU617" s="337" t="s">
        <v>83</v>
      </c>
      <c r="AV617" s="335" t="s">
        <v>83</v>
      </c>
      <c r="AW617" s="335" t="s">
        <v>34</v>
      </c>
      <c r="AX617" s="335" t="s">
        <v>76</v>
      </c>
      <c r="AY617" s="337" t="s">
        <v>146</v>
      </c>
    </row>
    <row r="618" spans="2:51" s="335" customFormat="1" ht="22.5">
      <c r="B618" s="336"/>
      <c r="D618" s="328" t="s">
        <v>155</v>
      </c>
      <c r="E618" s="337" t="s">
        <v>1</v>
      </c>
      <c r="F618" s="346" t="s">
        <v>3267</v>
      </c>
      <c r="H618" s="339">
        <f>(8+3.6+0.4)*2*2.95-2.8*2.5-2.1*1.5-1.6*2.1+(6+6+3.6)*0.35+(2.1+1.5*2)*0.25</f>
        <v>64.02500000000002</v>
      </c>
      <c r="I618" s="498"/>
      <c r="L618" s="340"/>
      <c r="M618" s="341"/>
      <c r="N618" s="342"/>
      <c r="O618" s="342"/>
      <c r="P618" s="342"/>
      <c r="Q618" s="342"/>
      <c r="R618" s="342"/>
      <c r="S618" s="342"/>
      <c r="T618" s="343"/>
      <c r="AT618" s="337" t="s">
        <v>155</v>
      </c>
      <c r="AU618" s="337" t="s">
        <v>83</v>
      </c>
      <c r="AV618" s="335" t="s">
        <v>83</v>
      </c>
      <c r="AW618" s="335" t="s">
        <v>34</v>
      </c>
      <c r="AX618" s="335" t="s">
        <v>76</v>
      </c>
      <c r="AY618" s="337" t="s">
        <v>146</v>
      </c>
    </row>
    <row r="619" spans="2:51" s="335" customFormat="1" ht="12">
      <c r="B619" s="336"/>
      <c r="D619" s="328" t="s">
        <v>155</v>
      </c>
      <c r="E619" s="337" t="s">
        <v>1</v>
      </c>
      <c r="F619" s="346" t="s">
        <v>3160</v>
      </c>
      <c r="H619" s="339">
        <f>(16.6+1.6)*2*2.95-1.6*2.1-0.9*2*5-0.8*2*2</f>
        <v>91.82000000000002</v>
      </c>
      <c r="I619" s="498"/>
      <c r="L619" s="340"/>
      <c r="M619" s="341"/>
      <c r="N619" s="342"/>
      <c r="O619" s="342"/>
      <c r="P619" s="342"/>
      <c r="Q619" s="342"/>
      <c r="R619" s="342"/>
      <c r="S619" s="342"/>
      <c r="T619" s="343"/>
      <c r="AT619" s="337" t="s">
        <v>155</v>
      </c>
      <c r="AU619" s="337" t="s">
        <v>83</v>
      </c>
      <c r="AV619" s="335" t="s">
        <v>83</v>
      </c>
      <c r="AW619" s="335" t="s">
        <v>34</v>
      </c>
      <c r="AX619" s="335" t="s">
        <v>76</v>
      </c>
      <c r="AY619" s="337" t="s">
        <v>146</v>
      </c>
    </row>
    <row r="620" spans="2:51" s="335" customFormat="1" ht="22.5">
      <c r="B620" s="336"/>
      <c r="D620" s="328" t="s">
        <v>155</v>
      </c>
      <c r="E620" s="337" t="s">
        <v>1</v>
      </c>
      <c r="F620" s="346" t="s">
        <v>3162</v>
      </c>
      <c r="H620" s="339">
        <f>(7.2*2+4.25+2.15)*2.7-0.8*2-2.1*1.5*2+(2.1+1.5*2)*0.25*2</f>
        <v>50.80999999999999</v>
      </c>
      <c r="I620" s="498"/>
      <c r="L620" s="340"/>
      <c r="M620" s="341"/>
      <c r="N620" s="342"/>
      <c r="O620" s="342"/>
      <c r="P620" s="342"/>
      <c r="Q620" s="342"/>
      <c r="R620" s="342"/>
      <c r="S620" s="342"/>
      <c r="T620" s="343"/>
      <c r="AT620" s="337" t="s">
        <v>155</v>
      </c>
      <c r="AU620" s="337" t="s">
        <v>83</v>
      </c>
      <c r="AV620" s="335" t="s">
        <v>83</v>
      </c>
      <c r="AW620" s="335" t="s">
        <v>34</v>
      </c>
      <c r="AX620" s="335" t="s">
        <v>76</v>
      </c>
      <c r="AY620" s="337" t="s">
        <v>146</v>
      </c>
    </row>
    <row r="621" spans="2:51" s="335" customFormat="1" ht="22.5">
      <c r="B621" s="336"/>
      <c r="D621" s="328" t="s">
        <v>155</v>
      </c>
      <c r="E621" s="337" t="s">
        <v>1</v>
      </c>
      <c r="F621" s="346" t="s">
        <v>3161</v>
      </c>
      <c r="H621" s="339">
        <f>(7.3+6.7+2+4.25)*2.95-0.9*2*2-2.1*1.5*2+(2.1+1.5*2)*0.25*2</f>
        <v>52.3875</v>
      </c>
      <c r="I621" s="498"/>
      <c r="L621" s="340"/>
      <c r="M621" s="341"/>
      <c r="N621" s="342"/>
      <c r="O621" s="342"/>
      <c r="P621" s="342"/>
      <c r="Q621" s="342"/>
      <c r="R621" s="342"/>
      <c r="S621" s="342"/>
      <c r="T621" s="343"/>
      <c r="AT621" s="337" t="s">
        <v>155</v>
      </c>
      <c r="AU621" s="337" t="s">
        <v>83</v>
      </c>
      <c r="AV621" s="335" t="s">
        <v>83</v>
      </c>
      <c r="AW621" s="335" t="s">
        <v>34</v>
      </c>
      <c r="AX621" s="335" t="s">
        <v>76</v>
      </c>
      <c r="AY621" s="337" t="s">
        <v>146</v>
      </c>
    </row>
    <row r="622" spans="2:51" s="335" customFormat="1" ht="22.5">
      <c r="B622" s="336"/>
      <c r="D622" s="328" t="s">
        <v>155</v>
      </c>
      <c r="E622" s="337" t="s">
        <v>1</v>
      </c>
      <c r="F622" s="346" t="s">
        <v>3163</v>
      </c>
      <c r="H622" s="339">
        <f>(3.73+4.25)*2*2.95-0.9*2-0.8*2-2.1*1.5+(2.1+1.5*2)*0.25</f>
        <v>41.80700000000001</v>
      </c>
      <c r="I622" s="498"/>
      <c r="L622" s="340"/>
      <c r="M622" s="341"/>
      <c r="N622" s="342"/>
      <c r="O622" s="342"/>
      <c r="P622" s="342"/>
      <c r="Q622" s="342"/>
      <c r="R622" s="342"/>
      <c r="S622" s="342"/>
      <c r="T622" s="343"/>
      <c r="AT622" s="337" t="s">
        <v>155</v>
      </c>
      <c r="AU622" s="337" t="s">
        <v>83</v>
      </c>
      <c r="AV622" s="335" t="s">
        <v>83</v>
      </c>
      <c r="AW622" s="335" t="s">
        <v>34</v>
      </c>
      <c r="AX622" s="335" t="s">
        <v>76</v>
      </c>
      <c r="AY622" s="337" t="s">
        <v>146</v>
      </c>
    </row>
    <row r="623" spans="2:51" s="335" customFormat="1" ht="22.5">
      <c r="B623" s="336"/>
      <c r="D623" s="328" t="s">
        <v>155</v>
      </c>
      <c r="E623" s="337" t="s">
        <v>1</v>
      </c>
      <c r="F623" s="346" t="s">
        <v>3164</v>
      </c>
      <c r="H623" s="339">
        <f>(2.6*2+3.7+1.25*2)*2.95-0.8*2-0.6*0.75*3+(0.6+0.75*2)*0.25*3</f>
        <v>32.255</v>
      </c>
      <c r="I623" s="498"/>
      <c r="L623" s="340"/>
      <c r="M623" s="341"/>
      <c r="N623" s="342"/>
      <c r="O623" s="342"/>
      <c r="P623" s="342"/>
      <c r="Q623" s="342"/>
      <c r="R623" s="342"/>
      <c r="S623" s="342"/>
      <c r="T623" s="343"/>
      <c r="AT623" s="337" t="s">
        <v>155</v>
      </c>
      <c r="AU623" s="337" t="s">
        <v>83</v>
      </c>
      <c r="AV623" s="335" t="s">
        <v>83</v>
      </c>
      <c r="AW623" s="335" t="s">
        <v>34</v>
      </c>
      <c r="AX623" s="335" t="s">
        <v>76</v>
      </c>
      <c r="AY623" s="337" t="s">
        <v>146</v>
      </c>
    </row>
    <row r="624" spans="2:51" s="335" customFormat="1" ht="12">
      <c r="B624" s="336"/>
      <c r="D624" s="328" t="s">
        <v>155</v>
      </c>
      <c r="E624" s="337" t="s">
        <v>1</v>
      </c>
      <c r="F624" s="346" t="s">
        <v>3193</v>
      </c>
      <c r="H624" s="339">
        <f>(1.5*2+1.73)*(2.5-2.05)</f>
        <v>2.128500000000001</v>
      </c>
      <c r="I624" s="498"/>
      <c r="L624" s="340"/>
      <c r="M624" s="341"/>
      <c r="N624" s="342"/>
      <c r="O624" s="342"/>
      <c r="P624" s="342"/>
      <c r="Q624" s="342"/>
      <c r="R624" s="342"/>
      <c r="S624" s="342"/>
      <c r="T624" s="343"/>
      <c r="AT624" s="337" t="s">
        <v>155</v>
      </c>
      <c r="AU624" s="337" t="s">
        <v>83</v>
      </c>
      <c r="AV624" s="335" t="s">
        <v>83</v>
      </c>
      <c r="AW624" s="335" t="s">
        <v>34</v>
      </c>
      <c r="AX624" s="335" t="s">
        <v>76</v>
      </c>
      <c r="AY624" s="337" t="s">
        <v>146</v>
      </c>
    </row>
    <row r="625" spans="2:51" s="335" customFormat="1" ht="12">
      <c r="B625" s="336"/>
      <c r="D625" s="328" t="s">
        <v>155</v>
      </c>
      <c r="E625" s="337" t="s">
        <v>1</v>
      </c>
      <c r="F625" s="346" t="s">
        <v>3194</v>
      </c>
      <c r="H625" s="339">
        <f>(1.5*2+1.7)*(2.5-2.05)</f>
        <v>2.115000000000001</v>
      </c>
      <c r="I625" s="498"/>
      <c r="L625" s="340"/>
      <c r="M625" s="341"/>
      <c r="N625" s="342"/>
      <c r="O625" s="342"/>
      <c r="P625" s="342"/>
      <c r="Q625" s="342"/>
      <c r="R625" s="342"/>
      <c r="S625" s="342"/>
      <c r="T625" s="343"/>
      <c r="AT625" s="337" t="s">
        <v>155</v>
      </c>
      <c r="AU625" s="337" t="s">
        <v>83</v>
      </c>
      <c r="AV625" s="335" t="s">
        <v>83</v>
      </c>
      <c r="AW625" s="335" t="s">
        <v>34</v>
      </c>
      <c r="AX625" s="335" t="s">
        <v>76</v>
      </c>
      <c r="AY625" s="337" t="s">
        <v>146</v>
      </c>
    </row>
    <row r="626" spans="2:51" s="335" customFormat="1" ht="12">
      <c r="B626" s="336"/>
      <c r="D626" s="328" t="s">
        <v>155</v>
      </c>
      <c r="E626" s="337" t="s">
        <v>1</v>
      </c>
      <c r="F626" s="346" t="s">
        <v>3195</v>
      </c>
      <c r="H626" s="339">
        <f>(1.5+1.6*2)*(2.5-2.05)</f>
        <v>2.115000000000001</v>
      </c>
      <c r="I626" s="498"/>
      <c r="L626" s="340"/>
      <c r="M626" s="341"/>
      <c r="N626" s="342"/>
      <c r="O626" s="342"/>
      <c r="P626" s="342"/>
      <c r="Q626" s="342"/>
      <c r="R626" s="342"/>
      <c r="S626" s="342"/>
      <c r="T626" s="343"/>
      <c r="AT626" s="337" t="s">
        <v>155</v>
      </c>
      <c r="AU626" s="337" t="s">
        <v>83</v>
      </c>
      <c r="AV626" s="335" t="s">
        <v>83</v>
      </c>
      <c r="AW626" s="335" t="s">
        <v>34</v>
      </c>
      <c r="AX626" s="335" t="s">
        <v>76</v>
      </c>
      <c r="AY626" s="337" t="s">
        <v>146</v>
      </c>
    </row>
    <row r="627" spans="2:51" s="335" customFormat="1" ht="12">
      <c r="B627" s="336"/>
      <c r="D627" s="328" t="s">
        <v>155</v>
      </c>
      <c r="E627" s="337" t="s">
        <v>1</v>
      </c>
      <c r="F627" s="346" t="s">
        <v>3165</v>
      </c>
      <c r="H627" s="339">
        <f>(3.48+6.25)*2*2.95-0.9*2-2.1*1.5+(2.1+1.5*2)*0.25</f>
        <v>53.732000000000006</v>
      </c>
      <c r="I627" s="498"/>
      <c r="L627" s="340"/>
      <c r="M627" s="341"/>
      <c r="N627" s="342"/>
      <c r="O627" s="342"/>
      <c r="P627" s="342"/>
      <c r="Q627" s="342"/>
      <c r="R627" s="342"/>
      <c r="S627" s="342"/>
      <c r="T627" s="343"/>
      <c r="AT627" s="337" t="s">
        <v>155</v>
      </c>
      <c r="AU627" s="337" t="s">
        <v>83</v>
      </c>
      <c r="AV627" s="335" t="s">
        <v>83</v>
      </c>
      <c r="AW627" s="335" t="s">
        <v>34</v>
      </c>
      <c r="AX627" s="335" t="s">
        <v>76</v>
      </c>
      <c r="AY627" s="337" t="s">
        <v>146</v>
      </c>
    </row>
    <row r="628" spans="2:51" s="335" customFormat="1" ht="12">
      <c r="B628" s="336"/>
      <c r="D628" s="328" t="s">
        <v>155</v>
      </c>
      <c r="E628" s="337" t="s">
        <v>1</v>
      </c>
      <c r="F628" s="346" t="s">
        <v>3166</v>
      </c>
      <c r="H628" s="339">
        <f>(2.95+6.25)*2*2.95-0.9*2-2.1*1.5+(2.1+1.5*2)*0.25</f>
        <v>50.605000000000004</v>
      </c>
      <c r="I628" s="498"/>
      <c r="L628" s="340"/>
      <c r="M628" s="341"/>
      <c r="N628" s="342"/>
      <c r="O628" s="342"/>
      <c r="P628" s="342"/>
      <c r="Q628" s="342"/>
      <c r="R628" s="342"/>
      <c r="S628" s="342"/>
      <c r="T628" s="343"/>
      <c r="AT628" s="337" t="s">
        <v>155</v>
      </c>
      <c r="AU628" s="337" t="s">
        <v>83</v>
      </c>
      <c r="AV628" s="335" t="s">
        <v>83</v>
      </c>
      <c r="AW628" s="335" t="s">
        <v>34</v>
      </c>
      <c r="AX628" s="335" t="s">
        <v>76</v>
      </c>
      <c r="AY628" s="337" t="s">
        <v>146</v>
      </c>
    </row>
    <row r="629" spans="2:51" s="335" customFormat="1" ht="12">
      <c r="B629" s="336"/>
      <c r="D629" s="328" t="s">
        <v>155</v>
      </c>
      <c r="E629" s="337" t="s">
        <v>1</v>
      </c>
      <c r="F629" s="346" t="s">
        <v>3167</v>
      </c>
      <c r="H629" s="339">
        <f>(1.85+2.1)*2.7-0.9*2</f>
        <v>8.865</v>
      </c>
      <c r="I629" s="498"/>
      <c r="L629" s="393"/>
      <c r="M629" s="341"/>
      <c r="N629" s="342"/>
      <c r="O629" s="342"/>
      <c r="P629" s="342"/>
      <c r="Q629" s="342"/>
      <c r="R629" s="342"/>
      <c r="S629" s="342"/>
      <c r="T629" s="343"/>
      <c r="AT629" s="337" t="s">
        <v>155</v>
      </c>
      <c r="AU629" s="337" t="s">
        <v>83</v>
      </c>
      <c r="AV629" s="335" t="s">
        <v>83</v>
      </c>
      <c r="AW629" s="335" t="s">
        <v>34</v>
      </c>
      <c r="AX629" s="335" t="s">
        <v>76</v>
      </c>
      <c r="AY629" s="337" t="s">
        <v>146</v>
      </c>
    </row>
    <row r="630" spans="2:51" s="335" customFormat="1" ht="12">
      <c r="B630" s="336"/>
      <c r="D630" s="328" t="s">
        <v>155</v>
      </c>
      <c r="E630" s="337" t="s">
        <v>1</v>
      </c>
      <c r="F630" s="346" t="s">
        <v>3200</v>
      </c>
      <c r="H630" s="339">
        <f>(4.2*2+6.25+1.3)*2.7-2.1*1.5+(2.1+1.5*2)*0.25</f>
        <v>41.190000000000005</v>
      </c>
      <c r="I630" s="498"/>
      <c r="L630" s="340"/>
      <c r="M630" s="341"/>
      <c r="N630" s="342"/>
      <c r="O630" s="342"/>
      <c r="P630" s="342"/>
      <c r="Q630" s="342"/>
      <c r="R630" s="342"/>
      <c r="S630" s="342"/>
      <c r="T630" s="343"/>
      <c r="AT630" s="337" t="s">
        <v>155</v>
      </c>
      <c r="AU630" s="337" t="s">
        <v>83</v>
      </c>
      <c r="AV630" s="335" t="s">
        <v>83</v>
      </c>
      <c r="AW630" s="335" t="s">
        <v>34</v>
      </c>
      <c r="AX630" s="335" t="s">
        <v>76</v>
      </c>
      <c r="AY630" s="337" t="s">
        <v>146</v>
      </c>
    </row>
    <row r="631" spans="2:51" s="335" customFormat="1" ht="12">
      <c r="B631" s="336"/>
      <c r="D631" s="328" t="s">
        <v>155</v>
      </c>
      <c r="E631" s="337" t="s">
        <v>1</v>
      </c>
      <c r="F631" s="346" t="s">
        <v>3168</v>
      </c>
      <c r="H631" s="339">
        <f>(3.35+3.1+0.4)*2.7-2.1*1.5+(2.1+1.5*2)*0.25</f>
        <v>16.62</v>
      </c>
      <c r="I631" s="498"/>
      <c r="L631" s="340"/>
      <c r="M631" s="341"/>
      <c r="N631" s="342"/>
      <c r="O631" s="342"/>
      <c r="P631" s="342"/>
      <c r="Q631" s="342"/>
      <c r="R631" s="342"/>
      <c r="S631" s="342"/>
      <c r="T631" s="343"/>
      <c r="AT631" s="337" t="s">
        <v>155</v>
      </c>
      <c r="AU631" s="337" t="s">
        <v>83</v>
      </c>
      <c r="AV631" s="335" t="s">
        <v>83</v>
      </c>
      <c r="AW631" s="335" t="s">
        <v>34</v>
      </c>
      <c r="AX631" s="335" t="s">
        <v>76</v>
      </c>
      <c r="AY631" s="337" t="s">
        <v>146</v>
      </c>
    </row>
    <row r="632" spans="2:51" s="335" customFormat="1" ht="12">
      <c r="B632" s="336"/>
      <c r="D632" s="328" t="s">
        <v>155</v>
      </c>
      <c r="E632" s="337" t="s">
        <v>1</v>
      </c>
      <c r="F632" s="346" t="s">
        <v>3169</v>
      </c>
      <c r="H632" s="339">
        <f>(3.83+3.1+0.4*2)*2.7-2.1*1.5+(2.1+1.5*2)*0.25</f>
        <v>18.995999999999995</v>
      </c>
      <c r="I632" s="498"/>
      <c r="L632" s="340"/>
      <c r="M632" s="341"/>
      <c r="N632" s="342"/>
      <c r="O632" s="342"/>
      <c r="P632" s="342"/>
      <c r="Q632" s="342"/>
      <c r="R632" s="342"/>
      <c r="S632" s="342"/>
      <c r="T632" s="343"/>
      <c r="AT632" s="337" t="s">
        <v>155</v>
      </c>
      <c r="AU632" s="337" t="s">
        <v>83</v>
      </c>
      <c r="AV632" s="335" t="s">
        <v>83</v>
      </c>
      <c r="AW632" s="335" t="s">
        <v>34</v>
      </c>
      <c r="AX632" s="335" t="s">
        <v>76</v>
      </c>
      <c r="AY632" s="337" t="s">
        <v>146</v>
      </c>
    </row>
    <row r="633" spans="2:51" s="347" customFormat="1" ht="12">
      <c r="B633" s="348"/>
      <c r="D633" s="328" t="s">
        <v>155</v>
      </c>
      <c r="E633" s="349" t="s">
        <v>1</v>
      </c>
      <c r="F633" s="350" t="s">
        <v>157</v>
      </c>
      <c r="H633" s="351">
        <f>SUM(H593:H632)</f>
        <v>1986.058</v>
      </c>
      <c r="I633" s="499"/>
      <c r="L633" s="352"/>
      <c r="M633" s="353"/>
      <c r="N633" s="354"/>
      <c r="O633" s="354"/>
      <c r="P633" s="354"/>
      <c r="Q633" s="354"/>
      <c r="R633" s="354"/>
      <c r="S633" s="354"/>
      <c r="T633" s="355"/>
      <c r="AT633" s="349" t="s">
        <v>155</v>
      </c>
      <c r="AU633" s="349" t="s">
        <v>83</v>
      </c>
      <c r="AV633" s="347" t="s">
        <v>153</v>
      </c>
      <c r="AW633" s="347" t="s">
        <v>34</v>
      </c>
      <c r="AX633" s="347" t="s">
        <v>81</v>
      </c>
      <c r="AY633" s="349" t="s">
        <v>146</v>
      </c>
    </row>
    <row r="634" spans="1:65" s="225" customFormat="1" ht="16.5" customHeight="1">
      <c r="A634" s="222"/>
      <c r="B634" s="223"/>
      <c r="C634" s="314">
        <v>79</v>
      </c>
      <c r="D634" s="314" t="s">
        <v>148</v>
      </c>
      <c r="E634" s="315" t="s">
        <v>524</v>
      </c>
      <c r="F634" s="344" t="s">
        <v>525</v>
      </c>
      <c r="G634" s="317" t="s">
        <v>151</v>
      </c>
      <c r="H634" s="318">
        <v>6.075</v>
      </c>
      <c r="I634" s="79"/>
      <c r="J634" s="319">
        <f>ROUND(I634*H634,2)</f>
        <v>0</v>
      </c>
      <c r="K634" s="316"/>
      <c r="L634" s="229"/>
      <c r="M634" s="320" t="s">
        <v>1</v>
      </c>
      <c r="N634" s="321" t="s">
        <v>42</v>
      </c>
      <c r="O634" s="322">
        <v>0.29</v>
      </c>
      <c r="P634" s="322">
        <f>O634*H634</f>
        <v>1.76175</v>
      </c>
      <c r="Q634" s="322">
        <v>0.000356</v>
      </c>
      <c r="R634" s="322">
        <f>Q634*H634</f>
        <v>0.0021627</v>
      </c>
      <c r="S634" s="322">
        <v>0</v>
      </c>
      <c r="T634" s="323">
        <f>S634*H634</f>
        <v>0</v>
      </c>
      <c r="U634" s="222"/>
      <c r="V634" s="222"/>
      <c r="W634" s="222"/>
      <c r="X634" s="222"/>
      <c r="Y634" s="222"/>
      <c r="Z634" s="222"/>
      <c r="AA634" s="222"/>
      <c r="AB634" s="222"/>
      <c r="AC634" s="222"/>
      <c r="AD634" s="222"/>
      <c r="AE634" s="222"/>
      <c r="AR634" s="324" t="s">
        <v>153</v>
      </c>
      <c r="AT634" s="324" t="s">
        <v>148</v>
      </c>
      <c r="AU634" s="324" t="s">
        <v>83</v>
      </c>
      <c r="AY634" s="214" t="s">
        <v>146</v>
      </c>
      <c r="BE634" s="325">
        <f>IF(N634="základní",J634,0)</f>
        <v>0</v>
      </c>
      <c r="BF634" s="325">
        <f>IF(N634="snížená",J634,0)</f>
        <v>0</v>
      </c>
      <c r="BG634" s="325">
        <f>IF(N634="zákl. přenesená",J634,0)</f>
        <v>0</v>
      </c>
      <c r="BH634" s="325">
        <f>IF(N634="sníž. přenesená",J634,0)</f>
        <v>0</v>
      </c>
      <c r="BI634" s="325">
        <f>IF(N634="nulová",J634,0)</f>
        <v>0</v>
      </c>
      <c r="BJ634" s="214" t="s">
        <v>81</v>
      </c>
      <c r="BK634" s="325">
        <f>ROUND(I634*H634,2)</f>
        <v>0</v>
      </c>
      <c r="BL634" s="214" t="s">
        <v>153</v>
      </c>
      <c r="BM634" s="324" t="s">
        <v>526</v>
      </c>
    </row>
    <row r="635" spans="2:51" s="326" customFormat="1" ht="12">
      <c r="B635" s="327"/>
      <c r="D635" s="328" t="s">
        <v>155</v>
      </c>
      <c r="E635" s="329" t="s">
        <v>1</v>
      </c>
      <c r="F635" s="345" t="s">
        <v>318</v>
      </c>
      <c r="H635" s="329" t="s">
        <v>1</v>
      </c>
      <c r="I635" s="497"/>
      <c r="L635" s="331"/>
      <c r="M635" s="332"/>
      <c r="N635" s="333"/>
      <c r="O635" s="333"/>
      <c r="P635" s="333"/>
      <c r="Q635" s="333"/>
      <c r="R635" s="333"/>
      <c r="S635" s="333"/>
      <c r="T635" s="334"/>
      <c r="AT635" s="329" t="s">
        <v>155</v>
      </c>
      <c r="AU635" s="329" t="s">
        <v>83</v>
      </c>
      <c r="AV635" s="326" t="s">
        <v>81</v>
      </c>
      <c r="AW635" s="326" t="s">
        <v>34</v>
      </c>
      <c r="AX635" s="326" t="s">
        <v>76</v>
      </c>
      <c r="AY635" s="329" t="s">
        <v>146</v>
      </c>
    </row>
    <row r="636" spans="2:51" s="335" customFormat="1" ht="12">
      <c r="B636" s="336"/>
      <c r="D636" s="328" t="s">
        <v>155</v>
      </c>
      <c r="E636" s="337" t="s">
        <v>1</v>
      </c>
      <c r="F636" s="346" t="s">
        <v>527</v>
      </c>
      <c r="H636" s="339">
        <v>4.35</v>
      </c>
      <c r="I636" s="498"/>
      <c r="L636" s="340"/>
      <c r="M636" s="341"/>
      <c r="N636" s="342"/>
      <c r="O636" s="342"/>
      <c r="P636" s="342"/>
      <c r="Q636" s="342"/>
      <c r="R636" s="342"/>
      <c r="S636" s="342"/>
      <c r="T636" s="343"/>
      <c r="AT636" s="337" t="s">
        <v>155</v>
      </c>
      <c r="AU636" s="337" t="s">
        <v>83</v>
      </c>
      <c r="AV636" s="335" t="s">
        <v>83</v>
      </c>
      <c r="AW636" s="335" t="s">
        <v>34</v>
      </c>
      <c r="AX636" s="335" t="s">
        <v>76</v>
      </c>
      <c r="AY636" s="337" t="s">
        <v>146</v>
      </c>
    </row>
    <row r="637" spans="2:51" s="326" customFormat="1" ht="12">
      <c r="B637" s="327"/>
      <c r="D637" s="328" t="s">
        <v>155</v>
      </c>
      <c r="E637" s="329" t="s">
        <v>1</v>
      </c>
      <c r="F637" s="345" t="s">
        <v>320</v>
      </c>
      <c r="H637" s="329" t="s">
        <v>1</v>
      </c>
      <c r="I637" s="497"/>
      <c r="L637" s="331"/>
      <c r="M637" s="332"/>
      <c r="N637" s="333"/>
      <c r="O637" s="333"/>
      <c r="P637" s="333"/>
      <c r="Q637" s="333"/>
      <c r="R637" s="333"/>
      <c r="S637" s="333"/>
      <c r="T637" s="334"/>
      <c r="AT637" s="329" t="s">
        <v>155</v>
      </c>
      <c r="AU637" s="329" t="s">
        <v>83</v>
      </c>
      <c r="AV637" s="326" t="s">
        <v>81</v>
      </c>
      <c r="AW637" s="326" t="s">
        <v>34</v>
      </c>
      <c r="AX637" s="326" t="s">
        <v>76</v>
      </c>
      <c r="AY637" s="329" t="s">
        <v>146</v>
      </c>
    </row>
    <row r="638" spans="2:51" s="335" customFormat="1" ht="12">
      <c r="B638" s="336"/>
      <c r="D638" s="328" t="s">
        <v>155</v>
      </c>
      <c r="E638" s="337" t="s">
        <v>1</v>
      </c>
      <c r="F638" s="346" t="s">
        <v>528</v>
      </c>
      <c r="H638" s="339">
        <v>1.725</v>
      </c>
      <c r="I638" s="498"/>
      <c r="L638" s="340"/>
      <c r="M638" s="341"/>
      <c r="N638" s="342"/>
      <c r="O638" s="342"/>
      <c r="P638" s="342"/>
      <c r="Q638" s="342"/>
      <c r="R638" s="342"/>
      <c r="S638" s="342"/>
      <c r="T638" s="343"/>
      <c r="AT638" s="337" t="s">
        <v>155</v>
      </c>
      <c r="AU638" s="337" t="s">
        <v>83</v>
      </c>
      <c r="AV638" s="335" t="s">
        <v>83</v>
      </c>
      <c r="AW638" s="335" t="s">
        <v>34</v>
      </c>
      <c r="AX638" s="335" t="s">
        <v>76</v>
      </c>
      <c r="AY638" s="337" t="s">
        <v>146</v>
      </c>
    </row>
    <row r="639" spans="2:51" s="347" customFormat="1" ht="12">
      <c r="B639" s="348"/>
      <c r="D639" s="328" t="s">
        <v>155</v>
      </c>
      <c r="E639" s="349" t="s">
        <v>1</v>
      </c>
      <c r="F639" s="350" t="s">
        <v>157</v>
      </c>
      <c r="H639" s="351">
        <v>6.075</v>
      </c>
      <c r="I639" s="499"/>
      <c r="L639" s="352"/>
      <c r="M639" s="353"/>
      <c r="N639" s="354"/>
      <c r="O639" s="354"/>
      <c r="P639" s="354"/>
      <c r="Q639" s="354"/>
      <c r="R639" s="354"/>
      <c r="S639" s="354"/>
      <c r="T639" s="355"/>
      <c r="AT639" s="349" t="s">
        <v>155</v>
      </c>
      <c r="AU639" s="349" t="s">
        <v>83</v>
      </c>
      <c r="AV639" s="347" t="s">
        <v>153</v>
      </c>
      <c r="AW639" s="347" t="s">
        <v>34</v>
      </c>
      <c r="AX639" s="347" t="s">
        <v>81</v>
      </c>
      <c r="AY639" s="349" t="s">
        <v>146</v>
      </c>
    </row>
    <row r="640" spans="1:65" s="225" customFormat="1" ht="24.2" customHeight="1">
      <c r="A640" s="222"/>
      <c r="B640" s="223"/>
      <c r="C640" s="314">
        <v>80</v>
      </c>
      <c r="D640" s="314" t="s">
        <v>148</v>
      </c>
      <c r="E640" s="315" t="s">
        <v>543</v>
      </c>
      <c r="F640" s="344" t="s">
        <v>544</v>
      </c>
      <c r="G640" s="317" t="s">
        <v>151</v>
      </c>
      <c r="H640" s="318">
        <f>H651</f>
        <v>376.17699999999996</v>
      </c>
      <c r="I640" s="79"/>
      <c r="J640" s="319">
        <f>ROUND(I640*H640,2)</f>
        <v>0</v>
      </c>
      <c r="K640" s="316"/>
      <c r="L640" s="229"/>
      <c r="M640" s="320" t="s">
        <v>1</v>
      </c>
      <c r="N640" s="321" t="s">
        <v>42</v>
      </c>
      <c r="O640" s="322">
        <v>0.33</v>
      </c>
      <c r="P640" s="322">
        <f>O640*H640</f>
        <v>124.13841</v>
      </c>
      <c r="Q640" s="322">
        <v>0.004384</v>
      </c>
      <c r="R640" s="322">
        <f>Q640*H640</f>
        <v>1.6491599679999998</v>
      </c>
      <c r="S640" s="322">
        <v>0</v>
      </c>
      <c r="T640" s="323">
        <f>S640*H640</f>
        <v>0</v>
      </c>
      <c r="U640" s="222"/>
      <c r="V640" s="222"/>
      <c r="W640" s="222"/>
      <c r="X640" s="222"/>
      <c r="Y640" s="222"/>
      <c r="Z640" s="222"/>
      <c r="AA640" s="222"/>
      <c r="AB640" s="222"/>
      <c r="AC640" s="222"/>
      <c r="AD640" s="222"/>
      <c r="AE640" s="222"/>
      <c r="AR640" s="324" t="s">
        <v>153</v>
      </c>
      <c r="AT640" s="324" t="s">
        <v>148</v>
      </c>
      <c r="AU640" s="324" t="s">
        <v>83</v>
      </c>
      <c r="AY640" s="214" t="s">
        <v>146</v>
      </c>
      <c r="BE640" s="325">
        <f>IF(N640="základní",J640,0)</f>
        <v>0</v>
      </c>
      <c r="BF640" s="325">
        <f>IF(N640="snížená",J640,0)</f>
        <v>0</v>
      </c>
      <c r="BG640" s="325">
        <f>IF(N640="zákl. přenesená",J640,0)</f>
        <v>0</v>
      </c>
      <c r="BH640" s="325">
        <f>IF(N640="sníž. přenesená",J640,0)</f>
        <v>0</v>
      </c>
      <c r="BI640" s="325">
        <f>IF(N640="nulová",J640,0)</f>
        <v>0</v>
      </c>
      <c r="BJ640" s="214" t="s">
        <v>81</v>
      </c>
      <c r="BK640" s="325">
        <f>ROUND(I640*H640,2)</f>
        <v>0</v>
      </c>
      <c r="BL640" s="214" t="s">
        <v>153</v>
      </c>
      <c r="BM640" s="324" t="s">
        <v>545</v>
      </c>
    </row>
    <row r="641" spans="2:51" s="326" customFormat="1" ht="12">
      <c r="B641" s="327"/>
      <c r="D641" s="328" t="s">
        <v>155</v>
      </c>
      <c r="E641" s="329" t="s">
        <v>1</v>
      </c>
      <c r="F641" s="345" t="s">
        <v>167</v>
      </c>
      <c r="H641" s="329" t="s">
        <v>1</v>
      </c>
      <c r="I641" s="497"/>
      <c r="L641" s="331"/>
      <c r="M641" s="332"/>
      <c r="N641" s="333"/>
      <c r="O641" s="333"/>
      <c r="P641" s="333"/>
      <c r="Q641" s="333"/>
      <c r="R641" s="333"/>
      <c r="S641" s="333"/>
      <c r="T641" s="334"/>
      <c r="AT641" s="329" t="s">
        <v>155</v>
      </c>
      <c r="AU641" s="329" t="s">
        <v>83</v>
      </c>
      <c r="AV641" s="326" t="s">
        <v>81</v>
      </c>
      <c r="AW641" s="326" t="s">
        <v>34</v>
      </c>
      <c r="AX641" s="326" t="s">
        <v>76</v>
      </c>
      <c r="AY641" s="329" t="s">
        <v>146</v>
      </c>
    </row>
    <row r="642" spans="2:51" s="326" customFormat="1" ht="12">
      <c r="B642" s="327"/>
      <c r="D642" s="328" t="s">
        <v>155</v>
      </c>
      <c r="E642" s="329" t="s">
        <v>1</v>
      </c>
      <c r="F642" s="345" t="s">
        <v>546</v>
      </c>
      <c r="H642" s="329" t="s">
        <v>1</v>
      </c>
      <c r="I642" s="497"/>
      <c r="L642" s="331"/>
      <c r="M642" s="332"/>
      <c r="N642" s="333"/>
      <c r="O642" s="333"/>
      <c r="P642" s="333"/>
      <c r="Q642" s="333"/>
      <c r="R642" s="333"/>
      <c r="S642" s="333"/>
      <c r="T642" s="334"/>
      <c r="AT642" s="329" t="s">
        <v>155</v>
      </c>
      <c r="AU642" s="329" t="s">
        <v>83</v>
      </c>
      <c r="AV642" s="326" t="s">
        <v>81</v>
      </c>
      <c r="AW642" s="326" t="s">
        <v>34</v>
      </c>
      <c r="AX642" s="326" t="s">
        <v>76</v>
      </c>
      <c r="AY642" s="329" t="s">
        <v>146</v>
      </c>
    </row>
    <row r="643" spans="2:51" s="335" customFormat="1" ht="12">
      <c r="B643" s="336"/>
      <c r="D643" s="328" t="s">
        <v>155</v>
      </c>
      <c r="E643" s="337" t="s">
        <v>1</v>
      </c>
      <c r="F643" s="346" t="s">
        <v>547</v>
      </c>
      <c r="H643" s="339">
        <f>7.625*(22.8*2+13)</f>
        <v>446.825</v>
      </c>
      <c r="I643" s="498"/>
      <c r="L643" s="340"/>
      <c r="M643" s="341"/>
      <c r="N643" s="342"/>
      <c r="O643" s="342"/>
      <c r="P643" s="342"/>
      <c r="Q643" s="342"/>
      <c r="R643" s="342"/>
      <c r="S643" s="342"/>
      <c r="T643" s="343"/>
      <c r="AT643" s="337" t="s">
        <v>155</v>
      </c>
      <c r="AU643" s="337" t="s">
        <v>83</v>
      </c>
      <c r="AV643" s="335" t="s">
        <v>83</v>
      </c>
      <c r="AW643" s="335" t="s">
        <v>34</v>
      </c>
      <c r="AX643" s="335" t="s">
        <v>76</v>
      </c>
      <c r="AY643" s="337" t="s">
        <v>146</v>
      </c>
    </row>
    <row r="644" spans="2:51" s="326" customFormat="1" ht="12">
      <c r="B644" s="327"/>
      <c r="D644" s="328" t="s">
        <v>155</v>
      </c>
      <c r="E644" s="329" t="s">
        <v>1</v>
      </c>
      <c r="F644" s="345" t="s">
        <v>548</v>
      </c>
      <c r="H644" s="329" t="s">
        <v>1</v>
      </c>
      <c r="I644" s="497"/>
      <c r="L644" s="331"/>
      <c r="M644" s="332"/>
      <c r="N644" s="333"/>
      <c r="O644" s="333"/>
      <c r="P644" s="333"/>
      <c r="Q644" s="333"/>
      <c r="R644" s="333"/>
      <c r="S644" s="333"/>
      <c r="T644" s="334"/>
      <c r="AT644" s="329" t="s">
        <v>155</v>
      </c>
      <c r="AU644" s="329" t="s">
        <v>83</v>
      </c>
      <c r="AV644" s="326" t="s">
        <v>81</v>
      </c>
      <c r="AW644" s="326" t="s">
        <v>34</v>
      </c>
      <c r="AX644" s="326" t="s">
        <v>76</v>
      </c>
      <c r="AY644" s="329" t="s">
        <v>146</v>
      </c>
    </row>
    <row r="645" spans="2:51" s="326" customFormat="1" ht="12">
      <c r="B645" s="327"/>
      <c r="D645" s="328" t="s">
        <v>155</v>
      </c>
      <c r="E645" s="329" t="s">
        <v>1</v>
      </c>
      <c r="F645" s="345" t="s">
        <v>304</v>
      </c>
      <c r="H645" s="329" t="s">
        <v>1</v>
      </c>
      <c r="I645" s="497"/>
      <c r="L645" s="331"/>
      <c r="M645" s="332"/>
      <c r="N645" s="333"/>
      <c r="O645" s="333"/>
      <c r="P645" s="333"/>
      <c r="Q645" s="333"/>
      <c r="R645" s="333"/>
      <c r="S645" s="333"/>
      <c r="T645" s="334"/>
      <c r="AT645" s="329" t="s">
        <v>155</v>
      </c>
      <c r="AU645" s="329" t="s">
        <v>83</v>
      </c>
      <c r="AV645" s="326" t="s">
        <v>81</v>
      </c>
      <c r="AW645" s="326" t="s">
        <v>34</v>
      </c>
      <c r="AX645" s="326" t="s">
        <v>76</v>
      </c>
      <c r="AY645" s="329" t="s">
        <v>146</v>
      </c>
    </row>
    <row r="646" spans="2:51" s="335" customFormat="1" ht="22.5">
      <c r="B646" s="336"/>
      <c r="D646" s="328" t="s">
        <v>155</v>
      </c>
      <c r="E646" s="337" t="s">
        <v>1</v>
      </c>
      <c r="F646" s="398" t="s">
        <v>2776</v>
      </c>
      <c r="H646" s="339">
        <f>-(1.75*2.4*2+0.9*1.5+1.45*2.4*2+2.8*(6.26-2.63)+1.8*2.4+2.1*1.5*6+0.6*0.75*3)</f>
        <v>-51.44400000000001</v>
      </c>
      <c r="I646" s="498"/>
      <c r="L646" s="340"/>
      <c r="M646" s="341"/>
      <c r="N646" s="342"/>
      <c r="O646" s="342"/>
      <c r="P646" s="342"/>
      <c r="Q646" s="342"/>
      <c r="R646" s="342"/>
      <c r="S646" s="342"/>
      <c r="T646" s="343"/>
      <c r="AT646" s="337" t="s">
        <v>155</v>
      </c>
      <c r="AU646" s="337" t="s">
        <v>83</v>
      </c>
      <c r="AV646" s="335" t="s">
        <v>83</v>
      </c>
      <c r="AW646" s="335" t="s">
        <v>34</v>
      </c>
      <c r="AX646" s="335" t="s">
        <v>76</v>
      </c>
      <c r="AY646" s="337" t="s">
        <v>146</v>
      </c>
    </row>
    <row r="647" spans="2:51" s="326" customFormat="1" ht="12">
      <c r="B647" s="327"/>
      <c r="D647" s="328" t="s">
        <v>155</v>
      </c>
      <c r="E647" s="329" t="s">
        <v>1</v>
      </c>
      <c r="F647" s="345" t="s">
        <v>309</v>
      </c>
      <c r="H647" s="329" t="s">
        <v>1</v>
      </c>
      <c r="I647" s="497"/>
      <c r="L647" s="331"/>
      <c r="M647" s="332"/>
      <c r="N647" s="333"/>
      <c r="O647" s="333"/>
      <c r="P647" s="333"/>
      <c r="Q647" s="333"/>
      <c r="R647" s="333"/>
      <c r="S647" s="333"/>
      <c r="T647" s="334"/>
      <c r="AT647" s="329" t="s">
        <v>155</v>
      </c>
      <c r="AU647" s="329" t="s">
        <v>83</v>
      </c>
      <c r="AV647" s="326" t="s">
        <v>81</v>
      </c>
      <c r="AW647" s="326" t="s">
        <v>34</v>
      </c>
      <c r="AX647" s="326" t="s">
        <v>76</v>
      </c>
      <c r="AY647" s="329" t="s">
        <v>146</v>
      </c>
    </row>
    <row r="648" spans="2:51" s="335" customFormat="1" ht="12">
      <c r="B648" s="336"/>
      <c r="D648" s="328" t="s">
        <v>155</v>
      </c>
      <c r="E648" s="337" t="s">
        <v>1</v>
      </c>
      <c r="F648" s="398" t="s">
        <v>2775</v>
      </c>
      <c r="H648" s="339">
        <f>-(2.1*1.5*10+0.6*0.75*3+1.5*1.5+2.8*2.63)</f>
        <v>-42.464</v>
      </c>
      <c r="I648" s="498"/>
      <c r="L648" s="340"/>
      <c r="M648" s="341"/>
      <c r="N648" s="342"/>
      <c r="O648" s="342"/>
      <c r="P648" s="342"/>
      <c r="Q648" s="342"/>
      <c r="R648" s="342"/>
      <c r="S648" s="342"/>
      <c r="T648" s="343"/>
      <c r="AT648" s="337" t="s">
        <v>155</v>
      </c>
      <c r="AU648" s="337" t="s">
        <v>83</v>
      </c>
      <c r="AV648" s="335" t="s">
        <v>83</v>
      </c>
      <c r="AW648" s="335" t="s">
        <v>34</v>
      </c>
      <c r="AX648" s="335" t="s">
        <v>76</v>
      </c>
      <c r="AY648" s="337" t="s">
        <v>146</v>
      </c>
    </row>
    <row r="649" spans="2:51" s="326" customFormat="1" ht="12">
      <c r="B649" s="327"/>
      <c r="D649" s="328" t="s">
        <v>155</v>
      </c>
      <c r="E649" s="329" t="s">
        <v>1</v>
      </c>
      <c r="F649" s="345" t="s">
        <v>1298</v>
      </c>
      <c r="H649" s="329" t="s">
        <v>1</v>
      </c>
      <c r="I649" s="497"/>
      <c r="L649" s="331"/>
      <c r="M649" s="332"/>
      <c r="N649" s="333"/>
      <c r="O649" s="333"/>
      <c r="P649" s="333"/>
      <c r="Q649" s="333"/>
      <c r="R649" s="333"/>
      <c r="S649" s="333"/>
      <c r="T649" s="334"/>
      <c r="AT649" s="329" t="s">
        <v>155</v>
      </c>
      <c r="AU649" s="329" t="s">
        <v>83</v>
      </c>
      <c r="AV649" s="326" t="s">
        <v>81</v>
      </c>
      <c r="AW649" s="326" t="s">
        <v>34</v>
      </c>
      <c r="AX649" s="326" t="s">
        <v>76</v>
      </c>
      <c r="AY649" s="329" t="s">
        <v>146</v>
      </c>
    </row>
    <row r="650" spans="2:51" s="335" customFormat="1" ht="22.5">
      <c r="B650" s="336"/>
      <c r="D650" s="328" t="s">
        <v>155</v>
      </c>
      <c r="E650" s="337" t="s">
        <v>1</v>
      </c>
      <c r="F650" s="346" t="s">
        <v>2781</v>
      </c>
      <c r="H650" s="339">
        <f>((14.3+13.36+28.66-2.4*2-2.7)+(36.33+13.61+23.2-2.46-1.75-1.45))*0.2</f>
        <v>23.260000000000005</v>
      </c>
      <c r="I650" s="498"/>
      <c r="L650" s="340"/>
      <c r="M650" s="341"/>
      <c r="N650" s="342"/>
      <c r="O650" s="342"/>
      <c r="P650" s="342"/>
      <c r="Q650" s="342"/>
      <c r="R650" s="342"/>
      <c r="S650" s="342"/>
      <c r="T650" s="343"/>
      <c r="AT650" s="337" t="s">
        <v>155</v>
      </c>
      <c r="AU650" s="337" t="s">
        <v>83</v>
      </c>
      <c r="AV650" s="335" t="s">
        <v>83</v>
      </c>
      <c r="AW650" s="335" t="s">
        <v>34</v>
      </c>
      <c r="AX650" s="335" t="s">
        <v>81</v>
      </c>
      <c r="AY650" s="337" t="s">
        <v>146</v>
      </c>
    </row>
    <row r="651" spans="2:51" s="347" customFormat="1" ht="12">
      <c r="B651" s="348"/>
      <c r="D651" s="328" t="s">
        <v>155</v>
      </c>
      <c r="E651" s="349" t="s">
        <v>1</v>
      </c>
      <c r="F651" s="350" t="s">
        <v>157</v>
      </c>
      <c r="H651" s="351">
        <f>SUM(H641:H650)</f>
        <v>376.17699999999996</v>
      </c>
      <c r="I651" s="499"/>
      <c r="L651" s="352"/>
      <c r="M651" s="353"/>
      <c r="N651" s="354"/>
      <c r="O651" s="354"/>
      <c r="P651" s="354"/>
      <c r="Q651" s="354"/>
      <c r="R651" s="354"/>
      <c r="S651" s="354"/>
      <c r="T651" s="355"/>
      <c r="AT651" s="349" t="s">
        <v>155</v>
      </c>
      <c r="AU651" s="349" t="s">
        <v>83</v>
      </c>
      <c r="AV651" s="347" t="s">
        <v>153</v>
      </c>
      <c r="AW651" s="347" t="s">
        <v>34</v>
      </c>
      <c r="AX651" s="347" t="s">
        <v>81</v>
      </c>
      <c r="AY651" s="349" t="s">
        <v>146</v>
      </c>
    </row>
    <row r="652" spans="1:65" s="263" customFormat="1" ht="95.25" customHeight="1">
      <c r="A652" s="258"/>
      <c r="B652" s="259"/>
      <c r="C652" s="357" t="s">
        <v>3754</v>
      </c>
      <c r="D652" s="357"/>
      <c r="E652" s="397"/>
      <c r="F652" s="344" t="s">
        <v>3676</v>
      </c>
      <c r="G652" s="399" t="s">
        <v>883</v>
      </c>
      <c r="H652" s="400">
        <v>1</v>
      </c>
      <c r="I652" s="85"/>
      <c r="J652" s="401">
        <f>ROUND(I652*H652,2)</f>
        <v>0</v>
      </c>
      <c r="K652" s="344" t="s">
        <v>152</v>
      </c>
      <c r="L652" s="259"/>
      <c r="M652" s="402" t="s">
        <v>1</v>
      </c>
      <c r="N652" s="403" t="s">
        <v>42</v>
      </c>
      <c r="O652" s="404">
        <v>1.729</v>
      </c>
      <c r="P652" s="404">
        <f>O652*H652</f>
        <v>1.729</v>
      </c>
      <c r="Q652" s="404">
        <v>0</v>
      </c>
      <c r="R652" s="404">
        <f>Q652*H652</f>
        <v>0</v>
      </c>
      <c r="S652" s="404">
        <v>0</v>
      </c>
      <c r="T652" s="405">
        <f>S652*H652</f>
        <v>0</v>
      </c>
      <c r="U652" s="258"/>
      <c r="V652" s="258"/>
      <c r="W652" s="258"/>
      <c r="X652" s="258"/>
      <c r="Y652" s="258"/>
      <c r="Z652" s="258"/>
      <c r="AA652" s="258"/>
      <c r="AB652" s="258"/>
      <c r="AC652" s="258"/>
      <c r="AD652" s="258"/>
      <c r="AE652" s="258"/>
      <c r="AR652" s="260" t="s">
        <v>153</v>
      </c>
      <c r="AT652" s="260" t="s">
        <v>148</v>
      </c>
      <c r="AU652" s="260" t="s">
        <v>83</v>
      </c>
      <c r="AY652" s="406" t="s">
        <v>146</v>
      </c>
      <c r="BE652" s="407">
        <f>IF(N652="základní",J652,0)</f>
        <v>0</v>
      </c>
      <c r="BF652" s="407">
        <f>IF(N652="snížená",J652,0)</f>
        <v>0</v>
      </c>
      <c r="BG652" s="407">
        <f>IF(N652="zákl. přenesená",J652,0)</f>
        <v>0</v>
      </c>
      <c r="BH652" s="407">
        <f>IF(N652="sníž. přenesená",J652,0)</f>
        <v>0</v>
      </c>
      <c r="BI652" s="407">
        <f>IF(N652="nulová",J652,0)</f>
        <v>0</v>
      </c>
      <c r="BJ652" s="406" t="s">
        <v>81</v>
      </c>
      <c r="BK652" s="407">
        <f>ROUND(I652*H652,2)</f>
        <v>0</v>
      </c>
      <c r="BL652" s="406" t="s">
        <v>153</v>
      </c>
      <c r="BM652" s="260" t="s">
        <v>569</v>
      </c>
    </row>
    <row r="653" spans="2:51" s="347" customFormat="1" ht="12">
      <c r="B653" s="348"/>
      <c r="D653" s="328"/>
      <c r="E653" s="349"/>
      <c r="F653" s="350"/>
      <c r="H653" s="351"/>
      <c r="I653" s="499"/>
      <c r="L653" s="352"/>
      <c r="M653" s="353"/>
      <c r="N653" s="354"/>
      <c r="O653" s="354"/>
      <c r="P653" s="354"/>
      <c r="Q653" s="354"/>
      <c r="R653" s="354"/>
      <c r="S653" s="354"/>
      <c r="T653" s="355"/>
      <c r="AT653" s="349"/>
      <c r="AU653" s="349"/>
      <c r="AY653" s="349"/>
    </row>
    <row r="654" spans="1:65" s="225" customFormat="1" ht="37.9" customHeight="1">
      <c r="A654" s="222"/>
      <c r="B654" s="223"/>
      <c r="C654" s="314">
        <v>81</v>
      </c>
      <c r="D654" s="314" t="s">
        <v>148</v>
      </c>
      <c r="E654" s="315" t="s">
        <v>530</v>
      </c>
      <c r="F654" s="344" t="s">
        <v>3300</v>
      </c>
      <c r="G654" s="317" t="s">
        <v>151</v>
      </c>
      <c r="H654" s="318">
        <f>H666</f>
        <v>110.435275</v>
      </c>
      <c r="I654" s="79"/>
      <c r="J654" s="319">
        <f>ROUND(I654*H654,2)</f>
        <v>0</v>
      </c>
      <c r="K654" s="316"/>
      <c r="L654" s="230"/>
      <c r="M654" s="320" t="s">
        <v>1</v>
      </c>
      <c r="N654" s="321" t="s">
        <v>42</v>
      </c>
      <c r="O654" s="322">
        <v>4.232</v>
      </c>
      <c r="P654" s="322">
        <f>O654*H654</f>
        <v>467.36208380000005</v>
      </c>
      <c r="Q654" s="322">
        <v>0.00377486</v>
      </c>
      <c r="R654" s="322">
        <f>Q654*H654</f>
        <v>0.41687770218650005</v>
      </c>
      <c r="S654" s="322">
        <v>0</v>
      </c>
      <c r="T654" s="323">
        <f>S654*H654</f>
        <v>0</v>
      </c>
      <c r="U654" s="222"/>
      <c r="V654" s="222"/>
      <c r="W654" s="222"/>
      <c r="X654" s="222"/>
      <c r="Y654" s="222"/>
      <c r="Z654" s="222"/>
      <c r="AA654" s="222"/>
      <c r="AB654" s="222"/>
      <c r="AC654" s="222"/>
      <c r="AD654" s="222"/>
      <c r="AE654" s="222"/>
      <c r="AR654" s="324" t="s">
        <v>153</v>
      </c>
      <c r="AT654" s="324" t="s">
        <v>148</v>
      </c>
      <c r="AU654" s="324" t="s">
        <v>83</v>
      </c>
      <c r="AY654" s="214" t="s">
        <v>146</v>
      </c>
      <c r="BE654" s="325">
        <f>IF(N654="základní",J654,0)</f>
        <v>0</v>
      </c>
      <c r="BF654" s="325">
        <f>IF(N654="snížená",J654,0)</f>
        <v>0</v>
      </c>
      <c r="BG654" s="325">
        <f>IF(N654="zákl. přenesená",J654,0)</f>
        <v>0</v>
      </c>
      <c r="BH654" s="325">
        <f>IF(N654="sníž. přenesená",J654,0)</f>
        <v>0</v>
      </c>
      <c r="BI654" s="325">
        <f>IF(N654="nulová",J654,0)</f>
        <v>0</v>
      </c>
      <c r="BJ654" s="214" t="s">
        <v>81</v>
      </c>
      <c r="BK654" s="325">
        <f>ROUND(I654*H654,2)</f>
        <v>0</v>
      </c>
      <c r="BL654" s="214" t="s">
        <v>153</v>
      </c>
      <c r="BM654" s="324" t="s">
        <v>531</v>
      </c>
    </row>
    <row r="655" spans="2:51" s="326" customFormat="1" ht="12">
      <c r="B655" s="327"/>
      <c r="D655" s="328" t="s">
        <v>155</v>
      </c>
      <c r="E655" s="329" t="s">
        <v>1</v>
      </c>
      <c r="F655" s="345" t="s">
        <v>532</v>
      </c>
      <c r="H655" s="329" t="s">
        <v>1</v>
      </c>
      <c r="I655" s="497"/>
      <c r="L655" s="331"/>
      <c r="M655" s="332"/>
      <c r="N655" s="333"/>
      <c r="O655" s="333"/>
      <c r="P655" s="333"/>
      <c r="Q655" s="333"/>
      <c r="R655" s="333"/>
      <c r="S655" s="333"/>
      <c r="T655" s="334"/>
      <c r="AT655" s="329" t="s">
        <v>155</v>
      </c>
      <c r="AU655" s="329" t="s">
        <v>83</v>
      </c>
      <c r="AV655" s="326" t="s">
        <v>81</v>
      </c>
      <c r="AW655" s="326" t="s">
        <v>34</v>
      </c>
      <c r="AX655" s="326" t="s">
        <v>76</v>
      </c>
      <c r="AY655" s="329" t="s">
        <v>146</v>
      </c>
    </row>
    <row r="656" spans="2:51" s="326" customFormat="1" ht="12">
      <c r="B656" s="327"/>
      <c r="D656" s="328" t="s">
        <v>155</v>
      </c>
      <c r="E656" s="329" t="s">
        <v>1</v>
      </c>
      <c r="F656" s="345" t="s">
        <v>533</v>
      </c>
      <c r="H656" s="329" t="s">
        <v>1</v>
      </c>
      <c r="I656" s="497"/>
      <c r="L656" s="331"/>
      <c r="M656" s="332"/>
      <c r="N656" s="333"/>
      <c r="O656" s="333"/>
      <c r="P656" s="333"/>
      <c r="Q656" s="333"/>
      <c r="R656" s="333"/>
      <c r="S656" s="333"/>
      <c r="T656" s="334"/>
      <c r="AT656" s="329" t="s">
        <v>155</v>
      </c>
      <c r="AU656" s="329" t="s">
        <v>83</v>
      </c>
      <c r="AV656" s="326" t="s">
        <v>81</v>
      </c>
      <c r="AW656" s="326" t="s">
        <v>34</v>
      </c>
      <c r="AX656" s="326" t="s">
        <v>76</v>
      </c>
      <c r="AY656" s="329" t="s">
        <v>146</v>
      </c>
    </row>
    <row r="657" spans="2:51" s="335" customFormat="1" ht="12">
      <c r="B657" s="336"/>
      <c r="D657" s="328" t="s">
        <v>155</v>
      </c>
      <c r="E657" s="337" t="s">
        <v>1</v>
      </c>
      <c r="F657" s="346" t="s">
        <v>534</v>
      </c>
      <c r="H657" s="339">
        <f>0.625*(29.04+14.825)</f>
        <v>27.415625</v>
      </c>
      <c r="I657" s="498"/>
      <c r="L657" s="340"/>
      <c r="M657" s="341"/>
      <c r="N657" s="342"/>
      <c r="O657" s="342"/>
      <c r="P657" s="342"/>
      <c r="Q657" s="342"/>
      <c r="R657" s="342"/>
      <c r="S657" s="342"/>
      <c r="T657" s="343"/>
      <c r="AT657" s="337" t="s">
        <v>155</v>
      </c>
      <c r="AU657" s="337" t="s">
        <v>83</v>
      </c>
      <c r="AV657" s="335" t="s">
        <v>83</v>
      </c>
      <c r="AW657" s="335" t="s">
        <v>34</v>
      </c>
      <c r="AX657" s="335" t="s">
        <v>76</v>
      </c>
      <c r="AY657" s="337" t="s">
        <v>146</v>
      </c>
    </row>
    <row r="658" spans="2:51" s="326" customFormat="1" ht="12">
      <c r="B658" s="327"/>
      <c r="D658" s="328" t="s">
        <v>155</v>
      </c>
      <c r="E658" s="329" t="s">
        <v>1</v>
      </c>
      <c r="F658" s="345" t="s">
        <v>535</v>
      </c>
      <c r="H658" s="329" t="s">
        <v>1</v>
      </c>
      <c r="I658" s="497"/>
      <c r="L658" s="331"/>
      <c r="M658" s="332"/>
      <c r="N658" s="333"/>
      <c r="O658" s="333"/>
      <c r="P658" s="333"/>
      <c r="Q658" s="333"/>
      <c r="R658" s="333"/>
      <c r="S658" s="333"/>
      <c r="T658" s="334"/>
      <c r="AT658" s="329" t="s">
        <v>155</v>
      </c>
      <c r="AU658" s="329" t="s">
        <v>83</v>
      </c>
      <c r="AV658" s="326" t="s">
        <v>81</v>
      </c>
      <c r="AW658" s="326" t="s">
        <v>34</v>
      </c>
      <c r="AX658" s="326" t="s">
        <v>76</v>
      </c>
      <c r="AY658" s="329" t="s">
        <v>146</v>
      </c>
    </row>
    <row r="659" spans="2:51" s="335" customFormat="1" ht="12">
      <c r="B659" s="336"/>
      <c r="D659" s="328" t="s">
        <v>155</v>
      </c>
      <c r="E659" s="337" t="s">
        <v>1</v>
      </c>
      <c r="F659" s="346" t="s">
        <v>536</v>
      </c>
      <c r="H659" s="339">
        <f>0.755*(24.745)*2</f>
        <v>37.36495</v>
      </c>
      <c r="I659" s="498"/>
      <c r="L659" s="340"/>
      <c r="M659" s="341"/>
      <c r="N659" s="342"/>
      <c r="O659" s="342"/>
      <c r="P659" s="342"/>
      <c r="Q659" s="342"/>
      <c r="R659" s="342"/>
      <c r="S659" s="342"/>
      <c r="T659" s="343"/>
      <c r="AT659" s="337" t="s">
        <v>155</v>
      </c>
      <c r="AU659" s="337" t="s">
        <v>83</v>
      </c>
      <c r="AV659" s="335" t="s">
        <v>83</v>
      </c>
      <c r="AW659" s="335" t="s">
        <v>34</v>
      </c>
      <c r="AX659" s="335" t="s">
        <v>76</v>
      </c>
      <c r="AY659" s="337" t="s">
        <v>146</v>
      </c>
    </row>
    <row r="660" spans="2:51" s="326" customFormat="1" ht="12">
      <c r="B660" s="327"/>
      <c r="D660" s="328" t="s">
        <v>155</v>
      </c>
      <c r="E660" s="329" t="s">
        <v>1</v>
      </c>
      <c r="F660" s="345" t="s">
        <v>537</v>
      </c>
      <c r="H660" s="329" t="s">
        <v>1</v>
      </c>
      <c r="I660" s="497"/>
      <c r="L660" s="331"/>
      <c r="M660" s="332"/>
      <c r="N660" s="333"/>
      <c r="O660" s="333"/>
      <c r="P660" s="333"/>
      <c r="Q660" s="333"/>
      <c r="R660" s="333"/>
      <c r="S660" s="333"/>
      <c r="T660" s="334"/>
      <c r="AT660" s="329" t="s">
        <v>155</v>
      </c>
      <c r="AU660" s="329" t="s">
        <v>83</v>
      </c>
      <c r="AV660" s="326" t="s">
        <v>81</v>
      </c>
      <c r="AW660" s="326" t="s">
        <v>34</v>
      </c>
      <c r="AX660" s="326" t="s">
        <v>76</v>
      </c>
      <c r="AY660" s="329" t="s">
        <v>146</v>
      </c>
    </row>
    <row r="661" spans="2:51" s="335" customFormat="1" ht="12">
      <c r="B661" s="336"/>
      <c r="D661" s="328" t="s">
        <v>155</v>
      </c>
      <c r="E661" s="337" t="s">
        <v>1</v>
      </c>
      <c r="F661" s="346" t="s">
        <v>538</v>
      </c>
      <c r="H661" s="339">
        <f>0.545*(7.63*2+7.5*2)</f>
        <v>16.4917</v>
      </c>
      <c r="I661" s="498"/>
      <c r="L661" s="340"/>
      <c r="M661" s="341"/>
      <c r="N661" s="342"/>
      <c r="O661" s="342"/>
      <c r="P661" s="342"/>
      <c r="Q661" s="342"/>
      <c r="R661" s="342"/>
      <c r="S661" s="342"/>
      <c r="T661" s="343"/>
      <c r="AT661" s="337" t="s">
        <v>155</v>
      </c>
      <c r="AU661" s="337" t="s">
        <v>83</v>
      </c>
      <c r="AV661" s="335" t="s">
        <v>83</v>
      </c>
      <c r="AW661" s="335" t="s">
        <v>34</v>
      </c>
      <c r="AX661" s="335" t="s">
        <v>76</v>
      </c>
      <c r="AY661" s="337" t="s">
        <v>146</v>
      </c>
    </row>
    <row r="662" spans="2:51" s="326" customFormat="1" ht="12">
      <c r="B662" s="327"/>
      <c r="D662" s="328" t="s">
        <v>155</v>
      </c>
      <c r="E662" s="329" t="s">
        <v>1</v>
      </c>
      <c r="F662" s="345" t="s">
        <v>2778</v>
      </c>
      <c r="H662" s="329" t="s">
        <v>1</v>
      </c>
      <c r="I662" s="497"/>
      <c r="L662" s="331"/>
      <c r="M662" s="332"/>
      <c r="N662" s="333"/>
      <c r="O662" s="333"/>
      <c r="P662" s="333"/>
      <c r="Q662" s="333"/>
      <c r="R662" s="333"/>
      <c r="S662" s="333"/>
      <c r="T662" s="334"/>
      <c r="AT662" s="329" t="s">
        <v>155</v>
      </c>
      <c r="AU662" s="329" t="s">
        <v>83</v>
      </c>
      <c r="AV662" s="326" t="s">
        <v>81</v>
      </c>
      <c r="AW662" s="326" t="s">
        <v>34</v>
      </c>
      <c r="AX662" s="326" t="s">
        <v>76</v>
      </c>
      <c r="AY662" s="329" t="s">
        <v>146</v>
      </c>
    </row>
    <row r="663" spans="2:51" s="335" customFormat="1" ht="12">
      <c r="B663" s="336"/>
      <c r="D663" s="328" t="s">
        <v>155</v>
      </c>
      <c r="E663" s="337" t="s">
        <v>1</v>
      </c>
      <c r="F663" s="346" t="s">
        <v>2779</v>
      </c>
      <c r="H663" s="339">
        <f>15.07*0.45*2</f>
        <v>13.563</v>
      </c>
      <c r="I663" s="498"/>
      <c r="L663" s="340"/>
      <c r="M663" s="341"/>
      <c r="N663" s="342"/>
      <c r="O663" s="342"/>
      <c r="P663" s="342"/>
      <c r="Q663" s="342"/>
      <c r="R663" s="342"/>
      <c r="S663" s="342"/>
      <c r="T663" s="343"/>
      <c r="AT663" s="337" t="s">
        <v>155</v>
      </c>
      <c r="AU663" s="337" t="s">
        <v>83</v>
      </c>
      <c r="AV663" s="335" t="s">
        <v>83</v>
      </c>
      <c r="AW663" s="335" t="s">
        <v>34</v>
      </c>
      <c r="AX663" s="335" t="s">
        <v>76</v>
      </c>
      <c r="AY663" s="337" t="s">
        <v>146</v>
      </c>
    </row>
    <row r="664" spans="2:51" s="326" customFormat="1" ht="12">
      <c r="B664" s="327"/>
      <c r="D664" s="328" t="s">
        <v>155</v>
      </c>
      <c r="E664" s="329" t="s">
        <v>1</v>
      </c>
      <c r="F664" s="345" t="s">
        <v>3031</v>
      </c>
      <c r="H664" s="329" t="s">
        <v>1</v>
      </c>
      <c r="I664" s="497"/>
      <c r="L664" s="331"/>
      <c r="M664" s="332"/>
      <c r="N664" s="333"/>
      <c r="O664" s="333"/>
      <c r="P664" s="333"/>
      <c r="Q664" s="333"/>
      <c r="R664" s="333"/>
      <c r="S664" s="333"/>
      <c r="T664" s="334"/>
      <c r="AT664" s="329" t="s">
        <v>155</v>
      </c>
      <c r="AU664" s="329" t="s">
        <v>83</v>
      </c>
      <c r="AV664" s="326" t="s">
        <v>81</v>
      </c>
      <c r="AW664" s="326" t="s">
        <v>34</v>
      </c>
      <c r="AX664" s="326" t="s">
        <v>76</v>
      </c>
      <c r="AY664" s="329" t="s">
        <v>146</v>
      </c>
    </row>
    <row r="665" spans="2:51" s="335" customFormat="1" ht="12">
      <c r="B665" s="336"/>
      <c r="D665" s="328" t="s">
        <v>155</v>
      </c>
      <c r="E665" s="337" t="s">
        <v>1</v>
      </c>
      <c r="F665" s="346" t="s">
        <v>3032</v>
      </c>
      <c r="H665" s="339">
        <f>13*(0.5+0.2+0.5)</f>
        <v>15.6</v>
      </c>
      <c r="I665" s="498"/>
      <c r="L665" s="340"/>
      <c r="M665" s="341"/>
      <c r="N665" s="342"/>
      <c r="O665" s="342"/>
      <c r="P665" s="342"/>
      <c r="Q665" s="342"/>
      <c r="R665" s="342"/>
      <c r="S665" s="342"/>
      <c r="T665" s="343"/>
      <c r="AT665" s="337" t="s">
        <v>155</v>
      </c>
      <c r="AU665" s="337" t="s">
        <v>83</v>
      </c>
      <c r="AV665" s="335" t="s">
        <v>83</v>
      </c>
      <c r="AW665" s="335" t="s">
        <v>34</v>
      </c>
      <c r="AX665" s="335" t="s">
        <v>76</v>
      </c>
      <c r="AY665" s="337" t="s">
        <v>146</v>
      </c>
    </row>
    <row r="666" spans="2:51" s="347" customFormat="1" ht="12">
      <c r="B666" s="348"/>
      <c r="D666" s="328" t="s">
        <v>155</v>
      </c>
      <c r="E666" s="349" t="s">
        <v>1</v>
      </c>
      <c r="F666" s="350" t="s">
        <v>157</v>
      </c>
      <c r="H666" s="351">
        <f>SUM(H657:H665)</f>
        <v>110.435275</v>
      </c>
      <c r="I666" s="499"/>
      <c r="L666" s="352"/>
      <c r="M666" s="353"/>
      <c r="N666" s="354"/>
      <c r="O666" s="354"/>
      <c r="P666" s="354"/>
      <c r="Q666" s="354"/>
      <c r="R666" s="354"/>
      <c r="S666" s="354"/>
      <c r="T666" s="355"/>
      <c r="AT666" s="349" t="s">
        <v>155</v>
      </c>
      <c r="AU666" s="349" t="s">
        <v>83</v>
      </c>
      <c r="AV666" s="347" t="s">
        <v>153</v>
      </c>
      <c r="AW666" s="347" t="s">
        <v>34</v>
      </c>
      <c r="AX666" s="347" t="s">
        <v>81</v>
      </c>
      <c r="AY666" s="349" t="s">
        <v>146</v>
      </c>
    </row>
    <row r="667" spans="1:65" s="225" customFormat="1" ht="78.75" customHeight="1">
      <c r="A667" s="222"/>
      <c r="B667" s="223"/>
      <c r="C667" s="358">
        <v>82</v>
      </c>
      <c r="D667" s="358" t="s">
        <v>208</v>
      </c>
      <c r="E667" s="359" t="s">
        <v>540</v>
      </c>
      <c r="F667" s="360" t="s">
        <v>3299</v>
      </c>
      <c r="G667" s="361" t="s">
        <v>151</v>
      </c>
      <c r="H667" s="362">
        <f>H654</f>
        <v>110.435275</v>
      </c>
      <c r="I667" s="80"/>
      <c r="J667" s="363">
        <f>ROUND(I667*H667,2)</f>
        <v>0</v>
      </c>
      <c r="K667" s="364"/>
      <c r="L667" s="365"/>
      <c r="M667" s="366" t="s">
        <v>1</v>
      </c>
      <c r="N667" s="367" t="s">
        <v>42</v>
      </c>
      <c r="O667" s="322">
        <v>0</v>
      </c>
      <c r="P667" s="322">
        <f>O667*H667</f>
        <v>0</v>
      </c>
      <c r="Q667" s="322">
        <v>0.012</v>
      </c>
      <c r="R667" s="322">
        <f>Q667*H667</f>
        <v>1.3252233</v>
      </c>
      <c r="S667" s="322">
        <v>0</v>
      </c>
      <c r="T667" s="323">
        <f>S667*H667</f>
        <v>0</v>
      </c>
      <c r="U667" s="222"/>
      <c r="V667" s="222"/>
      <c r="W667" s="222"/>
      <c r="X667" s="222"/>
      <c r="Y667" s="222"/>
      <c r="Z667" s="222"/>
      <c r="AA667" s="222"/>
      <c r="AB667" s="222"/>
      <c r="AC667" s="222"/>
      <c r="AD667" s="222"/>
      <c r="AE667" s="222"/>
      <c r="AR667" s="324" t="s">
        <v>189</v>
      </c>
      <c r="AT667" s="324" t="s">
        <v>208</v>
      </c>
      <c r="AU667" s="324" t="s">
        <v>83</v>
      </c>
      <c r="AY667" s="214" t="s">
        <v>146</v>
      </c>
      <c r="BE667" s="325">
        <f>IF(N667="základní",J667,0)</f>
        <v>0</v>
      </c>
      <c r="BF667" s="325">
        <f>IF(N667="snížená",J667,0)</f>
        <v>0</v>
      </c>
      <c r="BG667" s="325">
        <f>IF(N667="zákl. přenesená",J667,0)</f>
        <v>0</v>
      </c>
      <c r="BH667" s="325">
        <f>IF(N667="sníž. přenesená",J667,0)</f>
        <v>0</v>
      </c>
      <c r="BI667" s="325">
        <f>IF(N667="nulová",J667,0)</f>
        <v>0</v>
      </c>
      <c r="BJ667" s="214" t="s">
        <v>81</v>
      </c>
      <c r="BK667" s="325">
        <f>ROUND(I667*H667,2)</f>
        <v>0</v>
      </c>
      <c r="BL667" s="214" t="s">
        <v>153</v>
      </c>
      <c r="BM667" s="324" t="s">
        <v>541</v>
      </c>
    </row>
    <row r="668" spans="2:51" s="347" customFormat="1" ht="12">
      <c r="B668" s="348"/>
      <c r="D668" s="328"/>
      <c r="E668" s="349"/>
      <c r="F668" s="350"/>
      <c r="H668" s="351"/>
      <c r="I668" s="499"/>
      <c r="L668" s="352"/>
      <c r="M668" s="353"/>
      <c r="N668" s="354"/>
      <c r="O668" s="354"/>
      <c r="P668" s="354"/>
      <c r="Q668" s="354"/>
      <c r="R668" s="354"/>
      <c r="S668" s="354"/>
      <c r="T668" s="355"/>
      <c r="AT668" s="349"/>
      <c r="AU668" s="349"/>
      <c r="AY668" s="349"/>
    </row>
    <row r="669" spans="1:65" s="225" customFormat="1" ht="33" customHeight="1">
      <c r="A669" s="222"/>
      <c r="B669" s="223"/>
      <c r="C669" s="314">
        <v>83</v>
      </c>
      <c r="D669" s="314" t="s">
        <v>148</v>
      </c>
      <c r="E669" s="315" t="s">
        <v>555</v>
      </c>
      <c r="F669" s="344" t="s">
        <v>3301</v>
      </c>
      <c r="G669" s="317" t="s">
        <v>151</v>
      </c>
      <c r="H669" s="318">
        <f>H675</f>
        <v>39.675875</v>
      </c>
      <c r="I669" s="79"/>
      <c r="J669" s="319">
        <f>ROUND(I669*H669,2)</f>
        <v>0</v>
      </c>
      <c r="K669" s="316"/>
      <c r="L669" s="229"/>
      <c r="M669" s="320" t="s">
        <v>1</v>
      </c>
      <c r="N669" s="321" t="s">
        <v>42</v>
      </c>
      <c r="O669" s="322">
        <v>3.434</v>
      </c>
      <c r="P669" s="322">
        <f>O669*H669</f>
        <v>136.24695475</v>
      </c>
      <c r="Q669" s="322">
        <v>0.0026909956</v>
      </c>
      <c r="R669" s="322">
        <f>Q669*H669</f>
        <v>0.10676760505115</v>
      </c>
      <c r="S669" s="322">
        <v>0</v>
      </c>
      <c r="T669" s="323">
        <f>S669*H669</f>
        <v>0</v>
      </c>
      <c r="U669" s="222"/>
      <c r="V669" s="222"/>
      <c r="W669" s="222"/>
      <c r="X669" s="222"/>
      <c r="Y669" s="222"/>
      <c r="Z669" s="222"/>
      <c r="AA669" s="222"/>
      <c r="AB669" s="222"/>
      <c r="AC669" s="222"/>
      <c r="AD669" s="222"/>
      <c r="AE669" s="222"/>
      <c r="AR669" s="324" t="s">
        <v>153</v>
      </c>
      <c r="AT669" s="324" t="s">
        <v>148</v>
      </c>
      <c r="AU669" s="324" t="s">
        <v>83</v>
      </c>
      <c r="AY669" s="214" t="s">
        <v>146</v>
      </c>
      <c r="BE669" s="325">
        <f>IF(N669="základní",J669,0)</f>
        <v>0</v>
      </c>
      <c r="BF669" s="325">
        <f>IF(N669="snížená",J669,0)</f>
        <v>0</v>
      </c>
      <c r="BG669" s="325">
        <f>IF(N669="zákl. přenesená",J669,0)</f>
        <v>0</v>
      </c>
      <c r="BH669" s="325">
        <f>IF(N669="sníž. přenesená",J669,0)</f>
        <v>0</v>
      </c>
      <c r="BI669" s="325">
        <f>IF(N669="nulová",J669,0)</f>
        <v>0</v>
      </c>
      <c r="BJ669" s="214" t="s">
        <v>81</v>
      </c>
      <c r="BK669" s="325">
        <f>ROUND(I669*H669,2)</f>
        <v>0</v>
      </c>
      <c r="BL669" s="214" t="s">
        <v>153</v>
      </c>
      <c r="BM669" s="324" t="s">
        <v>556</v>
      </c>
    </row>
    <row r="670" spans="2:51" s="326" customFormat="1" ht="12">
      <c r="B670" s="327"/>
      <c r="D670" s="328" t="s">
        <v>155</v>
      </c>
      <c r="E670" s="329" t="s">
        <v>1</v>
      </c>
      <c r="F670" s="345" t="s">
        <v>2707</v>
      </c>
      <c r="H670" s="329" t="s">
        <v>1</v>
      </c>
      <c r="I670" s="497"/>
      <c r="L670" s="331"/>
      <c r="M670" s="332"/>
      <c r="N670" s="333"/>
      <c r="O670" s="333"/>
      <c r="P670" s="333"/>
      <c r="Q670" s="333"/>
      <c r="R670" s="333"/>
      <c r="S670" s="333"/>
      <c r="T670" s="334"/>
      <c r="AT670" s="329" t="s">
        <v>155</v>
      </c>
      <c r="AU670" s="329" t="s">
        <v>83</v>
      </c>
      <c r="AV670" s="326" t="s">
        <v>81</v>
      </c>
      <c r="AW670" s="326" t="s">
        <v>34</v>
      </c>
      <c r="AX670" s="326" t="s">
        <v>76</v>
      </c>
      <c r="AY670" s="329" t="s">
        <v>146</v>
      </c>
    </row>
    <row r="671" spans="2:51" s="326" customFormat="1" ht="12">
      <c r="B671" s="327"/>
      <c r="D671" s="328" t="s">
        <v>155</v>
      </c>
      <c r="E671" s="329" t="s">
        <v>1</v>
      </c>
      <c r="F671" s="345" t="s">
        <v>533</v>
      </c>
      <c r="H671" s="329" t="s">
        <v>1</v>
      </c>
      <c r="I671" s="497"/>
      <c r="L671" s="331"/>
      <c r="M671" s="332"/>
      <c r="N671" s="333"/>
      <c r="O671" s="333"/>
      <c r="P671" s="333"/>
      <c r="Q671" s="333"/>
      <c r="R671" s="333"/>
      <c r="S671" s="333"/>
      <c r="T671" s="334"/>
      <c r="AT671" s="329" t="s">
        <v>155</v>
      </c>
      <c r="AU671" s="329" t="s">
        <v>83</v>
      </c>
      <c r="AV671" s="326" t="s">
        <v>81</v>
      </c>
      <c r="AW671" s="326" t="s">
        <v>34</v>
      </c>
      <c r="AX671" s="326" t="s">
        <v>76</v>
      </c>
      <c r="AY671" s="329" t="s">
        <v>146</v>
      </c>
    </row>
    <row r="672" spans="2:51" s="335" customFormat="1" ht="12">
      <c r="B672" s="336"/>
      <c r="D672" s="328" t="s">
        <v>155</v>
      </c>
      <c r="E672" s="337" t="s">
        <v>1</v>
      </c>
      <c r="F672" s="346" t="s">
        <v>557</v>
      </c>
      <c r="H672" s="339">
        <f>0.425*(29.04+14.825)</f>
        <v>18.642625</v>
      </c>
      <c r="I672" s="498"/>
      <c r="L672" s="340"/>
      <c r="M672" s="341"/>
      <c r="N672" s="342"/>
      <c r="O672" s="342"/>
      <c r="P672" s="342"/>
      <c r="Q672" s="342"/>
      <c r="R672" s="342"/>
      <c r="S672" s="342"/>
      <c r="T672" s="343"/>
      <c r="AT672" s="337" t="s">
        <v>155</v>
      </c>
      <c r="AU672" s="337" t="s">
        <v>83</v>
      </c>
      <c r="AV672" s="335" t="s">
        <v>83</v>
      </c>
      <c r="AW672" s="335" t="s">
        <v>34</v>
      </c>
      <c r="AX672" s="335" t="s">
        <v>76</v>
      </c>
      <c r="AY672" s="337" t="s">
        <v>146</v>
      </c>
    </row>
    <row r="673" spans="2:51" s="326" customFormat="1" ht="12">
      <c r="B673" s="327"/>
      <c r="D673" s="328" t="s">
        <v>155</v>
      </c>
      <c r="E673" s="329" t="s">
        <v>1</v>
      </c>
      <c r="F673" s="345" t="s">
        <v>535</v>
      </c>
      <c r="H673" s="329" t="s">
        <v>1</v>
      </c>
      <c r="I673" s="497"/>
      <c r="L673" s="331"/>
      <c r="M673" s="332"/>
      <c r="N673" s="333"/>
      <c r="O673" s="333"/>
      <c r="P673" s="333"/>
      <c r="Q673" s="333"/>
      <c r="R673" s="333"/>
      <c r="S673" s="333"/>
      <c r="T673" s="334"/>
      <c r="AT673" s="329" t="s">
        <v>155</v>
      </c>
      <c r="AU673" s="329" t="s">
        <v>83</v>
      </c>
      <c r="AV673" s="326" t="s">
        <v>81</v>
      </c>
      <c r="AW673" s="326" t="s">
        <v>34</v>
      </c>
      <c r="AX673" s="326" t="s">
        <v>76</v>
      </c>
      <c r="AY673" s="329" t="s">
        <v>146</v>
      </c>
    </row>
    <row r="674" spans="2:51" s="335" customFormat="1" ht="12">
      <c r="B674" s="336"/>
      <c r="D674" s="328" t="s">
        <v>155</v>
      </c>
      <c r="E674" s="337" t="s">
        <v>1</v>
      </c>
      <c r="F674" s="346" t="s">
        <v>558</v>
      </c>
      <c r="H674" s="339">
        <f>0.425*(24.745)*2</f>
        <v>21.03325</v>
      </c>
      <c r="I674" s="498"/>
      <c r="L674" s="340"/>
      <c r="M674" s="341"/>
      <c r="N674" s="342"/>
      <c r="O674" s="342"/>
      <c r="P674" s="342"/>
      <c r="Q674" s="342"/>
      <c r="R674" s="342"/>
      <c r="S674" s="342"/>
      <c r="T674" s="343"/>
      <c r="AT674" s="337" t="s">
        <v>155</v>
      </c>
      <c r="AU674" s="337" t="s">
        <v>83</v>
      </c>
      <c r="AV674" s="335" t="s">
        <v>83</v>
      </c>
      <c r="AW674" s="335" t="s">
        <v>34</v>
      </c>
      <c r="AX674" s="335" t="s">
        <v>76</v>
      </c>
      <c r="AY674" s="337" t="s">
        <v>146</v>
      </c>
    </row>
    <row r="675" spans="2:51" s="347" customFormat="1" ht="12">
      <c r="B675" s="348"/>
      <c r="D675" s="328" t="s">
        <v>155</v>
      </c>
      <c r="E675" s="349" t="s">
        <v>1</v>
      </c>
      <c r="F675" s="350" t="s">
        <v>157</v>
      </c>
      <c r="H675" s="351">
        <f>SUM(H672:H674)</f>
        <v>39.675875</v>
      </c>
      <c r="I675" s="499"/>
      <c r="L675" s="352"/>
      <c r="M675" s="353"/>
      <c r="N675" s="354"/>
      <c r="O675" s="354"/>
      <c r="P675" s="354"/>
      <c r="Q675" s="354"/>
      <c r="R675" s="354"/>
      <c r="S675" s="354"/>
      <c r="T675" s="355"/>
      <c r="AT675" s="349" t="s">
        <v>155</v>
      </c>
      <c r="AU675" s="349" t="s">
        <v>83</v>
      </c>
      <c r="AV675" s="347" t="s">
        <v>153</v>
      </c>
      <c r="AW675" s="347" t="s">
        <v>34</v>
      </c>
      <c r="AX675" s="347" t="s">
        <v>81</v>
      </c>
      <c r="AY675" s="349" t="s">
        <v>146</v>
      </c>
    </row>
    <row r="676" spans="1:65" s="225" customFormat="1" ht="72.75" customHeight="1">
      <c r="A676" s="222"/>
      <c r="B676" s="223"/>
      <c r="C676" s="358">
        <v>84</v>
      </c>
      <c r="D676" s="358" t="s">
        <v>208</v>
      </c>
      <c r="E676" s="359" t="s">
        <v>540</v>
      </c>
      <c r="F676" s="360" t="s">
        <v>3299</v>
      </c>
      <c r="G676" s="361" t="s">
        <v>151</v>
      </c>
      <c r="H676" s="362">
        <f>H669</f>
        <v>39.675875</v>
      </c>
      <c r="I676" s="80"/>
      <c r="J676" s="363">
        <f>ROUND(I676*H676,2)</f>
        <v>0</v>
      </c>
      <c r="K676" s="364"/>
      <c r="L676" s="365"/>
      <c r="M676" s="366" t="s">
        <v>1</v>
      </c>
      <c r="N676" s="367" t="s">
        <v>42</v>
      </c>
      <c r="O676" s="322">
        <v>0</v>
      </c>
      <c r="P676" s="322">
        <f>O676*H676</f>
        <v>0</v>
      </c>
      <c r="Q676" s="322">
        <v>0.012</v>
      </c>
      <c r="R676" s="322">
        <f>Q676*H676</f>
        <v>0.4761105</v>
      </c>
      <c r="S676" s="322">
        <v>0</v>
      </c>
      <c r="T676" s="323">
        <f>S676*H676</f>
        <v>0</v>
      </c>
      <c r="U676" s="222"/>
      <c r="V676" s="222"/>
      <c r="W676" s="222"/>
      <c r="X676" s="222"/>
      <c r="Y676" s="222"/>
      <c r="Z676" s="222"/>
      <c r="AA676" s="222"/>
      <c r="AB676" s="222"/>
      <c r="AC676" s="222"/>
      <c r="AD676" s="222"/>
      <c r="AE676" s="222"/>
      <c r="AR676" s="324" t="s">
        <v>189</v>
      </c>
      <c r="AT676" s="324" t="s">
        <v>208</v>
      </c>
      <c r="AU676" s="324" t="s">
        <v>83</v>
      </c>
      <c r="AY676" s="214" t="s">
        <v>146</v>
      </c>
      <c r="BE676" s="325">
        <f>IF(N676="základní",J676,0)</f>
        <v>0</v>
      </c>
      <c r="BF676" s="325">
        <f>IF(N676="snížená",J676,0)</f>
        <v>0</v>
      </c>
      <c r="BG676" s="325">
        <f>IF(N676="zákl. přenesená",J676,0)</f>
        <v>0</v>
      </c>
      <c r="BH676" s="325">
        <f>IF(N676="sníž. přenesená",J676,0)</f>
        <v>0</v>
      </c>
      <c r="BI676" s="325">
        <f>IF(N676="nulová",J676,0)</f>
        <v>0</v>
      </c>
      <c r="BJ676" s="214" t="s">
        <v>81</v>
      </c>
      <c r="BK676" s="325">
        <f>ROUND(I676*H676,2)</f>
        <v>0</v>
      </c>
      <c r="BL676" s="214" t="s">
        <v>153</v>
      </c>
      <c r="BM676" s="324" t="s">
        <v>560</v>
      </c>
    </row>
    <row r="677" spans="2:51" s="335" customFormat="1" ht="12">
      <c r="B677" s="336"/>
      <c r="D677" s="328"/>
      <c r="F677" s="346"/>
      <c r="H677" s="339"/>
      <c r="I677" s="498"/>
      <c r="L677" s="340"/>
      <c r="M677" s="341"/>
      <c r="N677" s="342"/>
      <c r="O677" s="342"/>
      <c r="P677" s="342"/>
      <c r="Q677" s="342"/>
      <c r="R677" s="342"/>
      <c r="S677" s="342"/>
      <c r="T677" s="343"/>
      <c r="AT677" s="337"/>
      <c r="AU677" s="337"/>
      <c r="AY677" s="337"/>
    </row>
    <row r="678" spans="1:65" s="225" customFormat="1" ht="44.25" customHeight="1">
      <c r="A678" s="222"/>
      <c r="B678" s="223"/>
      <c r="C678" s="314">
        <v>85</v>
      </c>
      <c r="D678" s="314" t="s">
        <v>148</v>
      </c>
      <c r="E678" s="315" t="s">
        <v>562</v>
      </c>
      <c r="F678" s="344" t="s">
        <v>3301</v>
      </c>
      <c r="G678" s="317" t="s">
        <v>151</v>
      </c>
      <c r="H678" s="318">
        <f>H684</f>
        <v>323.33070000000004</v>
      </c>
      <c r="I678" s="79"/>
      <c r="J678" s="319">
        <f>ROUND(I678*H678,2)</f>
        <v>0</v>
      </c>
      <c r="K678" s="316"/>
      <c r="L678" s="229"/>
      <c r="M678" s="320" t="s">
        <v>1</v>
      </c>
      <c r="N678" s="321" t="s">
        <v>42</v>
      </c>
      <c r="O678" s="322">
        <v>3.718</v>
      </c>
      <c r="P678" s="322">
        <f>O678*H678</f>
        <v>1202.1435426</v>
      </c>
      <c r="Q678" s="322">
        <v>0.00805</v>
      </c>
      <c r="R678" s="322">
        <f>Q678*H678</f>
        <v>2.602812135</v>
      </c>
      <c r="S678" s="322">
        <v>0</v>
      </c>
      <c r="T678" s="323">
        <f>S678*H678</f>
        <v>0</v>
      </c>
      <c r="U678" s="222"/>
      <c r="V678" s="222"/>
      <c r="W678" s="222"/>
      <c r="X678" s="222"/>
      <c r="Y678" s="222"/>
      <c r="Z678" s="222"/>
      <c r="AA678" s="222"/>
      <c r="AB678" s="222"/>
      <c r="AC678" s="222"/>
      <c r="AD678" s="222"/>
      <c r="AE678" s="222"/>
      <c r="AR678" s="324" t="s">
        <v>153</v>
      </c>
      <c r="AT678" s="324" t="s">
        <v>148</v>
      </c>
      <c r="AU678" s="324" t="s">
        <v>83</v>
      </c>
      <c r="AY678" s="214" t="s">
        <v>146</v>
      </c>
      <c r="BE678" s="325">
        <f>IF(N678="základní",J678,0)</f>
        <v>0</v>
      </c>
      <c r="BF678" s="325">
        <f>IF(N678="snížená",J678,0)</f>
        <v>0</v>
      </c>
      <c r="BG678" s="325">
        <f>IF(N678="zákl. přenesená",J678,0)</f>
        <v>0</v>
      </c>
      <c r="BH678" s="325">
        <f>IF(N678="sníž. přenesená",J678,0)</f>
        <v>0</v>
      </c>
      <c r="BI678" s="325">
        <f>IF(N678="nulová",J678,0)</f>
        <v>0</v>
      </c>
      <c r="BJ678" s="214" t="s">
        <v>81</v>
      </c>
      <c r="BK678" s="325">
        <f>ROUND(I678*H678,2)</f>
        <v>0</v>
      </c>
      <c r="BL678" s="214" t="s">
        <v>153</v>
      </c>
      <c r="BM678" s="324" t="s">
        <v>563</v>
      </c>
    </row>
    <row r="679" spans="2:51" s="326" customFormat="1" ht="12">
      <c r="B679" s="327"/>
      <c r="D679" s="328" t="s">
        <v>155</v>
      </c>
      <c r="E679" s="329" t="s">
        <v>1</v>
      </c>
      <c r="F679" s="345" t="s">
        <v>164</v>
      </c>
      <c r="H679" s="329" t="s">
        <v>1</v>
      </c>
      <c r="I679" s="497"/>
      <c r="L679" s="331"/>
      <c r="M679" s="332"/>
      <c r="N679" s="333"/>
      <c r="O679" s="333"/>
      <c r="P679" s="333"/>
      <c r="Q679" s="333"/>
      <c r="R679" s="333"/>
      <c r="S679" s="333"/>
      <c r="T679" s="334"/>
      <c r="AT679" s="329" t="s">
        <v>155</v>
      </c>
      <c r="AU679" s="329" t="s">
        <v>83</v>
      </c>
      <c r="AV679" s="326" t="s">
        <v>81</v>
      </c>
      <c r="AW679" s="326" t="s">
        <v>34</v>
      </c>
      <c r="AX679" s="326" t="s">
        <v>76</v>
      </c>
      <c r="AY679" s="329" t="s">
        <v>146</v>
      </c>
    </row>
    <row r="680" spans="2:51" s="326" customFormat="1" ht="12">
      <c r="B680" s="327"/>
      <c r="D680" s="328" t="s">
        <v>155</v>
      </c>
      <c r="E680" s="329" t="s">
        <v>1</v>
      </c>
      <c r="F680" s="345" t="s">
        <v>549</v>
      </c>
      <c r="H680" s="329" t="s">
        <v>1</v>
      </c>
      <c r="I680" s="497"/>
      <c r="L680" s="331"/>
      <c r="M680" s="332"/>
      <c r="N680" s="333"/>
      <c r="O680" s="333"/>
      <c r="P680" s="333"/>
      <c r="Q680" s="333"/>
      <c r="R680" s="333"/>
      <c r="S680" s="333"/>
      <c r="T680" s="334"/>
      <c r="AT680" s="329" t="s">
        <v>155</v>
      </c>
      <c r="AU680" s="329" t="s">
        <v>83</v>
      </c>
      <c r="AV680" s="326" t="s">
        <v>81</v>
      </c>
      <c r="AW680" s="326" t="s">
        <v>34</v>
      </c>
      <c r="AX680" s="326" t="s">
        <v>76</v>
      </c>
      <c r="AY680" s="329" t="s">
        <v>146</v>
      </c>
    </row>
    <row r="681" spans="2:51" s="335" customFormat="1" ht="12">
      <c r="B681" s="336"/>
      <c r="D681" s="328" t="s">
        <v>155</v>
      </c>
      <c r="E681" s="337" t="s">
        <v>1</v>
      </c>
      <c r="F681" s="346" t="s">
        <v>564</v>
      </c>
      <c r="H681" s="339">
        <f>6.575*(14.4+13.36+27.86)</f>
        <v>365.7015</v>
      </c>
      <c r="I681" s="498"/>
      <c r="L681" s="340"/>
      <c r="M681" s="341"/>
      <c r="N681" s="342"/>
      <c r="O681" s="342"/>
      <c r="P681" s="342"/>
      <c r="Q681" s="342"/>
      <c r="R681" s="342"/>
      <c r="S681" s="342"/>
      <c r="T681" s="343"/>
      <c r="AT681" s="337" t="s">
        <v>155</v>
      </c>
      <c r="AU681" s="337" t="s">
        <v>83</v>
      </c>
      <c r="AV681" s="335" t="s">
        <v>83</v>
      </c>
      <c r="AW681" s="335" t="s">
        <v>34</v>
      </c>
      <c r="AX681" s="335" t="s">
        <v>76</v>
      </c>
      <c r="AY681" s="337" t="s">
        <v>146</v>
      </c>
    </row>
    <row r="682" spans="2:51" s="326" customFormat="1" ht="12">
      <c r="B682" s="327"/>
      <c r="D682" s="328" t="s">
        <v>155</v>
      </c>
      <c r="E682" s="329" t="s">
        <v>1</v>
      </c>
      <c r="F682" s="345" t="s">
        <v>548</v>
      </c>
      <c r="H682" s="329" t="s">
        <v>1</v>
      </c>
      <c r="I682" s="497"/>
      <c r="L682" s="331"/>
      <c r="M682" s="332"/>
      <c r="N682" s="333"/>
      <c r="O682" s="333"/>
      <c r="P682" s="333"/>
      <c r="Q682" s="333"/>
      <c r="R682" s="333"/>
      <c r="S682" s="333"/>
      <c r="T682" s="334"/>
      <c r="AT682" s="329" t="s">
        <v>155</v>
      </c>
      <c r="AU682" s="329" t="s">
        <v>83</v>
      </c>
      <c r="AV682" s="326" t="s">
        <v>81</v>
      </c>
      <c r="AW682" s="326" t="s">
        <v>34</v>
      </c>
      <c r="AX682" s="326" t="s">
        <v>76</v>
      </c>
      <c r="AY682" s="329" t="s">
        <v>146</v>
      </c>
    </row>
    <row r="683" spans="2:51" s="335" customFormat="1" ht="12">
      <c r="B683" s="336"/>
      <c r="D683" s="328" t="s">
        <v>155</v>
      </c>
      <c r="E683" s="337" t="s">
        <v>1</v>
      </c>
      <c r="F683" s="346">
        <f>-(2.96*3.3+2.96*3.3+3.218*3.6+1.5*1.5*5)</f>
        <v>-42.370799999999996</v>
      </c>
      <c r="H683" s="339">
        <f>-(2.96*3.3+2.96*3.3+3.218*3.6+1.5*1.5*5)</f>
        <v>-42.370799999999996</v>
      </c>
      <c r="I683" s="498"/>
      <c r="L683" s="340"/>
      <c r="M683" s="341"/>
      <c r="N683" s="342"/>
      <c r="O683" s="342"/>
      <c r="P683" s="342"/>
      <c r="Q683" s="342"/>
      <c r="R683" s="342"/>
      <c r="S683" s="342"/>
      <c r="T683" s="343"/>
      <c r="AT683" s="337" t="s">
        <v>155</v>
      </c>
      <c r="AU683" s="337" t="s">
        <v>83</v>
      </c>
      <c r="AV683" s="335" t="s">
        <v>83</v>
      </c>
      <c r="AW683" s="335" t="s">
        <v>34</v>
      </c>
      <c r="AX683" s="335" t="s">
        <v>76</v>
      </c>
      <c r="AY683" s="337" t="s">
        <v>146</v>
      </c>
    </row>
    <row r="684" spans="2:51" s="347" customFormat="1" ht="12">
      <c r="B684" s="348"/>
      <c r="D684" s="328" t="s">
        <v>155</v>
      </c>
      <c r="E684" s="349" t="s">
        <v>1</v>
      </c>
      <c r="F684" s="350" t="s">
        <v>157</v>
      </c>
      <c r="H684" s="351">
        <f>SUM(H681:H683)</f>
        <v>323.33070000000004</v>
      </c>
      <c r="I684" s="499"/>
      <c r="L684" s="352"/>
      <c r="M684" s="353"/>
      <c r="N684" s="354"/>
      <c r="O684" s="354"/>
      <c r="P684" s="354"/>
      <c r="Q684" s="354"/>
      <c r="R684" s="354"/>
      <c r="S684" s="354"/>
      <c r="T684" s="355"/>
      <c r="AT684" s="349" t="s">
        <v>155</v>
      </c>
      <c r="AU684" s="349" t="s">
        <v>83</v>
      </c>
      <c r="AV684" s="347" t="s">
        <v>153</v>
      </c>
      <c r="AW684" s="347" t="s">
        <v>34</v>
      </c>
      <c r="AX684" s="347" t="s">
        <v>81</v>
      </c>
      <c r="AY684" s="349" t="s">
        <v>146</v>
      </c>
    </row>
    <row r="685" spans="1:65" s="225" customFormat="1" ht="86.25" customHeight="1">
      <c r="A685" s="222"/>
      <c r="B685" s="223"/>
      <c r="C685" s="358">
        <v>86</v>
      </c>
      <c r="D685" s="358" t="s">
        <v>208</v>
      </c>
      <c r="E685" s="359" t="s">
        <v>540</v>
      </c>
      <c r="F685" s="360" t="s">
        <v>3299</v>
      </c>
      <c r="G685" s="361" t="s">
        <v>151</v>
      </c>
      <c r="H685" s="362">
        <f>H678</f>
        <v>323.33070000000004</v>
      </c>
      <c r="I685" s="80"/>
      <c r="J685" s="363">
        <f>ROUND(I685*H685,2)</f>
        <v>0</v>
      </c>
      <c r="K685" s="364"/>
      <c r="L685" s="365"/>
      <c r="M685" s="366" t="s">
        <v>1</v>
      </c>
      <c r="N685" s="367" t="s">
        <v>42</v>
      </c>
      <c r="O685" s="322">
        <v>0</v>
      </c>
      <c r="P685" s="322">
        <f>O685*H685</f>
        <v>0</v>
      </c>
      <c r="Q685" s="322">
        <v>0.012</v>
      </c>
      <c r="R685" s="322">
        <f>Q685*H685</f>
        <v>3.8799684000000005</v>
      </c>
      <c r="S685" s="322">
        <v>0</v>
      </c>
      <c r="T685" s="323">
        <f>S685*H685</f>
        <v>0</v>
      </c>
      <c r="U685" s="222"/>
      <c r="V685" s="222"/>
      <c r="W685" s="222"/>
      <c r="X685" s="222"/>
      <c r="Y685" s="222"/>
      <c r="Z685" s="222"/>
      <c r="AA685" s="222"/>
      <c r="AB685" s="222"/>
      <c r="AC685" s="222"/>
      <c r="AD685" s="222"/>
      <c r="AE685" s="222"/>
      <c r="AR685" s="324" t="s">
        <v>189</v>
      </c>
      <c r="AT685" s="324" t="s">
        <v>208</v>
      </c>
      <c r="AU685" s="324" t="s">
        <v>83</v>
      </c>
      <c r="AY685" s="214" t="s">
        <v>146</v>
      </c>
      <c r="BE685" s="325">
        <f>IF(N685="základní",J685,0)</f>
        <v>0</v>
      </c>
      <c r="BF685" s="325">
        <f>IF(N685="snížená",J685,0)</f>
        <v>0</v>
      </c>
      <c r="BG685" s="325">
        <f>IF(N685="zákl. přenesená",J685,0)</f>
        <v>0</v>
      </c>
      <c r="BH685" s="325">
        <f>IF(N685="sníž. přenesená",J685,0)</f>
        <v>0</v>
      </c>
      <c r="BI685" s="325">
        <f>IF(N685="nulová",J685,0)</f>
        <v>0</v>
      </c>
      <c r="BJ685" s="214" t="s">
        <v>81</v>
      </c>
      <c r="BK685" s="325">
        <f>ROUND(I685*H685,2)</f>
        <v>0</v>
      </c>
      <c r="BL685" s="214" t="s">
        <v>153</v>
      </c>
      <c r="BM685" s="324" t="s">
        <v>566</v>
      </c>
    </row>
    <row r="686" spans="2:51" s="335" customFormat="1" ht="12">
      <c r="B686" s="336"/>
      <c r="D686" s="328"/>
      <c r="F686" s="346"/>
      <c r="H686" s="339"/>
      <c r="I686" s="498"/>
      <c r="L686" s="340"/>
      <c r="M686" s="341"/>
      <c r="N686" s="342"/>
      <c r="O686" s="342"/>
      <c r="P686" s="342"/>
      <c r="Q686" s="342"/>
      <c r="R686" s="342"/>
      <c r="S686" s="342"/>
      <c r="T686" s="343"/>
      <c r="AT686" s="337"/>
      <c r="AU686" s="337"/>
      <c r="AY686" s="337"/>
    </row>
    <row r="687" spans="1:65" s="225" customFormat="1" ht="44.25" customHeight="1">
      <c r="A687" s="222"/>
      <c r="B687" s="223"/>
      <c r="C687" s="314">
        <v>87</v>
      </c>
      <c r="D687" s="314" t="s">
        <v>148</v>
      </c>
      <c r="E687" s="315" t="s">
        <v>2394</v>
      </c>
      <c r="F687" s="344" t="s">
        <v>3301</v>
      </c>
      <c r="G687" s="317" t="s">
        <v>151</v>
      </c>
      <c r="H687" s="318">
        <f>H699</f>
        <v>480.49545000000006</v>
      </c>
      <c r="I687" s="79"/>
      <c r="J687" s="319">
        <f>ROUND(I687*H687,2)</f>
        <v>0</v>
      </c>
      <c r="K687" s="316"/>
      <c r="L687" s="229"/>
      <c r="M687" s="320" t="s">
        <v>1</v>
      </c>
      <c r="N687" s="321" t="s">
        <v>42</v>
      </c>
      <c r="O687" s="322">
        <v>3.733</v>
      </c>
      <c r="P687" s="322">
        <f>O687*H687</f>
        <v>1793.6895148500003</v>
      </c>
      <c r="Q687" s="322">
        <v>0.0134429956</v>
      </c>
      <c r="R687" s="322">
        <f>Q687*H687</f>
        <v>6.459298220170021</v>
      </c>
      <c r="S687" s="322">
        <v>0</v>
      </c>
      <c r="T687" s="323">
        <f>S687*H687</f>
        <v>0</v>
      </c>
      <c r="U687" s="222"/>
      <c r="V687" s="222"/>
      <c r="W687" s="222"/>
      <c r="X687" s="222"/>
      <c r="Y687" s="222"/>
      <c r="Z687" s="222"/>
      <c r="AA687" s="222"/>
      <c r="AB687" s="222"/>
      <c r="AC687" s="222"/>
      <c r="AD687" s="222"/>
      <c r="AE687" s="222"/>
      <c r="AR687" s="324" t="s">
        <v>153</v>
      </c>
      <c r="AT687" s="324" t="s">
        <v>148</v>
      </c>
      <c r="AU687" s="324" t="s">
        <v>83</v>
      </c>
      <c r="AY687" s="214" t="s">
        <v>146</v>
      </c>
      <c r="BE687" s="325">
        <f>IF(N687="základní",J687,0)</f>
        <v>0</v>
      </c>
      <c r="BF687" s="325">
        <f>IF(N687="snížená",J687,0)</f>
        <v>0</v>
      </c>
      <c r="BG687" s="325">
        <f>IF(N687="zákl. přenesená",J687,0)</f>
        <v>0</v>
      </c>
      <c r="BH687" s="325">
        <f>IF(N687="sníž. přenesená",J687,0)</f>
        <v>0</v>
      </c>
      <c r="BI687" s="325">
        <f>IF(N687="nulová",J687,0)</f>
        <v>0</v>
      </c>
      <c r="BJ687" s="214" t="s">
        <v>81</v>
      </c>
      <c r="BK687" s="325">
        <f>ROUND(I687*H687,2)</f>
        <v>0</v>
      </c>
      <c r="BL687" s="214" t="s">
        <v>153</v>
      </c>
      <c r="BM687" s="324" t="s">
        <v>2395</v>
      </c>
    </row>
    <row r="688" spans="2:51" s="326" customFormat="1" ht="12">
      <c r="B688" s="327"/>
      <c r="D688" s="328" t="s">
        <v>155</v>
      </c>
      <c r="E688" s="329" t="s">
        <v>1</v>
      </c>
      <c r="F688" s="345" t="s">
        <v>167</v>
      </c>
      <c r="H688" s="329" t="s">
        <v>1</v>
      </c>
      <c r="I688" s="497"/>
      <c r="L688" s="331"/>
      <c r="M688" s="332"/>
      <c r="N688" s="333"/>
      <c r="O688" s="333"/>
      <c r="P688" s="333"/>
      <c r="Q688" s="333"/>
      <c r="R688" s="333"/>
      <c r="S688" s="333"/>
      <c r="T688" s="334"/>
      <c r="AT688" s="329" t="s">
        <v>155</v>
      </c>
      <c r="AU688" s="329" t="s">
        <v>83</v>
      </c>
      <c r="AV688" s="326" t="s">
        <v>81</v>
      </c>
      <c r="AW688" s="326" t="s">
        <v>34</v>
      </c>
      <c r="AX688" s="326" t="s">
        <v>76</v>
      </c>
      <c r="AY688" s="329" t="s">
        <v>146</v>
      </c>
    </row>
    <row r="689" spans="2:51" s="326" customFormat="1" ht="12">
      <c r="B689" s="327"/>
      <c r="D689" s="328" t="s">
        <v>155</v>
      </c>
      <c r="E689" s="329" t="s">
        <v>1</v>
      </c>
      <c r="F689" s="345" t="s">
        <v>546</v>
      </c>
      <c r="H689" s="329" t="s">
        <v>1</v>
      </c>
      <c r="I689" s="497"/>
      <c r="L689" s="331"/>
      <c r="M689" s="332"/>
      <c r="N689" s="333"/>
      <c r="O689" s="333"/>
      <c r="P689" s="333"/>
      <c r="Q689" s="333"/>
      <c r="R689" s="333"/>
      <c r="S689" s="333"/>
      <c r="T689" s="334"/>
      <c r="AT689" s="329" t="s">
        <v>155</v>
      </c>
      <c r="AU689" s="329" t="s">
        <v>83</v>
      </c>
      <c r="AV689" s="326" t="s">
        <v>81</v>
      </c>
      <c r="AW689" s="326" t="s">
        <v>34</v>
      </c>
      <c r="AX689" s="326" t="s">
        <v>76</v>
      </c>
      <c r="AY689" s="329" t="s">
        <v>146</v>
      </c>
    </row>
    <row r="690" spans="2:51" s="335" customFormat="1" ht="12">
      <c r="B690" s="336"/>
      <c r="D690" s="328" t="s">
        <v>155</v>
      </c>
      <c r="E690" s="337" t="s">
        <v>1</v>
      </c>
      <c r="F690" s="346" t="s">
        <v>2772</v>
      </c>
      <c r="H690" s="339">
        <f>7.66*(23.13*2+13.56)+6.62*13.18</f>
        <v>545.4728</v>
      </c>
      <c r="I690" s="498"/>
      <c r="L690" s="340"/>
      <c r="M690" s="341"/>
      <c r="N690" s="342"/>
      <c r="O690" s="342"/>
      <c r="P690" s="342"/>
      <c r="Q690" s="342"/>
      <c r="R690" s="342"/>
      <c r="S690" s="342"/>
      <c r="T690" s="343"/>
      <c r="AT690" s="337" t="s">
        <v>155</v>
      </c>
      <c r="AU690" s="337" t="s">
        <v>83</v>
      </c>
      <c r="AV690" s="335" t="s">
        <v>83</v>
      </c>
      <c r="AW690" s="335" t="s">
        <v>34</v>
      </c>
      <c r="AX690" s="335" t="s">
        <v>76</v>
      </c>
      <c r="AY690" s="337" t="s">
        <v>146</v>
      </c>
    </row>
    <row r="691" spans="2:51" s="326" customFormat="1" ht="12">
      <c r="B691" s="327"/>
      <c r="D691" s="328" t="s">
        <v>155</v>
      </c>
      <c r="E691" s="329" t="s">
        <v>1</v>
      </c>
      <c r="F691" s="345" t="s">
        <v>297</v>
      </c>
      <c r="H691" s="329" t="s">
        <v>1</v>
      </c>
      <c r="I691" s="497"/>
      <c r="L691" s="331"/>
      <c r="M691" s="332"/>
      <c r="N691" s="333"/>
      <c r="O691" s="333"/>
      <c r="P691" s="333"/>
      <c r="Q691" s="333"/>
      <c r="R691" s="333"/>
      <c r="S691" s="333"/>
      <c r="T691" s="334"/>
      <c r="AT691" s="329" t="s">
        <v>155</v>
      </c>
      <c r="AU691" s="329" t="s">
        <v>83</v>
      </c>
      <c r="AV691" s="326" t="s">
        <v>81</v>
      </c>
      <c r="AW691" s="326" t="s">
        <v>34</v>
      </c>
      <c r="AX691" s="326" t="s">
        <v>76</v>
      </c>
      <c r="AY691" s="329" t="s">
        <v>146</v>
      </c>
    </row>
    <row r="692" spans="2:51" s="335" customFormat="1" ht="12">
      <c r="B692" s="336"/>
      <c r="D692" s="328" t="s">
        <v>155</v>
      </c>
      <c r="E692" s="337" t="s">
        <v>1</v>
      </c>
      <c r="F692" s="346" t="s">
        <v>2773</v>
      </c>
      <c r="H692" s="339">
        <f>15.07*0.425+1*15.07/2</f>
        <v>13.93975</v>
      </c>
      <c r="I692" s="498"/>
      <c r="L692" s="340"/>
      <c r="M692" s="341"/>
      <c r="N692" s="342"/>
      <c r="O692" s="342"/>
      <c r="P692" s="342"/>
      <c r="Q692" s="342"/>
      <c r="R692" s="342"/>
      <c r="S692" s="342"/>
      <c r="T692" s="343"/>
      <c r="AT692" s="337" t="s">
        <v>155</v>
      </c>
      <c r="AU692" s="337" t="s">
        <v>83</v>
      </c>
      <c r="AV692" s="335" t="s">
        <v>83</v>
      </c>
      <c r="AW692" s="335" t="s">
        <v>34</v>
      </c>
      <c r="AX692" s="335" t="s">
        <v>76</v>
      </c>
      <c r="AY692" s="337" t="s">
        <v>146</v>
      </c>
    </row>
    <row r="693" spans="2:51" s="335" customFormat="1" ht="12">
      <c r="B693" s="336"/>
      <c r="D693" s="328" t="s">
        <v>155</v>
      </c>
      <c r="E693" s="337" t="s">
        <v>1</v>
      </c>
      <c r="F693" s="346" t="s">
        <v>2774</v>
      </c>
      <c r="H693" s="339">
        <f>15.07*1.07</f>
        <v>16.1249</v>
      </c>
      <c r="I693" s="498"/>
      <c r="L693" s="340"/>
      <c r="M693" s="341"/>
      <c r="N693" s="342"/>
      <c r="O693" s="342"/>
      <c r="P693" s="342"/>
      <c r="Q693" s="342"/>
      <c r="R693" s="342"/>
      <c r="S693" s="342"/>
      <c r="T693" s="343"/>
      <c r="AT693" s="337" t="s">
        <v>155</v>
      </c>
      <c r="AU693" s="337" t="s">
        <v>83</v>
      </c>
      <c r="AV693" s="335" t="s">
        <v>83</v>
      </c>
      <c r="AW693" s="335" t="s">
        <v>34</v>
      </c>
      <c r="AX693" s="335" t="s">
        <v>76</v>
      </c>
      <c r="AY693" s="337" t="s">
        <v>146</v>
      </c>
    </row>
    <row r="694" spans="2:51" s="326" customFormat="1" ht="12">
      <c r="B694" s="327"/>
      <c r="D694" s="328" t="s">
        <v>155</v>
      </c>
      <c r="E694" s="329" t="s">
        <v>1</v>
      </c>
      <c r="F694" s="345" t="s">
        <v>548</v>
      </c>
      <c r="H694" s="329" t="s">
        <v>1</v>
      </c>
      <c r="I694" s="497"/>
      <c r="L694" s="331"/>
      <c r="M694" s="332"/>
      <c r="N694" s="333"/>
      <c r="O694" s="333"/>
      <c r="P694" s="333"/>
      <c r="Q694" s="333"/>
      <c r="R694" s="333"/>
      <c r="S694" s="333"/>
      <c r="T694" s="334"/>
      <c r="AT694" s="329" t="s">
        <v>155</v>
      </c>
      <c r="AU694" s="329" t="s">
        <v>83</v>
      </c>
      <c r="AV694" s="326" t="s">
        <v>81</v>
      </c>
      <c r="AW694" s="326" t="s">
        <v>34</v>
      </c>
      <c r="AX694" s="326" t="s">
        <v>76</v>
      </c>
      <c r="AY694" s="329" t="s">
        <v>146</v>
      </c>
    </row>
    <row r="695" spans="2:51" s="326" customFormat="1" ht="12">
      <c r="B695" s="327"/>
      <c r="D695" s="328" t="s">
        <v>155</v>
      </c>
      <c r="E695" s="329" t="s">
        <v>1</v>
      </c>
      <c r="F695" s="345" t="s">
        <v>304</v>
      </c>
      <c r="H695" s="329" t="s">
        <v>1</v>
      </c>
      <c r="I695" s="497"/>
      <c r="L695" s="331"/>
      <c r="M695" s="332"/>
      <c r="N695" s="333"/>
      <c r="O695" s="333"/>
      <c r="P695" s="333"/>
      <c r="Q695" s="333"/>
      <c r="R695" s="333"/>
      <c r="S695" s="333"/>
      <c r="T695" s="334"/>
      <c r="AT695" s="329" t="s">
        <v>155</v>
      </c>
      <c r="AU695" s="329" t="s">
        <v>83</v>
      </c>
      <c r="AV695" s="326" t="s">
        <v>81</v>
      </c>
      <c r="AW695" s="326" t="s">
        <v>34</v>
      </c>
      <c r="AX695" s="326" t="s">
        <v>76</v>
      </c>
      <c r="AY695" s="329" t="s">
        <v>146</v>
      </c>
    </row>
    <row r="696" spans="2:51" s="335" customFormat="1" ht="36" customHeight="1">
      <c r="B696" s="336"/>
      <c r="D696" s="328" t="s">
        <v>155</v>
      </c>
      <c r="E696" s="337" t="s">
        <v>1</v>
      </c>
      <c r="F696" s="398" t="s">
        <v>2777</v>
      </c>
      <c r="H696" s="339">
        <f>-(1.75*2.4*2+0.9*1.5+1.45*2.4*2+2.8*(6.26-2.63)+1.8*2.4+2.1*1.5*6+0.6*0.75*3+0.6*0.63*3)</f>
        <v>-52.57800000000001</v>
      </c>
      <c r="I696" s="498"/>
      <c r="L696" s="340"/>
      <c r="M696" s="341"/>
      <c r="N696" s="342"/>
      <c r="O696" s="342"/>
      <c r="P696" s="342"/>
      <c r="Q696" s="342"/>
      <c r="R696" s="342"/>
      <c r="S696" s="342"/>
      <c r="T696" s="343"/>
      <c r="AT696" s="337" t="s">
        <v>155</v>
      </c>
      <c r="AU696" s="337" t="s">
        <v>83</v>
      </c>
      <c r="AV696" s="335" t="s">
        <v>83</v>
      </c>
      <c r="AW696" s="335" t="s">
        <v>34</v>
      </c>
      <c r="AX696" s="335" t="s">
        <v>76</v>
      </c>
      <c r="AY696" s="337" t="s">
        <v>146</v>
      </c>
    </row>
    <row r="697" spans="2:51" s="326" customFormat="1" ht="12">
      <c r="B697" s="327"/>
      <c r="D697" s="328" t="s">
        <v>155</v>
      </c>
      <c r="E697" s="329" t="s">
        <v>1</v>
      </c>
      <c r="F697" s="345" t="s">
        <v>309</v>
      </c>
      <c r="H697" s="329" t="s">
        <v>1</v>
      </c>
      <c r="I697" s="497"/>
      <c r="L697" s="331"/>
      <c r="M697" s="332"/>
      <c r="N697" s="333"/>
      <c r="O697" s="333"/>
      <c r="P697" s="333"/>
      <c r="Q697" s="333"/>
      <c r="R697" s="333"/>
      <c r="S697" s="333"/>
      <c r="T697" s="334"/>
      <c r="AT697" s="329" t="s">
        <v>155</v>
      </c>
      <c r="AU697" s="329" t="s">
        <v>83</v>
      </c>
      <c r="AV697" s="326" t="s">
        <v>81</v>
      </c>
      <c r="AW697" s="326" t="s">
        <v>34</v>
      </c>
      <c r="AX697" s="326" t="s">
        <v>76</v>
      </c>
      <c r="AY697" s="329" t="s">
        <v>146</v>
      </c>
    </row>
    <row r="698" spans="2:51" s="335" customFormat="1" ht="12">
      <c r="B698" s="336"/>
      <c r="D698" s="328" t="s">
        <v>155</v>
      </c>
      <c r="E698" s="337" t="s">
        <v>1</v>
      </c>
      <c r="F698" s="398" t="s">
        <v>2775</v>
      </c>
      <c r="H698" s="339">
        <f>-(2.1*1.5*10+0.6*0.75*3+1.5*1.5+2.8*2.63)</f>
        <v>-42.464</v>
      </c>
      <c r="I698" s="498"/>
      <c r="L698" s="340"/>
      <c r="M698" s="341"/>
      <c r="N698" s="342"/>
      <c r="O698" s="342"/>
      <c r="P698" s="342"/>
      <c r="Q698" s="342"/>
      <c r="R698" s="342"/>
      <c r="S698" s="342"/>
      <c r="T698" s="343"/>
      <c r="AT698" s="337" t="s">
        <v>155</v>
      </c>
      <c r="AU698" s="337" t="s">
        <v>83</v>
      </c>
      <c r="AV698" s="335" t="s">
        <v>83</v>
      </c>
      <c r="AW698" s="335" t="s">
        <v>34</v>
      </c>
      <c r="AX698" s="335" t="s">
        <v>76</v>
      </c>
      <c r="AY698" s="337" t="s">
        <v>146</v>
      </c>
    </row>
    <row r="699" spans="2:51" s="347" customFormat="1" ht="12">
      <c r="B699" s="348"/>
      <c r="D699" s="328" t="s">
        <v>155</v>
      </c>
      <c r="E699" s="349" t="s">
        <v>1</v>
      </c>
      <c r="F699" s="350" t="s">
        <v>157</v>
      </c>
      <c r="H699" s="351">
        <f>SUM(H690:H698)</f>
        <v>480.49545000000006</v>
      </c>
      <c r="I699" s="499"/>
      <c r="L699" s="352"/>
      <c r="M699" s="353"/>
      <c r="N699" s="354"/>
      <c r="O699" s="354"/>
      <c r="P699" s="354"/>
      <c r="Q699" s="354"/>
      <c r="R699" s="354"/>
      <c r="S699" s="354"/>
      <c r="T699" s="355"/>
      <c r="AT699" s="349" t="s">
        <v>155</v>
      </c>
      <c r="AU699" s="349" t="s">
        <v>83</v>
      </c>
      <c r="AV699" s="347" t="s">
        <v>153</v>
      </c>
      <c r="AW699" s="347" t="s">
        <v>34</v>
      </c>
      <c r="AX699" s="347" t="s">
        <v>81</v>
      </c>
      <c r="AY699" s="349" t="s">
        <v>146</v>
      </c>
    </row>
    <row r="700" spans="1:65" s="225" customFormat="1" ht="96" customHeight="1">
      <c r="A700" s="222"/>
      <c r="B700" s="223"/>
      <c r="C700" s="358">
        <v>88</v>
      </c>
      <c r="D700" s="358" t="s">
        <v>208</v>
      </c>
      <c r="E700" s="359" t="s">
        <v>540</v>
      </c>
      <c r="F700" s="360" t="s">
        <v>3299</v>
      </c>
      <c r="G700" s="361" t="s">
        <v>151</v>
      </c>
      <c r="H700" s="362">
        <f>H687</f>
        <v>480.49545000000006</v>
      </c>
      <c r="I700" s="80"/>
      <c r="J700" s="363">
        <f>ROUND(I700*H700,2)</f>
        <v>0</v>
      </c>
      <c r="K700" s="364"/>
      <c r="L700" s="365"/>
      <c r="M700" s="366" t="s">
        <v>1</v>
      </c>
      <c r="N700" s="367" t="s">
        <v>42</v>
      </c>
      <c r="O700" s="322">
        <v>0</v>
      </c>
      <c r="P700" s="322">
        <f>O700*H700</f>
        <v>0</v>
      </c>
      <c r="Q700" s="322">
        <v>0.012</v>
      </c>
      <c r="R700" s="322">
        <f>Q700*H700</f>
        <v>5.7659454000000006</v>
      </c>
      <c r="S700" s="322">
        <v>0</v>
      </c>
      <c r="T700" s="323">
        <f>S700*H700</f>
        <v>0</v>
      </c>
      <c r="U700" s="222"/>
      <c r="V700" s="222"/>
      <c r="W700" s="222"/>
      <c r="X700" s="222"/>
      <c r="Y700" s="222"/>
      <c r="Z700" s="222"/>
      <c r="AA700" s="222"/>
      <c r="AB700" s="222"/>
      <c r="AC700" s="222"/>
      <c r="AD700" s="222"/>
      <c r="AE700" s="222"/>
      <c r="AR700" s="324" t="s">
        <v>189</v>
      </c>
      <c r="AT700" s="324" t="s">
        <v>208</v>
      </c>
      <c r="AU700" s="324" t="s">
        <v>83</v>
      </c>
      <c r="AY700" s="214" t="s">
        <v>146</v>
      </c>
      <c r="BE700" s="325">
        <f>IF(N700="základní",J700,0)</f>
        <v>0</v>
      </c>
      <c r="BF700" s="325">
        <f>IF(N700="snížená",J700,0)</f>
        <v>0</v>
      </c>
      <c r="BG700" s="325">
        <f>IF(N700="zákl. přenesená",J700,0)</f>
        <v>0</v>
      </c>
      <c r="BH700" s="325">
        <f>IF(N700="sníž. přenesená",J700,0)</f>
        <v>0</v>
      </c>
      <c r="BI700" s="325">
        <f>IF(N700="nulová",J700,0)</f>
        <v>0</v>
      </c>
      <c r="BJ700" s="214" t="s">
        <v>81</v>
      </c>
      <c r="BK700" s="325">
        <f>ROUND(I700*H700,2)</f>
        <v>0</v>
      </c>
      <c r="BL700" s="214" t="s">
        <v>153</v>
      </c>
      <c r="BM700" s="324" t="s">
        <v>2396</v>
      </c>
    </row>
    <row r="701" spans="1:65" s="225" customFormat="1" ht="44.25" customHeight="1">
      <c r="A701" s="766"/>
      <c r="B701" s="223"/>
      <c r="C701" s="314" t="s">
        <v>3864</v>
      </c>
      <c r="D701" s="314" t="s">
        <v>148</v>
      </c>
      <c r="E701" s="315"/>
      <c r="F701" s="344" t="s">
        <v>3865</v>
      </c>
      <c r="G701" s="317" t="s">
        <v>1361</v>
      </c>
      <c r="H701" s="318">
        <v>1</v>
      </c>
      <c r="I701" s="79"/>
      <c r="J701" s="319">
        <f>ROUND(I701*H701,2)</f>
        <v>0</v>
      </c>
      <c r="K701" s="316"/>
      <c r="L701" s="229"/>
      <c r="M701" s="320"/>
      <c r="N701" s="321"/>
      <c r="O701" s="322"/>
      <c r="P701" s="322"/>
      <c r="Q701" s="322"/>
      <c r="R701" s="322"/>
      <c r="S701" s="322"/>
      <c r="T701" s="323"/>
      <c r="U701" s="766"/>
      <c r="V701" s="766"/>
      <c r="W701" s="766"/>
      <c r="X701" s="766"/>
      <c r="Y701" s="766"/>
      <c r="Z701" s="766"/>
      <c r="AA701" s="766"/>
      <c r="AB701" s="766"/>
      <c r="AC701" s="766"/>
      <c r="AD701" s="766"/>
      <c r="AE701" s="766"/>
      <c r="AR701" s="324" t="s">
        <v>153</v>
      </c>
      <c r="AT701" s="324" t="s">
        <v>148</v>
      </c>
      <c r="AU701" s="324" t="s">
        <v>83</v>
      </c>
      <c r="AY701" s="214" t="s">
        <v>146</v>
      </c>
      <c r="BE701" s="325">
        <f>IF(N701="základní",J701,0)</f>
        <v>0</v>
      </c>
      <c r="BF701" s="325">
        <f>IF(N701="snížená",J701,0)</f>
        <v>0</v>
      </c>
      <c r="BG701" s="325">
        <f>IF(N701="zákl. přenesená",J701,0)</f>
        <v>0</v>
      </c>
      <c r="BH701" s="325">
        <f>IF(N701="sníž. přenesená",J701,0)</f>
        <v>0</v>
      </c>
      <c r="BI701" s="325">
        <f>IF(N701="nulová",J701,0)</f>
        <v>0</v>
      </c>
      <c r="BJ701" s="214" t="s">
        <v>81</v>
      </c>
      <c r="BK701" s="325">
        <f>ROUND(I701*H701,2)</f>
        <v>0</v>
      </c>
      <c r="BL701" s="214" t="s">
        <v>153</v>
      </c>
      <c r="BM701" s="324" t="s">
        <v>2395</v>
      </c>
    </row>
    <row r="702" spans="1:65" s="225" customFormat="1" ht="37.9" customHeight="1">
      <c r="A702" s="222"/>
      <c r="B702" s="223"/>
      <c r="C702" s="314">
        <v>89</v>
      </c>
      <c r="D702" s="314" t="s">
        <v>148</v>
      </c>
      <c r="E702" s="315" t="s">
        <v>568</v>
      </c>
      <c r="F702" s="344" t="s">
        <v>3302</v>
      </c>
      <c r="G702" s="317" t="s">
        <v>158</v>
      </c>
      <c r="H702" s="318">
        <f>H711</f>
        <v>262.318</v>
      </c>
      <c r="I702" s="79"/>
      <c r="J702" s="319">
        <f>ROUND(I702*H702,2)</f>
        <v>0</v>
      </c>
      <c r="K702" s="316"/>
      <c r="L702" s="373"/>
      <c r="M702" s="320" t="s">
        <v>1</v>
      </c>
      <c r="N702" s="321" t="s">
        <v>42</v>
      </c>
      <c r="O702" s="322">
        <v>1.729</v>
      </c>
      <c r="P702" s="322">
        <f>O702*H702</f>
        <v>453.547822</v>
      </c>
      <c r="Q702" s="322">
        <v>0.0015335349</v>
      </c>
      <c r="R702" s="322">
        <f>Q702*H702</f>
        <v>0.40227380789819994</v>
      </c>
      <c r="S702" s="322">
        <v>0</v>
      </c>
      <c r="T702" s="323">
        <f>S702*H702</f>
        <v>0</v>
      </c>
      <c r="U702" s="222"/>
      <c r="V702" s="222"/>
      <c r="W702" s="222"/>
      <c r="X702" s="222"/>
      <c r="Y702" s="222"/>
      <c r="Z702" s="222"/>
      <c r="AA702" s="222"/>
      <c r="AB702" s="222"/>
      <c r="AC702" s="222"/>
      <c r="AD702" s="222"/>
      <c r="AE702" s="222"/>
      <c r="AR702" s="324" t="s">
        <v>153</v>
      </c>
      <c r="AT702" s="324" t="s">
        <v>148</v>
      </c>
      <c r="AU702" s="324" t="s">
        <v>83</v>
      </c>
      <c r="AY702" s="214" t="s">
        <v>146</v>
      </c>
      <c r="BE702" s="325">
        <f>IF(N702="základní",J702,0)</f>
        <v>0</v>
      </c>
      <c r="BF702" s="325">
        <f>IF(N702="snížená",J702,0)</f>
        <v>0</v>
      </c>
      <c r="BG702" s="325">
        <f>IF(N702="zákl. přenesená",J702,0)</f>
        <v>0</v>
      </c>
      <c r="BH702" s="325">
        <f>IF(N702="sníž. přenesená",J702,0)</f>
        <v>0</v>
      </c>
      <c r="BI702" s="325">
        <f>IF(N702="nulová",J702,0)</f>
        <v>0</v>
      </c>
      <c r="BJ702" s="214" t="s">
        <v>81</v>
      </c>
      <c r="BK702" s="325">
        <f>ROUND(I702*H702,2)</f>
        <v>0</v>
      </c>
      <c r="BL702" s="214" t="s">
        <v>153</v>
      </c>
      <c r="BM702" s="324" t="s">
        <v>569</v>
      </c>
    </row>
    <row r="703" spans="2:51" s="326" customFormat="1" ht="12">
      <c r="B703" s="327"/>
      <c r="D703" s="328" t="s">
        <v>155</v>
      </c>
      <c r="E703" s="329" t="s">
        <v>1</v>
      </c>
      <c r="F703" s="345" t="s">
        <v>164</v>
      </c>
      <c r="H703" s="329" t="s">
        <v>1</v>
      </c>
      <c r="I703" s="497"/>
      <c r="L703" s="331"/>
      <c r="M703" s="332"/>
      <c r="N703" s="333"/>
      <c r="O703" s="333"/>
      <c r="P703" s="333"/>
      <c r="Q703" s="333"/>
      <c r="R703" s="333"/>
      <c r="S703" s="333"/>
      <c r="T703" s="334"/>
      <c r="AT703" s="329" t="s">
        <v>155</v>
      </c>
      <c r="AU703" s="329" t="s">
        <v>83</v>
      </c>
      <c r="AV703" s="326" t="s">
        <v>81</v>
      </c>
      <c r="AW703" s="326" t="s">
        <v>34</v>
      </c>
      <c r="AX703" s="326" t="s">
        <v>76</v>
      </c>
      <c r="AY703" s="329" t="s">
        <v>146</v>
      </c>
    </row>
    <row r="704" spans="2:51" s="335" customFormat="1" ht="12">
      <c r="B704" s="336"/>
      <c r="D704" s="328" t="s">
        <v>155</v>
      </c>
      <c r="E704" s="337" t="s">
        <v>1</v>
      </c>
      <c r="F704" s="346" t="s">
        <v>3303</v>
      </c>
      <c r="H704" s="339">
        <f>(2.96+3.3*2)+(2.96+3.3*2)+(3.218+3.6*2)+(1.5*4)*5</f>
        <v>59.538</v>
      </c>
      <c r="I704" s="498"/>
      <c r="L704" s="340"/>
      <c r="M704" s="341"/>
      <c r="N704" s="342"/>
      <c r="O704" s="342"/>
      <c r="P704" s="342"/>
      <c r="Q704" s="342"/>
      <c r="R704" s="342"/>
      <c r="S704" s="342"/>
      <c r="T704" s="343"/>
      <c r="AT704" s="337" t="s">
        <v>155</v>
      </c>
      <c r="AU704" s="337" t="s">
        <v>83</v>
      </c>
      <c r="AV704" s="335" t="s">
        <v>83</v>
      </c>
      <c r="AW704" s="335" t="s">
        <v>34</v>
      </c>
      <c r="AX704" s="335" t="s">
        <v>76</v>
      </c>
      <c r="AY704" s="337" t="s">
        <v>146</v>
      </c>
    </row>
    <row r="705" spans="2:51" s="326" customFormat="1" ht="12">
      <c r="B705" s="327"/>
      <c r="D705" s="328" t="s">
        <v>155</v>
      </c>
      <c r="E705" s="329" t="s">
        <v>1</v>
      </c>
      <c r="F705" s="345" t="s">
        <v>167</v>
      </c>
      <c r="H705" s="329" t="s">
        <v>1</v>
      </c>
      <c r="I705" s="497"/>
      <c r="L705" s="229"/>
      <c r="M705" s="332"/>
      <c r="N705" s="333"/>
      <c r="O705" s="333"/>
      <c r="P705" s="333"/>
      <c r="Q705" s="333"/>
      <c r="R705" s="333"/>
      <c r="S705" s="333"/>
      <c r="T705" s="334"/>
      <c r="AT705" s="329" t="s">
        <v>155</v>
      </c>
      <c r="AU705" s="329" t="s">
        <v>83</v>
      </c>
      <c r="AV705" s="326" t="s">
        <v>81</v>
      </c>
      <c r="AW705" s="326" t="s">
        <v>34</v>
      </c>
      <c r="AX705" s="326" t="s">
        <v>76</v>
      </c>
      <c r="AY705" s="329" t="s">
        <v>146</v>
      </c>
    </row>
    <row r="706" spans="2:51" s="326" customFormat="1" ht="12">
      <c r="B706" s="327"/>
      <c r="D706" s="328" t="s">
        <v>155</v>
      </c>
      <c r="E706" s="329" t="s">
        <v>1</v>
      </c>
      <c r="F706" s="345" t="s">
        <v>546</v>
      </c>
      <c r="H706" s="329" t="s">
        <v>1</v>
      </c>
      <c r="I706" s="497"/>
      <c r="L706" s="331"/>
      <c r="M706" s="332"/>
      <c r="N706" s="333"/>
      <c r="O706" s="333"/>
      <c r="P706" s="333"/>
      <c r="Q706" s="333"/>
      <c r="R706" s="333"/>
      <c r="S706" s="333"/>
      <c r="T706" s="334"/>
      <c r="AT706" s="329" t="s">
        <v>155</v>
      </c>
      <c r="AU706" s="329" t="s">
        <v>83</v>
      </c>
      <c r="AV706" s="326" t="s">
        <v>81</v>
      </c>
      <c r="AW706" s="326" t="s">
        <v>34</v>
      </c>
      <c r="AX706" s="326" t="s">
        <v>76</v>
      </c>
      <c r="AY706" s="329" t="s">
        <v>146</v>
      </c>
    </row>
    <row r="707" spans="2:51" s="326" customFormat="1" ht="12">
      <c r="B707" s="327"/>
      <c r="D707" s="328" t="s">
        <v>155</v>
      </c>
      <c r="E707" s="329" t="s">
        <v>1</v>
      </c>
      <c r="F707" s="345" t="s">
        <v>304</v>
      </c>
      <c r="H707" s="329" t="s">
        <v>1</v>
      </c>
      <c r="I707" s="497"/>
      <c r="L707" s="331"/>
      <c r="M707" s="332"/>
      <c r="N707" s="333"/>
      <c r="O707" s="333"/>
      <c r="P707" s="333"/>
      <c r="Q707" s="333"/>
      <c r="R707" s="333"/>
      <c r="S707" s="333"/>
      <c r="T707" s="334"/>
      <c r="AT707" s="329" t="s">
        <v>155</v>
      </c>
      <c r="AU707" s="329" t="s">
        <v>83</v>
      </c>
      <c r="AV707" s="326" t="s">
        <v>81</v>
      </c>
      <c r="AW707" s="326" t="s">
        <v>34</v>
      </c>
      <c r="AX707" s="326" t="s">
        <v>76</v>
      </c>
      <c r="AY707" s="329" t="s">
        <v>146</v>
      </c>
    </row>
    <row r="708" spans="2:51" s="335" customFormat="1" ht="33.75">
      <c r="B708" s="336"/>
      <c r="D708" s="328" t="s">
        <v>155</v>
      </c>
      <c r="E708" s="337" t="s">
        <v>1</v>
      </c>
      <c r="F708" s="346" t="s">
        <v>3304</v>
      </c>
      <c r="H708" s="339">
        <f>((2.1*2+1.5*2)*9+(1.75*2+2.4*2)+(0.9*2+1.5*2)+(1.45*2+2.4*2)+(1.8*2+2.4*2)+(0.6*2+0.75*2)*3+(0.6*2+0.63*2)*3)</f>
        <v>109.47999999999999</v>
      </c>
      <c r="I708" s="498"/>
      <c r="L708" s="340"/>
      <c r="M708" s="341"/>
      <c r="N708" s="342"/>
      <c r="O708" s="342"/>
      <c r="P708" s="342"/>
      <c r="Q708" s="342"/>
      <c r="R708" s="342"/>
      <c r="S708" s="342"/>
      <c r="T708" s="343"/>
      <c r="AT708" s="337" t="s">
        <v>155</v>
      </c>
      <c r="AU708" s="337" t="s">
        <v>83</v>
      </c>
      <c r="AV708" s="335" t="s">
        <v>83</v>
      </c>
      <c r="AW708" s="335" t="s">
        <v>34</v>
      </c>
      <c r="AX708" s="335" t="s">
        <v>76</v>
      </c>
      <c r="AY708" s="337" t="s">
        <v>146</v>
      </c>
    </row>
    <row r="709" spans="2:51" s="326" customFormat="1" ht="12">
      <c r="B709" s="327"/>
      <c r="D709" s="328" t="s">
        <v>155</v>
      </c>
      <c r="E709" s="329" t="s">
        <v>1</v>
      </c>
      <c r="F709" s="345" t="s">
        <v>309</v>
      </c>
      <c r="H709" s="329" t="s">
        <v>1</v>
      </c>
      <c r="I709" s="497"/>
      <c r="L709" s="331"/>
      <c r="M709" s="332"/>
      <c r="N709" s="333"/>
      <c r="O709" s="333"/>
      <c r="P709" s="333"/>
      <c r="Q709" s="333"/>
      <c r="R709" s="333"/>
      <c r="S709" s="333"/>
      <c r="T709" s="334"/>
      <c r="AT709" s="329" t="s">
        <v>155</v>
      </c>
      <c r="AU709" s="329" t="s">
        <v>83</v>
      </c>
      <c r="AV709" s="326" t="s">
        <v>81</v>
      </c>
      <c r="AW709" s="326" t="s">
        <v>34</v>
      </c>
      <c r="AX709" s="326" t="s">
        <v>76</v>
      </c>
      <c r="AY709" s="329" t="s">
        <v>146</v>
      </c>
    </row>
    <row r="710" spans="2:51" s="335" customFormat="1" ht="12">
      <c r="B710" s="336"/>
      <c r="D710" s="328" t="s">
        <v>155</v>
      </c>
      <c r="E710" s="337" t="s">
        <v>1</v>
      </c>
      <c r="F710" s="346" t="s">
        <v>3305</v>
      </c>
      <c r="H710" s="339">
        <f>((2.1*2+1.5*2)*11+(0.6*2+0.75*2)*3+(1.5*4))</f>
        <v>93.30000000000001</v>
      </c>
      <c r="I710" s="498"/>
      <c r="L710" s="340"/>
      <c r="M710" s="341"/>
      <c r="N710" s="342"/>
      <c r="O710" s="342"/>
      <c r="P710" s="342"/>
      <c r="Q710" s="342"/>
      <c r="R710" s="342"/>
      <c r="S710" s="342"/>
      <c r="T710" s="343"/>
      <c r="AT710" s="337" t="s">
        <v>155</v>
      </c>
      <c r="AU710" s="337" t="s">
        <v>83</v>
      </c>
      <c r="AV710" s="335" t="s">
        <v>83</v>
      </c>
      <c r="AW710" s="335" t="s">
        <v>34</v>
      </c>
      <c r="AX710" s="335" t="s">
        <v>76</v>
      </c>
      <c r="AY710" s="337" t="s">
        <v>146</v>
      </c>
    </row>
    <row r="711" spans="2:51" s="347" customFormat="1" ht="12">
      <c r="B711" s="348"/>
      <c r="D711" s="328" t="s">
        <v>155</v>
      </c>
      <c r="E711" s="349" t="s">
        <v>1</v>
      </c>
      <c r="F711" s="350" t="s">
        <v>157</v>
      </c>
      <c r="H711" s="351">
        <f>SUM(H703:H710)</f>
        <v>262.318</v>
      </c>
      <c r="I711" s="499"/>
      <c r="L711" s="352"/>
      <c r="M711" s="353"/>
      <c r="N711" s="354"/>
      <c r="O711" s="354"/>
      <c r="P711" s="354"/>
      <c r="Q711" s="354"/>
      <c r="R711" s="354"/>
      <c r="S711" s="354"/>
      <c r="T711" s="355"/>
      <c r="AT711" s="349" t="s">
        <v>155</v>
      </c>
      <c r="AU711" s="349" t="s">
        <v>83</v>
      </c>
      <c r="AV711" s="347" t="s">
        <v>153</v>
      </c>
      <c r="AW711" s="347" t="s">
        <v>34</v>
      </c>
      <c r="AX711" s="347" t="s">
        <v>81</v>
      </c>
      <c r="AY711" s="349" t="s">
        <v>146</v>
      </c>
    </row>
    <row r="712" spans="1:65" s="263" customFormat="1" ht="80.25" customHeight="1">
      <c r="A712" s="258"/>
      <c r="B712" s="259"/>
      <c r="C712" s="408">
        <v>90</v>
      </c>
      <c r="D712" s="408" t="s">
        <v>208</v>
      </c>
      <c r="E712" s="409" t="s">
        <v>540</v>
      </c>
      <c r="F712" s="360" t="s">
        <v>3309</v>
      </c>
      <c r="G712" s="410" t="s">
        <v>151</v>
      </c>
      <c r="H712" s="411">
        <f>H720</f>
        <v>104.88100000000001</v>
      </c>
      <c r="I712" s="83"/>
      <c r="J712" s="412">
        <f>ROUND(I712*H712,2)</f>
        <v>0</v>
      </c>
      <c r="K712" s="360"/>
      <c r="L712" s="413"/>
      <c r="M712" s="414" t="s">
        <v>1</v>
      </c>
      <c r="N712" s="415" t="s">
        <v>42</v>
      </c>
      <c r="O712" s="404">
        <v>0</v>
      </c>
      <c r="P712" s="404">
        <f>O712*H712</f>
        <v>0</v>
      </c>
      <c r="Q712" s="404">
        <v>0.012</v>
      </c>
      <c r="R712" s="404">
        <f>Q712*H712</f>
        <v>1.2585720000000002</v>
      </c>
      <c r="S712" s="404">
        <v>0</v>
      </c>
      <c r="T712" s="405">
        <f>S712*H712</f>
        <v>0</v>
      </c>
      <c r="U712" s="258"/>
      <c r="V712" s="258"/>
      <c r="W712" s="258"/>
      <c r="X712" s="258"/>
      <c r="Y712" s="258"/>
      <c r="Z712" s="258"/>
      <c r="AA712" s="258"/>
      <c r="AB712" s="258"/>
      <c r="AC712" s="258"/>
      <c r="AD712" s="258"/>
      <c r="AE712" s="258"/>
      <c r="AR712" s="260" t="s">
        <v>189</v>
      </c>
      <c r="AT712" s="260" t="s">
        <v>208</v>
      </c>
      <c r="AU712" s="260" t="s">
        <v>83</v>
      </c>
      <c r="AY712" s="406" t="s">
        <v>146</v>
      </c>
      <c r="BE712" s="407">
        <f>IF(N712="základní",J712,0)</f>
        <v>0</v>
      </c>
      <c r="BF712" s="407">
        <f>IF(N712="snížená",J712,0)</f>
        <v>0</v>
      </c>
      <c r="BG712" s="407">
        <f>IF(N712="zákl. přenesená",J712,0)</f>
        <v>0</v>
      </c>
      <c r="BH712" s="407">
        <f>IF(N712="sníž. přenesená",J712,0)</f>
        <v>0</v>
      </c>
      <c r="BI712" s="407">
        <f>IF(N712="nulová",J712,0)</f>
        <v>0</v>
      </c>
      <c r="BJ712" s="406" t="s">
        <v>81</v>
      </c>
      <c r="BK712" s="407">
        <f>ROUND(I712*H712,2)</f>
        <v>0</v>
      </c>
      <c r="BL712" s="406" t="s">
        <v>153</v>
      </c>
      <c r="BM712" s="260" t="s">
        <v>571</v>
      </c>
    </row>
    <row r="713" spans="2:51" s="326" customFormat="1" ht="12">
      <c r="B713" s="327"/>
      <c r="D713" s="328" t="s">
        <v>155</v>
      </c>
      <c r="E713" s="329" t="s">
        <v>1</v>
      </c>
      <c r="F713" s="345" t="s">
        <v>164</v>
      </c>
      <c r="H713" s="329" t="s">
        <v>1</v>
      </c>
      <c r="I713" s="497"/>
      <c r="L713" s="331"/>
      <c r="M713" s="332"/>
      <c r="N713" s="333"/>
      <c r="O713" s="333"/>
      <c r="P713" s="333"/>
      <c r="Q713" s="333"/>
      <c r="R713" s="333"/>
      <c r="S713" s="333"/>
      <c r="T713" s="334"/>
      <c r="AT713" s="329" t="s">
        <v>155</v>
      </c>
      <c r="AU713" s="329" t="s">
        <v>83</v>
      </c>
      <c r="AV713" s="326" t="s">
        <v>81</v>
      </c>
      <c r="AW713" s="326" t="s">
        <v>34</v>
      </c>
      <c r="AX713" s="326" t="s">
        <v>76</v>
      </c>
      <c r="AY713" s="329" t="s">
        <v>146</v>
      </c>
    </row>
    <row r="714" spans="2:51" s="335" customFormat="1" ht="22.5">
      <c r="B714" s="336"/>
      <c r="D714" s="328" t="s">
        <v>155</v>
      </c>
      <c r="E714" s="337" t="s">
        <v>1</v>
      </c>
      <c r="F714" s="346" t="s">
        <v>3306</v>
      </c>
      <c r="H714" s="339">
        <f>((2.96+3.3*2)+(2.96+3.3*2)+(3.218+3.6*2))*0.5+((1.5*4)*5)*0.3</f>
        <v>23.769</v>
      </c>
      <c r="I714" s="498"/>
      <c r="L714" s="340"/>
      <c r="M714" s="341"/>
      <c r="N714" s="342"/>
      <c r="O714" s="342"/>
      <c r="P714" s="342"/>
      <c r="Q714" s="342"/>
      <c r="R714" s="342"/>
      <c r="S714" s="342"/>
      <c r="T714" s="343"/>
      <c r="AT714" s="337" t="s">
        <v>155</v>
      </c>
      <c r="AU714" s="337" t="s">
        <v>83</v>
      </c>
      <c r="AV714" s="335" t="s">
        <v>83</v>
      </c>
      <c r="AW714" s="335" t="s">
        <v>34</v>
      </c>
      <c r="AX714" s="335" t="s">
        <v>76</v>
      </c>
      <c r="AY714" s="337" t="s">
        <v>146</v>
      </c>
    </row>
    <row r="715" spans="2:51" s="326" customFormat="1" ht="12">
      <c r="B715" s="327"/>
      <c r="D715" s="328" t="s">
        <v>155</v>
      </c>
      <c r="E715" s="329" t="s">
        <v>1</v>
      </c>
      <c r="F715" s="345" t="s">
        <v>167</v>
      </c>
      <c r="H715" s="329" t="s">
        <v>1</v>
      </c>
      <c r="I715" s="497"/>
      <c r="L715" s="331"/>
      <c r="M715" s="332"/>
      <c r="N715" s="333"/>
      <c r="O715" s="333"/>
      <c r="P715" s="333"/>
      <c r="Q715" s="333"/>
      <c r="R715" s="333"/>
      <c r="S715" s="333"/>
      <c r="T715" s="334"/>
      <c r="AT715" s="329" t="s">
        <v>155</v>
      </c>
      <c r="AU715" s="329" t="s">
        <v>83</v>
      </c>
      <c r="AV715" s="326" t="s">
        <v>81</v>
      </c>
      <c r="AW715" s="326" t="s">
        <v>34</v>
      </c>
      <c r="AX715" s="326" t="s">
        <v>76</v>
      </c>
      <c r="AY715" s="329" t="s">
        <v>146</v>
      </c>
    </row>
    <row r="716" spans="2:51" s="326" customFormat="1" ht="12">
      <c r="B716" s="327"/>
      <c r="D716" s="328" t="s">
        <v>155</v>
      </c>
      <c r="E716" s="329" t="s">
        <v>1</v>
      </c>
      <c r="F716" s="345" t="s">
        <v>304</v>
      </c>
      <c r="H716" s="329" t="s">
        <v>1</v>
      </c>
      <c r="I716" s="497"/>
      <c r="L716" s="331"/>
      <c r="M716" s="332"/>
      <c r="N716" s="333"/>
      <c r="O716" s="333"/>
      <c r="P716" s="333"/>
      <c r="Q716" s="333"/>
      <c r="R716" s="333"/>
      <c r="S716" s="333"/>
      <c r="T716" s="334"/>
      <c r="AT716" s="329" t="s">
        <v>155</v>
      </c>
      <c r="AU716" s="329" t="s">
        <v>83</v>
      </c>
      <c r="AV716" s="326" t="s">
        <v>81</v>
      </c>
      <c r="AW716" s="326" t="s">
        <v>34</v>
      </c>
      <c r="AX716" s="326" t="s">
        <v>76</v>
      </c>
      <c r="AY716" s="329" t="s">
        <v>146</v>
      </c>
    </row>
    <row r="717" spans="2:51" s="335" customFormat="1" ht="33.75">
      <c r="B717" s="336"/>
      <c r="D717" s="328" t="s">
        <v>155</v>
      </c>
      <c r="E717" s="337" t="s">
        <v>1</v>
      </c>
      <c r="F717" s="346" t="s">
        <v>3307</v>
      </c>
      <c r="H717" s="339">
        <f>((2.1*2+1.5*2)*9+(1.75*2+2.4*2)+(0.9*2+1.5*2)+(1.45*2+2.4*2)+(1.8*2+2.4*2)+(0.6*2+0.75*2)*3+(0.6*2+0.63*2)*3)*0.4</f>
        <v>43.792</v>
      </c>
      <c r="I717" s="498"/>
      <c r="L717" s="340"/>
      <c r="M717" s="341"/>
      <c r="N717" s="342"/>
      <c r="O717" s="342"/>
      <c r="P717" s="342"/>
      <c r="Q717" s="342"/>
      <c r="R717" s="342"/>
      <c r="S717" s="342"/>
      <c r="T717" s="343"/>
      <c r="AT717" s="337" t="s">
        <v>155</v>
      </c>
      <c r="AU717" s="337" t="s">
        <v>83</v>
      </c>
      <c r="AV717" s="335" t="s">
        <v>83</v>
      </c>
      <c r="AW717" s="335" t="s">
        <v>34</v>
      </c>
      <c r="AX717" s="335" t="s">
        <v>76</v>
      </c>
      <c r="AY717" s="337" t="s">
        <v>146</v>
      </c>
    </row>
    <row r="718" spans="2:51" s="326" customFormat="1" ht="12">
      <c r="B718" s="327"/>
      <c r="D718" s="328" t="s">
        <v>155</v>
      </c>
      <c r="E718" s="329" t="s">
        <v>1</v>
      </c>
      <c r="F718" s="345" t="s">
        <v>309</v>
      </c>
      <c r="H718" s="329" t="s">
        <v>1</v>
      </c>
      <c r="I718" s="497"/>
      <c r="L718" s="331"/>
      <c r="M718" s="332"/>
      <c r="N718" s="333"/>
      <c r="O718" s="333"/>
      <c r="P718" s="333"/>
      <c r="Q718" s="333"/>
      <c r="R718" s="333"/>
      <c r="S718" s="333"/>
      <c r="T718" s="334"/>
      <c r="AT718" s="329" t="s">
        <v>155</v>
      </c>
      <c r="AU718" s="329" t="s">
        <v>83</v>
      </c>
      <c r="AV718" s="326" t="s">
        <v>81</v>
      </c>
      <c r="AW718" s="326" t="s">
        <v>34</v>
      </c>
      <c r="AX718" s="326" t="s">
        <v>76</v>
      </c>
      <c r="AY718" s="329" t="s">
        <v>146</v>
      </c>
    </row>
    <row r="719" spans="2:51" s="335" customFormat="1" ht="22.5">
      <c r="B719" s="336"/>
      <c r="D719" s="328" t="s">
        <v>155</v>
      </c>
      <c r="E719" s="337" t="s">
        <v>1</v>
      </c>
      <c r="F719" s="346" t="s">
        <v>3308</v>
      </c>
      <c r="H719" s="339">
        <f>((2.1*2+1.5*2)*11+(0.6*2+0.75*2)*3+(1.5*2+1.5*2))*0.4</f>
        <v>37.32000000000001</v>
      </c>
      <c r="I719" s="498"/>
      <c r="L719" s="340"/>
      <c r="M719" s="341"/>
      <c r="N719" s="342"/>
      <c r="O719" s="342"/>
      <c r="P719" s="342"/>
      <c r="Q719" s="342"/>
      <c r="R719" s="342"/>
      <c r="S719" s="342"/>
      <c r="T719" s="343"/>
      <c r="AT719" s="337" t="s">
        <v>155</v>
      </c>
      <c r="AU719" s="337" t="s">
        <v>83</v>
      </c>
      <c r="AV719" s="335" t="s">
        <v>83</v>
      </c>
      <c r="AW719" s="335" t="s">
        <v>34</v>
      </c>
      <c r="AX719" s="335" t="s">
        <v>76</v>
      </c>
      <c r="AY719" s="337" t="s">
        <v>146</v>
      </c>
    </row>
    <row r="720" spans="2:51" s="347" customFormat="1" ht="12">
      <c r="B720" s="348"/>
      <c r="D720" s="328" t="s">
        <v>155</v>
      </c>
      <c r="E720" s="349" t="s">
        <v>1</v>
      </c>
      <c r="F720" s="350" t="s">
        <v>157</v>
      </c>
      <c r="H720" s="351">
        <f>SUM(H714:H719)</f>
        <v>104.88100000000001</v>
      </c>
      <c r="I720" s="499"/>
      <c r="L720" s="352"/>
      <c r="M720" s="353"/>
      <c r="N720" s="354"/>
      <c r="O720" s="354"/>
      <c r="P720" s="354"/>
      <c r="Q720" s="354"/>
      <c r="R720" s="354"/>
      <c r="S720" s="354"/>
      <c r="T720" s="355"/>
      <c r="AT720" s="349" t="s">
        <v>155</v>
      </c>
      <c r="AU720" s="349" t="s">
        <v>83</v>
      </c>
      <c r="AV720" s="347" t="s">
        <v>153</v>
      </c>
      <c r="AW720" s="347" t="s">
        <v>34</v>
      </c>
      <c r="AX720" s="347" t="s">
        <v>81</v>
      </c>
      <c r="AY720" s="349" t="s">
        <v>146</v>
      </c>
    </row>
    <row r="721" spans="1:65" s="225" customFormat="1" ht="24.2" customHeight="1">
      <c r="A721" s="222"/>
      <c r="B721" s="223"/>
      <c r="C721" s="314">
        <v>91</v>
      </c>
      <c r="D721" s="314" t="s">
        <v>148</v>
      </c>
      <c r="E721" s="315" t="s">
        <v>573</v>
      </c>
      <c r="F721" s="344" t="s">
        <v>2708</v>
      </c>
      <c r="G721" s="317" t="s">
        <v>151</v>
      </c>
      <c r="H721" s="318">
        <f>H723</f>
        <v>23.260000000000005</v>
      </c>
      <c r="I721" s="79"/>
      <c r="J721" s="319">
        <f>ROUND(I721*H721,2)</f>
        <v>0</v>
      </c>
      <c r="K721" s="316"/>
      <c r="L721" s="229"/>
      <c r="M721" s="320" t="s">
        <v>1</v>
      </c>
      <c r="N721" s="321" t="s">
        <v>42</v>
      </c>
      <c r="O721" s="322">
        <v>0.294</v>
      </c>
      <c r="P721" s="322">
        <f>O721*H721</f>
        <v>6.838440000000001</v>
      </c>
      <c r="Q721" s="322">
        <v>0.0057</v>
      </c>
      <c r="R721" s="322">
        <f>Q721*H721</f>
        <v>0.13258200000000003</v>
      </c>
      <c r="S721" s="322">
        <v>0</v>
      </c>
      <c r="T721" s="323">
        <f>S721*H721</f>
        <v>0</v>
      </c>
      <c r="U721" s="222"/>
      <c r="V721" s="222"/>
      <c r="W721" s="222"/>
      <c r="X721" s="222"/>
      <c r="Y721" s="222"/>
      <c r="Z721" s="222"/>
      <c r="AA721" s="222"/>
      <c r="AB721" s="222"/>
      <c r="AC721" s="222"/>
      <c r="AD721" s="222"/>
      <c r="AE721" s="222"/>
      <c r="AR721" s="324" t="s">
        <v>153</v>
      </c>
      <c r="AT721" s="324" t="s">
        <v>148</v>
      </c>
      <c r="AU721" s="324" t="s">
        <v>83</v>
      </c>
      <c r="AY721" s="214" t="s">
        <v>146</v>
      </c>
      <c r="BE721" s="325">
        <f>IF(N721="základní",J721,0)</f>
        <v>0</v>
      </c>
      <c r="BF721" s="325">
        <f>IF(N721="snížená",J721,0)</f>
        <v>0</v>
      </c>
      <c r="BG721" s="325">
        <f>IF(N721="zákl. přenesená",J721,0)</f>
        <v>0</v>
      </c>
      <c r="BH721" s="325">
        <f>IF(N721="sníž. přenesená",J721,0)</f>
        <v>0</v>
      </c>
      <c r="BI721" s="325">
        <f>IF(N721="nulová",J721,0)</f>
        <v>0</v>
      </c>
      <c r="BJ721" s="214" t="s">
        <v>81</v>
      </c>
      <c r="BK721" s="325">
        <f>ROUND(I721*H721,2)</f>
        <v>0</v>
      </c>
      <c r="BL721" s="214" t="s">
        <v>153</v>
      </c>
      <c r="BM721" s="324" t="s">
        <v>574</v>
      </c>
    </row>
    <row r="722" spans="2:51" s="326" customFormat="1" ht="12">
      <c r="B722" s="327"/>
      <c r="D722" s="328" t="s">
        <v>155</v>
      </c>
      <c r="E722" s="329" t="s">
        <v>1</v>
      </c>
      <c r="F722" s="345" t="s">
        <v>2780</v>
      </c>
      <c r="H722" s="329" t="s">
        <v>1</v>
      </c>
      <c r="I722" s="497"/>
      <c r="L722" s="331"/>
      <c r="M722" s="332"/>
      <c r="N722" s="333"/>
      <c r="O722" s="333"/>
      <c r="P722" s="333"/>
      <c r="Q722" s="333"/>
      <c r="R722" s="333"/>
      <c r="S722" s="333"/>
      <c r="T722" s="334"/>
      <c r="AT722" s="329" t="s">
        <v>155</v>
      </c>
      <c r="AU722" s="329" t="s">
        <v>83</v>
      </c>
      <c r="AV722" s="326" t="s">
        <v>81</v>
      </c>
      <c r="AW722" s="326" t="s">
        <v>34</v>
      </c>
      <c r="AX722" s="326" t="s">
        <v>76</v>
      </c>
      <c r="AY722" s="329" t="s">
        <v>146</v>
      </c>
    </row>
    <row r="723" spans="2:51" s="335" customFormat="1" ht="22.5">
      <c r="B723" s="336"/>
      <c r="D723" s="328" t="s">
        <v>155</v>
      </c>
      <c r="E723" s="337" t="s">
        <v>1</v>
      </c>
      <c r="F723" s="346" t="s">
        <v>2781</v>
      </c>
      <c r="H723" s="339">
        <f>((14.3+13.36+28.66-2.4*2-2.7)+(36.33+13.61+23.2-2.46-1.75-1.45))*0.2</f>
        <v>23.260000000000005</v>
      </c>
      <c r="I723" s="498"/>
      <c r="L723" s="340"/>
      <c r="M723" s="341"/>
      <c r="N723" s="342"/>
      <c r="O723" s="342"/>
      <c r="P723" s="342"/>
      <c r="Q723" s="342"/>
      <c r="R723" s="342"/>
      <c r="S723" s="342"/>
      <c r="T723" s="343"/>
      <c r="AT723" s="337" t="s">
        <v>155</v>
      </c>
      <c r="AU723" s="337" t="s">
        <v>83</v>
      </c>
      <c r="AV723" s="335" t="s">
        <v>83</v>
      </c>
      <c r="AW723" s="335" t="s">
        <v>34</v>
      </c>
      <c r="AX723" s="335" t="s">
        <v>81</v>
      </c>
      <c r="AY723" s="337" t="s">
        <v>146</v>
      </c>
    </row>
    <row r="724" spans="1:65" s="225" customFormat="1" ht="33" customHeight="1">
      <c r="A724" s="222"/>
      <c r="B724" s="223"/>
      <c r="C724" s="314">
        <v>92</v>
      </c>
      <c r="D724" s="314" t="s">
        <v>148</v>
      </c>
      <c r="E724" s="315" t="s">
        <v>577</v>
      </c>
      <c r="F724" s="344" t="s">
        <v>578</v>
      </c>
      <c r="G724" s="317" t="s">
        <v>162</v>
      </c>
      <c r="H724" s="318">
        <v>0.198</v>
      </c>
      <c r="I724" s="79"/>
      <c r="J724" s="319">
        <f>ROUND(I724*H724,2)</f>
        <v>0</v>
      </c>
      <c r="K724" s="316"/>
      <c r="L724" s="229"/>
      <c r="M724" s="320" t="s">
        <v>1</v>
      </c>
      <c r="N724" s="321" t="s">
        <v>42</v>
      </c>
      <c r="O724" s="322">
        <v>2.58</v>
      </c>
      <c r="P724" s="322">
        <f>O724*H724</f>
        <v>0.5108400000000001</v>
      </c>
      <c r="Q724" s="322">
        <v>2.30102</v>
      </c>
      <c r="R724" s="322">
        <f>Q724*H724</f>
        <v>0.45560196</v>
      </c>
      <c r="S724" s="322">
        <v>0</v>
      </c>
      <c r="T724" s="323">
        <f>S724*H724</f>
        <v>0</v>
      </c>
      <c r="U724" s="222"/>
      <c r="V724" s="222"/>
      <c r="W724" s="222"/>
      <c r="X724" s="222"/>
      <c r="Y724" s="222"/>
      <c r="Z724" s="222"/>
      <c r="AA724" s="222"/>
      <c r="AB724" s="222"/>
      <c r="AC724" s="222"/>
      <c r="AD724" s="222"/>
      <c r="AE724" s="222"/>
      <c r="AR724" s="324" t="s">
        <v>153</v>
      </c>
      <c r="AT724" s="324" t="s">
        <v>148</v>
      </c>
      <c r="AU724" s="324" t="s">
        <v>83</v>
      </c>
      <c r="AY724" s="214" t="s">
        <v>146</v>
      </c>
      <c r="BE724" s="325">
        <f>IF(N724="základní",J724,0)</f>
        <v>0</v>
      </c>
      <c r="BF724" s="325">
        <f>IF(N724="snížená",J724,0)</f>
        <v>0</v>
      </c>
      <c r="BG724" s="325">
        <f>IF(N724="zákl. přenesená",J724,0)</f>
        <v>0</v>
      </c>
      <c r="BH724" s="325">
        <f>IF(N724="sníž. přenesená",J724,0)</f>
        <v>0</v>
      </c>
      <c r="BI724" s="325">
        <f>IF(N724="nulová",J724,0)</f>
        <v>0</v>
      </c>
      <c r="BJ724" s="214" t="s">
        <v>81</v>
      </c>
      <c r="BK724" s="325">
        <f>ROUND(I724*H724,2)</f>
        <v>0</v>
      </c>
      <c r="BL724" s="214" t="s">
        <v>153</v>
      </c>
      <c r="BM724" s="324" t="s">
        <v>579</v>
      </c>
    </row>
    <row r="725" spans="2:51" s="326" customFormat="1" ht="12">
      <c r="B725" s="327"/>
      <c r="D725" s="328" t="s">
        <v>155</v>
      </c>
      <c r="E725" s="329" t="s">
        <v>1</v>
      </c>
      <c r="F725" s="345" t="s">
        <v>245</v>
      </c>
      <c r="H725" s="329" t="s">
        <v>1</v>
      </c>
      <c r="I725" s="497"/>
      <c r="L725" s="331"/>
      <c r="M725" s="332"/>
      <c r="N725" s="333"/>
      <c r="O725" s="333"/>
      <c r="P725" s="333"/>
      <c r="Q725" s="333"/>
      <c r="R725" s="333"/>
      <c r="S725" s="333"/>
      <c r="T725" s="334"/>
      <c r="AT725" s="329" t="s">
        <v>155</v>
      </c>
      <c r="AU725" s="329" t="s">
        <v>83</v>
      </c>
      <c r="AV725" s="326" t="s">
        <v>81</v>
      </c>
      <c r="AW725" s="326" t="s">
        <v>34</v>
      </c>
      <c r="AX725" s="326" t="s">
        <v>76</v>
      </c>
      <c r="AY725" s="329" t="s">
        <v>146</v>
      </c>
    </row>
    <row r="726" spans="2:51" s="335" customFormat="1" ht="12">
      <c r="B726" s="336"/>
      <c r="D726" s="328" t="s">
        <v>155</v>
      </c>
      <c r="E726" s="337" t="s">
        <v>1</v>
      </c>
      <c r="F726" s="346" t="s">
        <v>580</v>
      </c>
      <c r="H726" s="339">
        <v>0.198</v>
      </c>
      <c r="I726" s="498"/>
      <c r="L726" s="340"/>
      <c r="M726" s="341"/>
      <c r="N726" s="342"/>
      <c r="O726" s="342"/>
      <c r="P726" s="342"/>
      <c r="Q726" s="342"/>
      <c r="R726" s="342"/>
      <c r="S726" s="342"/>
      <c r="T726" s="343"/>
      <c r="AT726" s="337" t="s">
        <v>155</v>
      </c>
      <c r="AU726" s="337" t="s">
        <v>83</v>
      </c>
      <c r="AV726" s="335" t="s">
        <v>83</v>
      </c>
      <c r="AW726" s="335" t="s">
        <v>34</v>
      </c>
      <c r="AX726" s="335" t="s">
        <v>81</v>
      </c>
      <c r="AY726" s="337" t="s">
        <v>146</v>
      </c>
    </row>
    <row r="727" spans="1:65" s="225" customFormat="1" ht="24.2" customHeight="1">
      <c r="A727" s="222"/>
      <c r="B727" s="223"/>
      <c r="C727" s="314">
        <v>93</v>
      </c>
      <c r="D727" s="314" t="s">
        <v>148</v>
      </c>
      <c r="E727" s="315" t="s">
        <v>582</v>
      </c>
      <c r="F727" s="344" t="s">
        <v>583</v>
      </c>
      <c r="G727" s="317" t="s">
        <v>162</v>
      </c>
      <c r="H727" s="318">
        <f>H731</f>
        <v>1.7025</v>
      </c>
      <c r="I727" s="79"/>
      <c r="J727" s="319">
        <f>ROUND(I727*H727,2)</f>
        <v>0</v>
      </c>
      <c r="K727" s="316"/>
      <c r="L727" s="229"/>
      <c r="M727" s="320" t="s">
        <v>1</v>
      </c>
      <c r="N727" s="321" t="s">
        <v>42</v>
      </c>
      <c r="O727" s="322">
        <v>5.33</v>
      </c>
      <c r="P727" s="322">
        <f>O727*H727</f>
        <v>9.074325</v>
      </c>
      <c r="Q727" s="322">
        <v>2.30102</v>
      </c>
      <c r="R727" s="322">
        <f>Q727*H727</f>
        <v>3.9174865499999996</v>
      </c>
      <c r="S727" s="322">
        <v>0</v>
      </c>
      <c r="T727" s="323">
        <f>S727*H727</f>
        <v>0</v>
      </c>
      <c r="U727" s="222"/>
      <c r="V727" s="222"/>
      <c r="W727" s="222"/>
      <c r="X727" s="222"/>
      <c r="Y727" s="222"/>
      <c r="Z727" s="222"/>
      <c r="AA727" s="222"/>
      <c r="AB727" s="222"/>
      <c r="AC727" s="222"/>
      <c r="AD727" s="222"/>
      <c r="AE727" s="222"/>
      <c r="AR727" s="324" t="s">
        <v>153</v>
      </c>
      <c r="AT727" s="324" t="s">
        <v>148</v>
      </c>
      <c r="AU727" s="324" t="s">
        <v>83</v>
      </c>
      <c r="AY727" s="214" t="s">
        <v>146</v>
      </c>
      <c r="BE727" s="325">
        <f>IF(N727="základní",J727,0)</f>
        <v>0</v>
      </c>
      <c r="BF727" s="325">
        <f>IF(N727="snížená",J727,0)</f>
        <v>0</v>
      </c>
      <c r="BG727" s="325">
        <f>IF(N727="zákl. přenesená",J727,0)</f>
        <v>0</v>
      </c>
      <c r="BH727" s="325">
        <f>IF(N727="sníž. přenesená",J727,0)</f>
        <v>0</v>
      </c>
      <c r="BI727" s="325">
        <f>IF(N727="nulová",J727,0)</f>
        <v>0</v>
      </c>
      <c r="BJ727" s="214" t="s">
        <v>81</v>
      </c>
      <c r="BK727" s="325">
        <f>ROUND(I727*H727,2)</f>
        <v>0</v>
      </c>
      <c r="BL727" s="214" t="s">
        <v>153</v>
      </c>
      <c r="BM727" s="324" t="s">
        <v>584</v>
      </c>
    </row>
    <row r="728" spans="2:51" s="326" customFormat="1" ht="12">
      <c r="B728" s="327"/>
      <c r="D728" s="328" t="s">
        <v>155</v>
      </c>
      <c r="E728" s="329" t="s">
        <v>1</v>
      </c>
      <c r="F728" s="345" t="s">
        <v>585</v>
      </c>
      <c r="H728" s="329" t="s">
        <v>1</v>
      </c>
      <c r="I728" s="497"/>
      <c r="L728" s="331"/>
      <c r="M728" s="332"/>
      <c r="N728" s="333"/>
      <c r="O728" s="333"/>
      <c r="P728" s="333"/>
      <c r="Q728" s="333"/>
      <c r="R728" s="333"/>
      <c r="S728" s="333"/>
      <c r="T728" s="334"/>
      <c r="AT728" s="329" t="s">
        <v>155</v>
      </c>
      <c r="AU728" s="329" t="s">
        <v>83</v>
      </c>
      <c r="AV728" s="326" t="s">
        <v>81</v>
      </c>
      <c r="AW728" s="326" t="s">
        <v>34</v>
      </c>
      <c r="AX728" s="326" t="s">
        <v>76</v>
      </c>
      <c r="AY728" s="329" t="s">
        <v>146</v>
      </c>
    </row>
    <row r="729" spans="2:51" s="335" customFormat="1" ht="12">
      <c r="B729" s="336"/>
      <c r="D729" s="328" t="s">
        <v>155</v>
      </c>
      <c r="E729" s="337" t="s">
        <v>1</v>
      </c>
      <c r="F729" s="346" t="s">
        <v>2709</v>
      </c>
      <c r="H729" s="339">
        <f>(6.5+4.5)*0.15</f>
        <v>1.65</v>
      </c>
      <c r="I729" s="498"/>
      <c r="L729" s="340"/>
      <c r="M729" s="341"/>
      <c r="N729" s="342"/>
      <c r="O729" s="342"/>
      <c r="P729" s="342"/>
      <c r="Q729" s="342"/>
      <c r="R729" s="342"/>
      <c r="S729" s="342"/>
      <c r="T729" s="343"/>
      <c r="AT729" s="337" t="s">
        <v>155</v>
      </c>
      <c r="AU729" s="337" t="s">
        <v>83</v>
      </c>
      <c r="AV729" s="335" t="s">
        <v>83</v>
      </c>
      <c r="AW729" s="335" t="s">
        <v>34</v>
      </c>
      <c r="AX729" s="335" t="s">
        <v>76</v>
      </c>
      <c r="AY729" s="337" t="s">
        <v>146</v>
      </c>
    </row>
    <row r="730" spans="2:51" s="335" customFormat="1" ht="12">
      <c r="B730" s="336"/>
      <c r="D730" s="328" t="s">
        <v>155</v>
      </c>
      <c r="E730" s="337" t="s">
        <v>1</v>
      </c>
      <c r="F730" s="346" t="s">
        <v>2710</v>
      </c>
      <c r="H730" s="339">
        <f>0.5*0.7*0.15</f>
        <v>0.0525</v>
      </c>
      <c r="I730" s="498"/>
      <c r="L730" s="340"/>
      <c r="M730" s="341"/>
      <c r="N730" s="342"/>
      <c r="O730" s="342"/>
      <c r="P730" s="342"/>
      <c r="Q730" s="342"/>
      <c r="R730" s="342"/>
      <c r="S730" s="342"/>
      <c r="T730" s="343"/>
      <c r="AT730" s="337" t="s">
        <v>155</v>
      </c>
      <c r="AU730" s="337" t="s">
        <v>83</v>
      </c>
      <c r="AV730" s="335" t="s">
        <v>83</v>
      </c>
      <c r="AW730" s="335" t="s">
        <v>34</v>
      </c>
      <c r="AX730" s="335" t="s">
        <v>76</v>
      </c>
      <c r="AY730" s="337" t="s">
        <v>146</v>
      </c>
    </row>
    <row r="731" spans="2:51" s="347" customFormat="1" ht="12">
      <c r="B731" s="348"/>
      <c r="D731" s="328" t="s">
        <v>155</v>
      </c>
      <c r="E731" s="349" t="s">
        <v>1</v>
      </c>
      <c r="F731" s="350" t="s">
        <v>157</v>
      </c>
      <c r="H731" s="351">
        <f>SUM(H729:H730)</f>
        <v>1.7025</v>
      </c>
      <c r="I731" s="499"/>
      <c r="L731" s="352"/>
      <c r="M731" s="353"/>
      <c r="N731" s="354"/>
      <c r="O731" s="354"/>
      <c r="P731" s="354"/>
      <c r="Q731" s="354"/>
      <c r="R731" s="354"/>
      <c r="S731" s="354"/>
      <c r="T731" s="355"/>
      <c r="AT731" s="349" t="s">
        <v>155</v>
      </c>
      <c r="AU731" s="349" t="s">
        <v>83</v>
      </c>
      <c r="AV731" s="347" t="s">
        <v>153</v>
      </c>
      <c r="AW731" s="347" t="s">
        <v>34</v>
      </c>
      <c r="AX731" s="347" t="s">
        <v>81</v>
      </c>
      <c r="AY731" s="349" t="s">
        <v>146</v>
      </c>
    </row>
    <row r="732" spans="1:65" s="225" customFormat="1" ht="24.2" customHeight="1">
      <c r="A732" s="222"/>
      <c r="B732" s="223"/>
      <c r="C732" s="314">
        <v>94</v>
      </c>
      <c r="D732" s="314" t="s">
        <v>148</v>
      </c>
      <c r="E732" s="315" t="s">
        <v>2711</v>
      </c>
      <c r="F732" s="344" t="s">
        <v>2712</v>
      </c>
      <c r="G732" s="317" t="s">
        <v>162</v>
      </c>
      <c r="H732" s="318">
        <f>H734</f>
        <v>0.035185</v>
      </c>
      <c r="I732" s="79"/>
      <c r="J732" s="319">
        <f>ROUND(I732*H732,2)</f>
        <v>0</v>
      </c>
      <c r="K732" s="316"/>
      <c r="L732" s="229"/>
      <c r="M732" s="320" t="s">
        <v>1</v>
      </c>
      <c r="N732" s="321" t="s">
        <v>42</v>
      </c>
      <c r="O732" s="322">
        <v>5.33</v>
      </c>
      <c r="P732" s="322">
        <f>O732*H732</f>
        <v>0.18753605</v>
      </c>
      <c r="Q732" s="322">
        <v>2.30102</v>
      </c>
      <c r="R732" s="322">
        <f>Q732*H732</f>
        <v>0.0809613887</v>
      </c>
      <c r="S732" s="322">
        <v>0</v>
      </c>
      <c r="T732" s="323">
        <f>S732*H732</f>
        <v>0</v>
      </c>
      <c r="U732" s="222"/>
      <c r="V732" s="222"/>
      <c r="W732" s="222"/>
      <c r="X732" s="222"/>
      <c r="Y732" s="222"/>
      <c r="Z732" s="222"/>
      <c r="AA732" s="222"/>
      <c r="AB732" s="222"/>
      <c r="AC732" s="222"/>
      <c r="AD732" s="222"/>
      <c r="AE732" s="222"/>
      <c r="AR732" s="324" t="s">
        <v>153</v>
      </c>
      <c r="AT732" s="324" t="s">
        <v>148</v>
      </c>
      <c r="AU732" s="324" t="s">
        <v>83</v>
      </c>
      <c r="AY732" s="214" t="s">
        <v>146</v>
      </c>
      <c r="BE732" s="325">
        <f>IF(N732="základní",J732,0)</f>
        <v>0</v>
      </c>
      <c r="BF732" s="325">
        <f>IF(N732="snížená",J732,0)</f>
        <v>0</v>
      </c>
      <c r="BG732" s="325">
        <f>IF(N732="zákl. přenesená",J732,0)</f>
        <v>0</v>
      </c>
      <c r="BH732" s="325">
        <f>IF(N732="sníž. přenesená",J732,0)</f>
        <v>0</v>
      </c>
      <c r="BI732" s="325">
        <f>IF(N732="nulová",J732,0)</f>
        <v>0</v>
      </c>
      <c r="BJ732" s="214" t="s">
        <v>81</v>
      </c>
      <c r="BK732" s="325">
        <f>ROUND(I732*H732,2)</f>
        <v>0</v>
      </c>
      <c r="BL732" s="214" t="s">
        <v>153</v>
      </c>
      <c r="BM732" s="324" t="s">
        <v>584</v>
      </c>
    </row>
    <row r="733" spans="2:51" s="326" customFormat="1" ht="12">
      <c r="B733" s="327"/>
      <c r="D733" s="328" t="s">
        <v>155</v>
      </c>
      <c r="E733" s="329" t="s">
        <v>1</v>
      </c>
      <c r="F733" s="345" t="s">
        <v>585</v>
      </c>
      <c r="H733" s="329" t="s">
        <v>1</v>
      </c>
      <c r="I733" s="497"/>
      <c r="L733" s="331"/>
      <c r="M733" s="332"/>
      <c r="N733" s="333"/>
      <c r="O733" s="333"/>
      <c r="P733" s="333"/>
      <c r="Q733" s="333"/>
      <c r="R733" s="333"/>
      <c r="S733" s="333"/>
      <c r="T733" s="334"/>
      <c r="AT733" s="329" t="s">
        <v>155</v>
      </c>
      <c r="AU733" s="329" t="s">
        <v>83</v>
      </c>
      <c r="AV733" s="326" t="s">
        <v>81</v>
      </c>
      <c r="AW733" s="326" t="s">
        <v>34</v>
      </c>
      <c r="AX733" s="326" t="s">
        <v>76</v>
      </c>
      <c r="AY733" s="329" t="s">
        <v>146</v>
      </c>
    </row>
    <row r="734" spans="2:51" s="335" customFormat="1" ht="12">
      <c r="B734" s="336"/>
      <c r="D734" s="328" t="s">
        <v>155</v>
      </c>
      <c r="E734" s="337" t="s">
        <v>1</v>
      </c>
      <c r="F734" s="346" t="s">
        <v>2713</v>
      </c>
      <c r="H734" s="339">
        <f>(6.5+4.5+0.5*0.7)*3.1/1000</f>
        <v>0.035185</v>
      </c>
      <c r="I734" s="498"/>
      <c r="L734" s="340"/>
      <c r="M734" s="341"/>
      <c r="N734" s="342"/>
      <c r="O734" s="342"/>
      <c r="P734" s="342"/>
      <c r="Q734" s="342"/>
      <c r="R734" s="342"/>
      <c r="S734" s="342"/>
      <c r="T734" s="343"/>
      <c r="AT734" s="337" t="s">
        <v>155</v>
      </c>
      <c r="AU734" s="337" t="s">
        <v>83</v>
      </c>
      <c r="AV734" s="335" t="s">
        <v>83</v>
      </c>
      <c r="AW734" s="335" t="s">
        <v>34</v>
      </c>
      <c r="AX734" s="335" t="s">
        <v>76</v>
      </c>
      <c r="AY734" s="337" t="s">
        <v>146</v>
      </c>
    </row>
    <row r="735" spans="1:65" s="225" customFormat="1" ht="24.2" customHeight="1">
      <c r="A735" s="222"/>
      <c r="B735" s="223"/>
      <c r="C735" s="314">
        <v>95</v>
      </c>
      <c r="D735" s="314" t="s">
        <v>148</v>
      </c>
      <c r="E735" s="315" t="s">
        <v>587</v>
      </c>
      <c r="F735" s="316" t="s">
        <v>588</v>
      </c>
      <c r="G735" s="317" t="s">
        <v>162</v>
      </c>
      <c r="H735" s="318">
        <f>H724</f>
        <v>0.198</v>
      </c>
      <c r="I735" s="79"/>
      <c r="J735" s="319">
        <f>ROUND(I735*H735,2)</f>
        <v>0</v>
      </c>
      <c r="K735" s="316"/>
      <c r="L735" s="229"/>
      <c r="M735" s="320" t="s">
        <v>1</v>
      </c>
      <c r="N735" s="321" t="s">
        <v>42</v>
      </c>
      <c r="O735" s="322">
        <v>1.35</v>
      </c>
      <c r="P735" s="322">
        <f>O735*H735</f>
        <v>0.26730000000000004</v>
      </c>
      <c r="Q735" s="322">
        <v>0</v>
      </c>
      <c r="R735" s="322">
        <f>Q735*H735</f>
        <v>0</v>
      </c>
      <c r="S735" s="322">
        <v>0</v>
      </c>
      <c r="T735" s="323">
        <f>S735*H735</f>
        <v>0</v>
      </c>
      <c r="U735" s="222"/>
      <c r="V735" s="222"/>
      <c r="W735" s="222"/>
      <c r="X735" s="222"/>
      <c r="Y735" s="222"/>
      <c r="Z735" s="222"/>
      <c r="AA735" s="222"/>
      <c r="AB735" s="222"/>
      <c r="AC735" s="222"/>
      <c r="AD735" s="222"/>
      <c r="AE735" s="222"/>
      <c r="AR735" s="324" t="s">
        <v>153</v>
      </c>
      <c r="AT735" s="324" t="s">
        <v>148</v>
      </c>
      <c r="AU735" s="324" t="s">
        <v>83</v>
      </c>
      <c r="AY735" s="214" t="s">
        <v>146</v>
      </c>
      <c r="BE735" s="325">
        <f>IF(N735="základní",J735,0)</f>
        <v>0</v>
      </c>
      <c r="BF735" s="325">
        <f>IF(N735="snížená",J735,0)</f>
        <v>0</v>
      </c>
      <c r="BG735" s="325">
        <f>IF(N735="zákl. přenesená",J735,0)</f>
        <v>0</v>
      </c>
      <c r="BH735" s="325">
        <f>IF(N735="sníž. přenesená",J735,0)</f>
        <v>0</v>
      </c>
      <c r="BI735" s="325">
        <f>IF(N735="nulová",J735,0)</f>
        <v>0</v>
      </c>
      <c r="BJ735" s="214" t="s">
        <v>81</v>
      </c>
      <c r="BK735" s="325">
        <f>ROUND(I735*H735,2)</f>
        <v>0</v>
      </c>
      <c r="BL735" s="214" t="s">
        <v>153</v>
      </c>
      <c r="BM735" s="324" t="s">
        <v>589</v>
      </c>
    </row>
    <row r="736" spans="1:65" s="225" customFormat="1" ht="15.75" customHeight="1">
      <c r="A736" s="222"/>
      <c r="B736" s="223"/>
      <c r="C736" s="314"/>
      <c r="D736" s="314"/>
      <c r="E736" s="315"/>
      <c r="F736" s="330" t="s">
        <v>245</v>
      </c>
      <c r="G736" s="317"/>
      <c r="H736" s="318"/>
      <c r="I736" s="79"/>
      <c r="J736" s="319"/>
      <c r="K736" s="316"/>
      <c r="L736" s="229"/>
      <c r="M736" s="320"/>
      <c r="N736" s="321"/>
      <c r="O736" s="322"/>
      <c r="P736" s="322"/>
      <c r="Q736" s="322"/>
      <c r="R736" s="322"/>
      <c r="S736" s="322"/>
      <c r="T736" s="323"/>
      <c r="U736" s="222"/>
      <c r="V736" s="222"/>
      <c r="W736" s="222"/>
      <c r="X736" s="222"/>
      <c r="Y736" s="222"/>
      <c r="Z736" s="222"/>
      <c r="AA736" s="222"/>
      <c r="AB736" s="222"/>
      <c r="AC736" s="222"/>
      <c r="AD736" s="222"/>
      <c r="AE736" s="222"/>
      <c r="AR736" s="324"/>
      <c r="AT736" s="324"/>
      <c r="AU736" s="324"/>
      <c r="AY736" s="214"/>
      <c r="BE736" s="325"/>
      <c r="BF736" s="325"/>
      <c r="BG736" s="325"/>
      <c r="BH736" s="325"/>
      <c r="BI736" s="325"/>
      <c r="BJ736" s="214"/>
      <c r="BK736" s="325"/>
      <c r="BL736" s="214"/>
      <c r="BM736" s="324"/>
    </row>
    <row r="737" spans="1:65" s="225" customFormat="1" ht="16.5" customHeight="1">
      <c r="A737" s="222"/>
      <c r="B737" s="223"/>
      <c r="C737" s="314">
        <v>96</v>
      </c>
      <c r="D737" s="314" t="s">
        <v>148</v>
      </c>
      <c r="E737" s="315" t="s">
        <v>591</v>
      </c>
      <c r="F737" s="316" t="s">
        <v>592</v>
      </c>
      <c r="G737" s="317" t="s">
        <v>151</v>
      </c>
      <c r="H737" s="318">
        <v>0.597</v>
      </c>
      <c r="I737" s="79"/>
      <c r="J737" s="319">
        <f>ROUND(I737*H737,2)</f>
        <v>0</v>
      </c>
      <c r="K737" s="316"/>
      <c r="L737" s="229"/>
      <c r="M737" s="320" t="s">
        <v>1</v>
      </c>
      <c r="N737" s="321" t="s">
        <v>42</v>
      </c>
      <c r="O737" s="322">
        <v>0.396</v>
      </c>
      <c r="P737" s="322">
        <f>O737*H737</f>
        <v>0.236412</v>
      </c>
      <c r="Q737" s="322">
        <v>0.01352464</v>
      </c>
      <c r="R737" s="322">
        <f>Q737*H737</f>
        <v>0.00807421008</v>
      </c>
      <c r="S737" s="322">
        <v>0</v>
      </c>
      <c r="T737" s="323">
        <f>S737*H737</f>
        <v>0</v>
      </c>
      <c r="U737" s="222"/>
      <c r="V737" s="222"/>
      <c r="W737" s="222"/>
      <c r="X737" s="222"/>
      <c r="Y737" s="222"/>
      <c r="Z737" s="222"/>
      <c r="AA737" s="222"/>
      <c r="AB737" s="222"/>
      <c r="AC737" s="222"/>
      <c r="AD737" s="222"/>
      <c r="AE737" s="222"/>
      <c r="AR737" s="324" t="s">
        <v>153</v>
      </c>
      <c r="AT737" s="324" t="s">
        <v>148</v>
      </c>
      <c r="AU737" s="324" t="s">
        <v>83</v>
      </c>
      <c r="AY737" s="214" t="s">
        <v>146</v>
      </c>
      <c r="BE737" s="325">
        <f>IF(N737="základní",J737,0)</f>
        <v>0</v>
      </c>
      <c r="BF737" s="325">
        <f>IF(N737="snížená",J737,0)</f>
        <v>0</v>
      </c>
      <c r="BG737" s="325">
        <f>IF(N737="zákl. přenesená",J737,0)</f>
        <v>0</v>
      </c>
      <c r="BH737" s="325">
        <f>IF(N737="sníž. přenesená",J737,0)</f>
        <v>0</v>
      </c>
      <c r="BI737" s="325">
        <f>IF(N737="nulová",J737,0)</f>
        <v>0</v>
      </c>
      <c r="BJ737" s="214" t="s">
        <v>81</v>
      </c>
      <c r="BK737" s="325">
        <f>ROUND(I737*H737,2)</f>
        <v>0</v>
      </c>
      <c r="BL737" s="214" t="s">
        <v>153</v>
      </c>
      <c r="BM737" s="324" t="s">
        <v>593</v>
      </c>
    </row>
    <row r="738" spans="2:51" s="326" customFormat="1" ht="12">
      <c r="B738" s="327"/>
      <c r="D738" s="328" t="s">
        <v>155</v>
      </c>
      <c r="E738" s="329" t="s">
        <v>1</v>
      </c>
      <c r="F738" s="330" t="s">
        <v>245</v>
      </c>
      <c r="H738" s="329" t="s">
        <v>1</v>
      </c>
      <c r="I738" s="497"/>
      <c r="L738" s="331"/>
      <c r="M738" s="332"/>
      <c r="N738" s="333"/>
      <c r="O738" s="333"/>
      <c r="P738" s="333"/>
      <c r="Q738" s="333"/>
      <c r="R738" s="333"/>
      <c r="S738" s="333"/>
      <c r="T738" s="334"/>
      <c r="AT738" s="329" t="s">
        <v>155</v>
      </c>
      <c r="AU738" s="329" t="s">
        <v>83</v>
      </c>
      <c r="AV738" s="326" t="s">
        <v>81</v>
      </c>
      <c r="AW738" s="326" t="s">
        <v>34</v>
      </c>
      <c r="AX738" s="326" t="s">
        <v>76</v>
      </c>
      <c r="AY738" s="329" t="s">
        <v>146</v>
      </c>
    </row>
    <row r="739" spans="2:51" s="335" customFormat="1" ht="12">
      <c r="B739" s="336"/>
      <c r="D739" s="328" t="s">
        <v>155</v>
      </c>
      <c r="E739" s="337" t="s">
        <v>1</v>
      </c>
      <c r="F739" s="338" t="s">
        <v>594</v>
      </c>
      <c r="H739" s="339">
        <v>0.597</v>
      </c>
      <c r="I739" s="498"/>
      <c r="L739" s="340"/>
      <c r="M739" s="341"/>
      <c r="N739" s="342"/>
      <c r="O739" s="342"/>
      <c r="P739" s="342"/>
      <c r="Q739" s="342"/>
      <c r="R739" s="342"/>
      <c r="S739" s="342"/>
      <c r="T739" s="343"/>
      <c r="AT739" s="337" t="s">
        <v>155</v>
      </c>
      <c r="AU739" s="337" t="s">
        <v>83</v>
      </c>
      <c r="AV739" s="335" t="s">
        <v>83</v>
      </c>
      <c r="AW739" s="335" t="s">
        <v>34</v>
      </c>
      <c r="AX739" s="335" t="s">
        <v>81</v>
      </c>
      <c r="AY739" s="337" t="s">
        <v>146</v>
      </c>
    </row>
    <row r="740" spans="1:65" s="225" customFormat="1" ht="16.5" customHeight="1">
      <c r="A740" s="222"/>
      <c r="B740" s="223"/>
      <c r="C740" s="314">
        <v>97</v>
      </c>
      <c r="D740" s="314" t="s">
        <v>148</v>
      </c>
      <c r="E740" s="315" t="s">
        <v>596</v>
      </c>
      <c r="F740" s="316" t="s">
        <v>597</v>
      </c>
      <c r="G740" s="317" t="s">
        <v>151</v>
      </c>
      <c r="H740" s="318">
        <v>0.597</v>
      </c>
      <c r="I740" s="79"/>
      <c r="J740" s="319">
        <f>ROUND(I740*H740,2)</f>
        <v>0</v>
      </c>
      <c r="K740" s="316"/>
      <c r="L740" s="229"/>
      <c r="M740" s="320" t="s">
        <v>1</v>
      </c>
      <c r="N740" s="321" t="s">
        <v>42</v>
      </c>
      <c r="O740" s="322">
        <v>0.24</v>
      </c>
      <c r="P740" s="322">
        <f>O740*H740</f>
        <v>0.14328</v>
      </c>
      <c r="Q740" s="322">
        <v>0</v>
      </c>
      <c r="R740" s="322">
        <f>Q740*H740</f>
        <v>0</v>
      </c>
      <c r="S740" s="322">
        <v>0</v>
      </c>
      <c r="T740" s="323">
        <f>S740*H740</f>
        <v>0</v>
      </c>
      <c r="U740" s="222"/>
      <c r="V740" s="222"/>
      <c r="W740" s="222"/>
      <c r="X740" s="222"/>
      <c r="Y740" s="222"/>
      <c r="Z740" s="222"/>
      <c r="AA740" s="222"/>
      <c r="AB740" s="222"/>
      <c r="AC740" s="222"/>
      <c r="AD740" s="222"/>
      <c r="AE740" s="222"/>
      <c r="AR740" s="324" t="s">
        <v>153</v>
      </c>
      <c r="AT740" s="324" t="s">
        <v>148</v>
      </c>
      <c r="AU740" s="324" t="s">
        <v>83</v>
      </c>
      <c r="AY740" s="214" t="s">
        <v>146</v>
      </c>
      <c r="BE740" s="325">
        <f>IF(N740="základní",J740,0)</f>
        <v>0</v>
      </c>
      <c r="BF740" s="325">
        <f>IF(N740="snížená",J740,0)</f>
        <v>0</v>
      </c>
      <c r="BG740" s="325">
        <f>IF(N740="zákl. přenesená",J740,0)</f>
        <v>0</v>
      </c>
      <c r="BH740" s="325">
        <f>IF(N740="sníž. přenesená",J740,0)</f>
        <v>0</v>
      </c>
      <c r="BI740" s="325">
        <f>IF(N740="nulová",J740,0)</f>
        <v>0</v>
      </c>
      <c r="BJ740" s="214" t="s">
        <v>81</v>
      </c>
      <c r="BK740" s="325">
        <f>ROUND(I740*H740,2)</f>
        <v>0</v>
      </c>
      <c r="BL740" s="214" t="s">
        <v>153</v>
      </c>
      <c r="BM740" s="324" t="s">
        <v>598</v>
      </c>
    </row>
    <row r="741" spans="1:65" s="225" customFormat="1" ht="24.2" customHeight="1">
      <c r="A741" s="222"/>
      <c r="B741" s="223"/>
      <c r="C741" s="314">
        <v>98</v>
      </c>
      <c r="D741" s="314" t="s">
        <v>148</v>
      </c>
      <c r="E741" s="315"/>
      <c r="F741" s="344" t="s">
        <v>3693</v>
      </c>
      <c r="G741" s="317" t="s">
        <v>151</v>
      </c>
      <c r="H741" s="318">
        <f>H767</f>
        <v>214.46</v>
      </c>
      <c r="I741" s="79"/>
      <c r="J741" s="319">
        <f>ROUND(I741*H741,2)</f>
        <v>0</v>
      </c>
      <c r="K741" s="316"/>
      <c r="L741" s="229"/>
      <c r="M741" s="320" t="s">
        <v>1</v>
      </c>
      <c r="N741" s="321" t="s">
        <v>42</v>
      </c>
      <c r="O741" s="322">
        <v>0.305</v>
      </c>
      <c r="P741" s="322">
        <f>O741*H741</f>
        <v>65.4103</v>
      </c>
      <c r="Q741" s="322">
        <v>0.1122</v>
      </c>
      <c r="R741" s="322">
        <f>Q741*H741</f>
        <v>24.062412</v>
      </c>
      <c r="S741" s="322">
        <v>0</v>
      </c>
      <c r="T741" s="323">
        <f>S741*H741</f>
        <v>0</v>
      </c>
      <c r="U741" s="222"/>
      <c r="V741" s="222"/>
      <c r="W741" s="222"/>
      <c r="X741" s="222"/>
      <c r="Y741" s="222"/>
      <c r="Z741" s="222"/>
      <c r="AA741" s="222"/>
      <c r="AB741" s="222"/>
      <c r="AC741" s="222"/>
      <c r="AD741" s="222"/>
      <c r="AE741" s="222"/>
      <c r="AR741" s="324" t="s">
        <v>153</v>
      </c>
      <c r="AT741" s="324" t="s">
        <v>148</v>
      </c>
      <c r="AU741" s="324" t="s">
        <v>83</v>
      </c>
      <c r="AY741" s="214" t="s">
        <v>146</v>
      </c>
      <c r="BE741" s="325">
        <f>IF(N741="základní",J741,0)</f>
        <v>0</v>
      </c>
      <c r="BF741" s="325">
        <f>IF(N741="snížená",J741,0)</f>
        <v>0</v>
      </c>
      <c r="BG741" s="325">
        <f>IF(N741="zákl. přenesená",J741,0)</f>
        <v>0</v>
      </c>
      <c r="BH741" s="325">
        <f>IF(N741="sníž. přenesená",J741,0)</f>
        <v>0</v>
      </c>
      <c r="BI741" s="325">
        <f>IF(N741="nulová",J741,0)</f>
        <v>0</v>
      </c>
      <c r="BJ741" s="214" t="s">
        <v>81</v>
      </c>
      <c r="BK741" s="325">
        <f>ROUND(I741*H741,2)</f>
        <v>0</v>
      </c>
      <c r="BL741" s="214" t="s">
        <v>153</v>
      </c>
      <c r="BM741" s="324" t="s">
        <v>2397</v>
      </c>
    </row>
    <row r="742" spans="2:51" s="326" customFormat="1" ht="12">
      <c r="B742" s="327"/>
      <c r="D742" s="328" t="s">
        <v>155</v>
      </c>
      <c r="E742" s="329" t="s">
        <v>1</v>
      </c>
      <c r="F742" s="330" t="s">
        <v>3694</v>
      </c>
      <c r="H742" s="416">
        <f>SUM(H743:H758)</f>
        <v>146.93</v>
      </c>
      <c r="I742" s="497"/>
      <c r="L742" s="331"/>
      <c r="M742" s="332"/>
      <c r="N742" s="333"/>
      <c r="O742" s="333"/>
      <c r="P742" s="333"/>
      <c r="Q742" s="333"/>
      <c r="R742" s="333"/>
      <c r="S742" s="333"/>
      <c r="T742" s="334"/>
      <c r="AT742" s="329" t="s">
        <v>155</v>
      </c>
      <c r="AU742" s="329" t="s">
        <v>83</v>
      </c>
      <c r="AV742" s="326" t="s">
        <v>81</v>
      </c>
      <c r="AW742" s="326" t="s">
        <v>34</v>
      </c>
      <c r="AX742" s="326" t="s">
        <v>76</v>
      </c>
      <c r="AY742" s="329" t="s">
        <v>146</v>
      </c>
    </row>
    <row r="743" spans="2:51" s="335" customFormat="1" ht="12">
      <c r="B743" s="336"/>
      <c r="D743" s="328" t="s">
        <v>155</v>
      </c>
      <c r="E743" s="337" t="s">
        <v>1</v>
      </c>
      <c r="F743" s="338" t="s">
        <v>3706</v>
      </c>
      <c r="H743" s="339">
        <v>13.16</v>
      </c>
      <c r="I743" s="498"/>
      <c r="L743" s="340"/>
      <c r="M743" s="341"/>
      <c r="N743" s="342"/>
      <c r="O743" s="342"/>
      <c r="P743" s="342"/>
      <c r="Q743" s="342"/>
      <c r="R743" s="342"/>
      <c r="S743" s="342"/>
      <c r="T743" s="343"/>
      <c r="AT743" s="337" t="s">
        <v>155</v>
      </c>
      <c r="AU743" s="337" t="s">
        <v>83</v>
      </c>
      <c r="AV743" s="335" t="s">
        <v>83</v>
      </c>
      <c r="AW743" s="335" t="s">
        <v>34</v>
      </c>
      <c r="AX743" s="335" t="s">
        <v>76</v>
      </c>
      <c r="AY743" s="337" t="s">
        <v>146</v>
      </c>
    </row>
    <row r="744" spans="2:51" s="335" customFormat="1" ht="12">
      <c r="B744" s="336"/>
      <c r="D744" s="328" t="s">
        <v>155</v>
      </c>
      <c r="E744" s="337" t="s">
        <v>1</v>
      </c>
      <c r="F744" s="338" t="s">
        <v>3707</v>
      </c>
      <c r="H744" s="339">
        <v>26.4</v>
      </c>
      <c r="I744" s="498"/>
      <c r="L744" s="340"/>
      <c r="M744" s="341"/>
      <c r="N744" s="342"/>
      <c r="O744" s="342"/>
      <c r="P744" s="342"/>
      <c r="Q744" s="342"/>
      <c r="R744" s="342"/>
      <c r="S744" s="342"/>
      <c r="T744" s="343"/>
      <c r="AT744" s="337" t="s">
        <v>155</v>
      </c>
      <c r="AU744" s="337" t="s">
        <v>83</v>
      </c>
      <c r="AV744" s="335" t="s">
        <v>83</v>
      </c>
      <c r="AW744" s="335" t="s">
        <v>34</v>
      </c>
      <c r="AX744" s="335" t="s">
        <v>76</v>
      </c>
      <c r="AY744" s="337" t="s">
        <v>146</v>
      </c>
    </row>
    <row r="745" spans="2:51" s="335" customFormat="1" ht="12">
      <c r="B745" s="336"/>
      <c r="D745" s="328" t="s">
        <v>155</v>
      </c>
      <c r="E745" s="337" t="s">
        <v>1</v>
      </c>
      <c r="F745" s="338" t="s">
        <v>3708</v>
      </c>
      <c r="H745" s="339">
        <v>16.74</v>
      </c>
      <c r="I745" s="498"/>
      <c r="L745" s="340"/>
      <c r="M745" s="341"/>
      <c r="N745" s="342"/>
      <c r="O745" s="342"/>
      <c r="P745" s="342"/>
      <c r="Q745" s="342"/>
      <c r="R745" s="342"/>
      <c r="S745" s="342"/>
      <c r="T745" s="343"/>
      <c r="AT745" s="337" t="s">
        <v>155</v>
      </c>
      <c r="AU745" s="337" t="s">
        <v>83</v>
      </c>
      <c r="AV745" s="335" t="s">
        <v>83</v>
      </c>
      <c r="AW745" s="335" t="s">
        <v>34</v>
      </c>
      <c r="AX745" s="335" t="s">
        <v>76</v>
      </c>
      <c r="AY745" s="337" t="s">
        <v>146</v>
      </c>
    </row>
    <row r="746" spans="2:51" s="335" customFormat="1" ht="12">
      <c r="B746" s="336"/>
      <c r="D746" s="328" t="s">
        <v>155</v>
      </c>
      <c r="E746" s="337" t="s">
        <v>1</v>
      </c>
      <c r="F746" s="338" t="s">
        <v>3709</v>
      </c>
      <c r="H746" s="339">
        <v>15.04</v>
      </c>
      <c r="I746" s="498"/>
      <c r="L746" s="340"/>
      <c r="M746" s="341"/>
      <c r="N746" s="342"/>
      <c r="O746" s="342"/>
      <c r="P746" s="342"/>
      <c r="Q746" s="342"/>
      <c r="R746" s="342"/>
      <c r="S746" s="342"/>
      <c r="T746" s="343"/>
      <c r="AT746" s="337" t="s">
        <v>155</v>
      </c>
      <c r="AU746" s="337" t="s">
        <v>83</v>
      </c>
      <c r="AV746" s="335" t="s">
        <v>83</v>
      </c>
      <c r="AW746" s="335" t="s">
        <v>34</v>
      </c>
      <c r="AX746" s="335" t="s">
        <v>76</v>
      </c>
      <c r="AY746" s="337" t="s">
        <v>146</v>
      </c>
    </row>
    <row r="747" spans="2:51" s="335" customFormat="1" ht="12">
      <c r="B747" s="336"/>
      <c r="D747" s="328" t="s">
        <v>155</v>
      </c>
      <c r="E747" s="337" t="s">
        <v>1</v>
      </c>
      <c r="F747" s="338" t="s">
        <v>3710</v>
      </c>
      <c r="H747" s="339">
        <v>3.06</v>
      </c>
      <c r="I747" s="498"/>
      <c r="L747" s="340"/>
      <c r="M747" s="341"/>
      <c r="N747" s="342"/>
      <c r="O747" s="342"/>
      <c r="P747" s="342"/>
      <c r="Q747" s="342"/>
      <c r="R747" s="342"/>
      <c r="S747" s="342"/>
      <c r="T747" s="343"/>
      <c r="AT747" s="337" t="s">
        <v>155</v>
      </c>
      <c r="AU747" s="337" t="s">
        <v>83</v>
      </c>
      <c r="AV747" s="335" t="s">
        <v>83</v>
      </c>
      <c r="AW747" s="335" t="s">
        <v>34</v>
      </c>
      <c r="AX747" s="335" t="s">
        <v>76</v>
      </c>
      <c r="AY747" s="337" t="s">
        <v>146</v>
      </c>
    </row>
    <row r="748" spans="2:51" s="335" customFormat="1" ht="12">
      <c r="B748" s="336"/>
      <c r="D748" s="328" t="s">
        <v>155</v>
      </c>
      <c r="E748" s="337" t="s">
        <v>1</v>
      </c>
      <c r="F748" s="338" t="s">
        <v>359</v>
      </c>
      <c r="H748" s="339">
        <v>1.48</v>
      </c>
      <c r="I748" s="498"/>
      <c r="L748" s="340"/>
      <c r="M748" s="341"/>
      <c r="N748" s="342"/>
      <c r="O748" s="342"/>
      <c r="P748" s="342"/>
      <c r="Q748" s="342"/>
      <c r="R748" s="342"/>
      <c r="S748" s="342"/>
      <c r="T748" s="343"/>
      <c r="AT748" s="337" t="s">
        <v>155</v>
      </c>
      <c r="AU748" s="337" t="s">
        <v>83</v>
      </c>
      <c r="AV748" s="335" t="s">
        <v>83</v>
      </c>
      <c r="AW748" s="335" t="s">
        <v>34</v>
      </c>
      <c r="AX748" s="335" t="s">
        <v>76</v>
      </c>
      <c r="AY748" s="337" t="s">
        <v>146</v>
      </c>
    </row>
    <row r="749" spans="2:51" s="335" customFormat="1" ht="12">
      <c r="B749" s="336"/>
      <c r="D749" s="328" t="s">
        <v>155</v>
      </c>
      <c r="E749" s="337" t="s">
        <v>1</v>
      </c>
      <c r="F749" s="338" t="s">
        <v>349</v>
      </c>
      <c r="H749" s="339">
        <v>7.37</v>
      </c>
      <c r="I749" s="498"/>
      <c r="L749" s="340"/>
      <c r="M749" s="341"/>
      <c r="N749" s="342"/>
      <c r="O749" s="342"/>
      <c r="P749" s="342"/>
      <c r="Q749" s="342"/>
      <c r="R749" s="342"/>
      <c r="S749" s="342"/>
      <c r="T749" s="343"/>
      <c r="AT749" s="337" t="s">
        <v>155</v>
      </c>
      <c r="AU749" s="337" t="s">
        <v>83</v>
      </c>
      <c r="AV749" s="335" t="s">
        <v>83</v>
      </c>
      <c r="AW749" s="335" t="s">
        <v>34</v>
      </c>
      <c r="AX749" s="335" t="s">
        <v>76</v>
      </c>
      <c r="AY749" s="337" t="s">
        <v>146</v>
      </c>
    </row>
    <row r="750" spans="2:51" s="335" customFormat="1" ht="12">
      <c r="B750" s="336"/>
      <c r="D750" s="328" t="s">
        <v>155</v>
      </c>
      <c r="E750" s="337" t="s">
        <v>1</v>
      </c>
      <c r="F750" s="338" t="s">
        <v>364</v>
      </c>
      <c r="H750" s="339">
        <v>2.1</v>
      </c>
      <c r="I750" s="498"/>
      <c r="L750" s="340"/>
      <c r="M750" s="341"/>
      <c r="N750" s="342"/>
      <c r="O750" s="342"/>
      <c r="P750" s="342"/>
      <c r="Q750" s="342"/>
      <c r="R750" s="342"/>
      <c r="S750" s="342"/>
      <c r="T750" s="343"/>
      <c r="AT750" s="337" t="s">
        <v>155</v>
      </c>
      <c r="AU750" s="337" t="s">
        <v>83</v>
      </c>
      <c r="AV750" s="335" t="s">
        <v>83</v>
      </c>
      <c r="AW750" s="335" t="s">
        <v>34</v>
      </c>
      <c r="AX750" s="335" t="s">
        <v>76</v>
      </c>
      <c r="AY750" s="337" t="s">
        <v>146</v>
      </c>
    </row>
    <row r="751" spans="2:51" s="335" customFormat="1" ht="12">
      <c r="B751" s="336"/>
      <c r="D751" s="328" t="s">
        <v>155</v>
      </c>
      <c r="E751" s="337" t="s">
        <v>1</v>
      </c>
      <c r="F751" s="338" t="s">
        <v>3711</v>
      </c>
      <c r="H751" s="339">
        <v>2.18</v>
      </c>
      <c r="I751" s="498"/>
      <c r="L751" s="340"/>
      <c r="M751" s="341"/>
      <c r="N751" s="342"/>
      <c r="O751" s="342"/>
      <c r="P751" s="342"/>
      <c r="Q751" s="342"/>
      <c r="R751" s="342"/>
      <c r="S751" s="342"/>
      <c r="T751" s="343"/>
      <c r="AT751" s="337" t="s">
        <v>155</v>
      </c>
      <c r="AU751" s="337" t="s">
        <v>83</v>
      </c>
      <c r="AV751" s="335" t="s">
        <v>83</v>
      </c>
      <c r="AW751" s="335" t="s">
        <v>34</v>
      </c>
      <c r="AX751" s="335" t="s">
        <v>76</v>
      </c>
      <c r="AY751" s="337" t="s">
        <v>146</v>
      </c>
    </row>
    <row r="752" spans="2:51" s="335" customFormat="1" ht="12">
      <c r="B752" s="336"/>
      <c r="D752" s="328" t="s">
        <v>155</v>
      </c>
      <c r="E752" s="337" t="s">
        <v>1</v>
      </c>
      <c r="F752" s="338" t="s">
        <v>3696</v>
      </c>
      <c r="H752" s="339">
        <v>6.28</v>
      </c>
      <c r="I752" s="498"/>
      <c r="L752" s="340"/>
      <c r="M752" s="341"/>
      <c r="N752" s="342"/>
      <c r="O752" s="342"/>
      <c r="P752" s="342"/>
      <c r="Q752" s="342"/>
      <c r="R752" s="342"/>
      <c r="S752" s="342"/>
      <c r="T752" s="343"/>
      <c r="AT752" s="337" t="s">
        <v>155</v>
      </c>
      <c r="AU752" s="337" t="s">
        <v>83</v>
      </c>
      <c r="AV752" s="335" t="s">
        <v>83</v>
      </c>
      <c r="AW752" s="335" t="s">
        <v>34</v>
      </c>
      <c r="AX752" s="335" t="s">
        <v>76</v>
      </c>
      <c r="AY752" s="337" t="s">
        <v>146</v>
      </c>
    </row>
    <row r="753" spans="2:51" s="335" customFormat="1" ht="12">
      <c r="B753" s="336"/>
      <c r="D753" s="328" t="s">
        <v>155</v>
      </c>
      <c r="E753" s="337" t="s">
        <v>1</v>
      </c>
      <c r="F753" s="338" t="s">
        <v>3697</v>
      </c>
      <c r="H753" s="339">
        <v>1.5</v>
      </c>
      <c r="I753" s="498"/>
      <c r="L753" s="340"/>
      <c r="M753" s="341"/>
      <c r="N753" s="342"/>
      <c r="O753" s="342"/>
      <c r="P753" s="342"/>
      <c r="Q753" s="342"/>
      <c r="R753" s="342"/>
      <c r="S753" s="342"/>
      <c r="T753" s="343"/>
      <c r="AT753" s="337" t="s">
        <v>155</v>
      </c>
      <c r="AU753" s="337" t="s">
        <v>83</v>
      </c>
      <c r="AV753" s="335" t="s">
        <v>83</v>
      </c>
      <c r="AW753" s="335" t="s">
        <v>34</v>
      </c>
      <c r="AX753" s="335" t="s">
        <v>76</v>
      </c>
      <c r="AY753" s="337" t="s">
        <v>146</v>
      </c>
    </row>
    <row r="754" spans="2:51" s="335" customFormat="1" ht="12">
      <c r="B754" s="336"/>
      <c r="D754" s="328" t="s">
        <v>155</v>
      </c>
      <c r="E754" s="337" t="s">
        <v>1</v>
      </c>
      <c r="F754" s="338" t="s">
        <v>3698</v>
      </c>
      <c r="H754" s="339">
        <v>1.45</v>
      </c>
      <c r="I754" s="498"/>
      <c r="L754" s="340"/>
      <c r="M754" s="341"/>
      <c r="N754" s="342"/>
      <c r="O754" s="342"/>
      <c r="P754" s="342"/>
      <c r="Q754" s="342"/>
      <c r="R754" s="342"/>
      <c r="S754" s="342"/>
      <c r="T754" s="343"/>
      <c r="AT754" s="337" t="s">
        <v>155</v>
      </c>
      <c r="AU754" s="337" t="s">
        <v>83</v>
      </c>
      <c r="AV754" s="335" t="s">
        <v>83</v>
      </c>
      <c r="AW754" s="335" t="s">
        <v>34</v>
      </c>
      <c r="AX754" s="335" t="s">
        <v>76</v>
      </c>
      <c r="AY754" s="337" t="s">
        <v>146</v>
      </c>
    </row>
    <row r="755" spans="2:51" s="335" customFormat="1" ht="12">
      <c r="B755" s="336"/>
      <c r="D755" s="328" t="s">
        <v>155</v>
      </c>
      <c r="E755" s="337" t="s">
        <v>1</v>
      </c>
      <c r="F755" s="338" t="s">
        <v>352</v>
      </c>
      <c r="H755" s="339">
        <v>18.5</v>
      </c>
      <c r="I755" s="498"/>
      <c r="L755" s="340"/>
      <c r="M755" s="341"/>
      <c r="N755" s="342"/>
      <c r="O755" s="342"/>
      <c r="P755" s="342"/>
      <c r="Q755" s="342"/>
      <c r="R755" s="342"/>
      <c r="S755" s="342"/>
      <c r="T755" s="343"/>
      <c r="AT755" s="337" t="s">
        <v>155</v>
      </c>
      <c r="AU755" s="337" t="s">
        <v>83</v>
      </c>
      <c r="AV755" s="335" t="s">
        <v>83</v>
      </c>
      <c r="AW755" s="335" t="s">
        <v>34</v>
      </c>
      <c r="AX755" s="335" t="s">
        <v>76</v>
      </c>
      <c r="AY755" s="337" t="s">
        <v>146</v>
      </c>
    </row>
    <row r="756" spans="2:51" s="335" customFormat="1" ht="12">
      <c r="B756" s="336"/>
      <c r="D756" s="328" t="s">
        <v>155</v>
      </c>
      <c r="E756" s="337" t="s">
        <v>1</v>
      </c>
      <c r="F756" s="338" t="s">
        <v>353</v>
      </c>
      <c r="H756" s="339">
        <v>7.13</v>
      </c>
      <c r="I756" s="498"/>
      <c r="L756" s="340"/>
      <c r="M756" s="341"/>
      <c r="N756" s="342"/>
      <c r="O756" s="342"/>
      <c r="P756" s="342"/>
      <c r="Q756" s="342"/>
      <c r="R756" s="342"/>
      <c r="S756" s="342"/>
      <c r="T756" s="343"/>
      <c r="AT756" s="337" t="s">
        <v>155</v>
      </c>
      <c r="AU756" s="337" t="s">
        <v>83</v>
      </c>
      <c r="AV756" s="335" t="s">
        <v>83</v>
      </c>
      <c r="AW756" s="335" t="s">
        <v>34</v>
      </c>
      <c r="AX756" s="335" t="s">
        <v>76</v>
      </c>
      <c r="AY756" s="337" t="s">
        <v>146</v>
      </c>
    </row>
    <row r="757" spans="2:51" s="335" customFormat="1" ht="12">
      <c r="B757" s="336"/>
      <c r="D757" s="328" t="s">
        <v>155</v>
      </c>
      <c r="E757" s="337" t="s">
        <v>1</v>
      </c>
      <c r="F757" s="338" t="s">
        <v>3699</v>
      </c>
      <c r="H757" s="339">
        <v>14.98</v>
      </c>
      <c r="I757" s="498"/>
      <c r="L757" s="340"/>
      <c r="M757" s="341"/>
      <c r="N757" s="342"/>
      <c r="O757" s="342"/>
      <c r="P757" s="342"/>
      <c r="Q757" s="342"/>
      <c r="R757" s="342"/>
      <c r="S757" s="342"/>
      <c r="T757" s="343"/>
      <c r="AT757" s="337" t="s">
        <v>155</v>
      </c>
      <c r="AU757" s="337" t="s">
        <v>83</v>
      </c>
      <c r="AV757" s="335" t="s">
        <v>83</v>
      </c>
      <c r="AW757" s="335" t="s">
        <v>34</v>
      </c>
      <c r="AX757" s="335" t="s">
        <v>76</v>
      </c>
      <c r="AY757" s="337" t="s">
        <v>146</v>
      </c>
    </row>
    <row r="758" spans="2:51" s="335" customFormat="1" ht="12">
      <c r="B758" s="336"/>
      <c r="D758" s="328" t="s">
        <v>155</v>
      </c>
      <c r="E758" s="337" t="s">
        <v>1</v>
      </c>
      <c r="F758" s="338" t="s">
        <v>3700</v>
      </c>
      <c r="H758" s="339">
        <v>9.56</v>
      </c>
      <c r="I758" s="498"/>
      <c r="L758" s="340"/>
      <c r="M758" s="341"/>
      <c r="N758" s="342"/>
      <c r="O758" s="342"/>
      <c r="P758" s="342"/>
      <c r="Q758" s="342"/>
      <c r="R758" s="342"/>
      <c r="S758" s="342"/>
      <c r="T758" s="343"/>
      <c r="AT758" s="337" t="s">
        <v>155</v>
      </c>
      <c r="AU758" s="337" t="s">
        <v>83</v>
      </c>
      <c r="AV758" s="335" t="s">
        <v>83</v>
      </c>
      <c r="AW758" s="335" t="s">
        <v>34</v>
      </c>
      <c r="AX758" s="335" t="s">
        <v>76</v>
      </c>
      <c r="AY758" s="337" t="s">
        <v>146</v>
      </c>
    </row>
    <row r="759" spans="2:51" s="326" customFormat="1" ht="12">
      <c r="B759" s="327"/>
      <c r="D759" s="328" t="s">
        <v>155</v>
      </c>
      <c r="E759" s="329" t="s">
        <v>1</v>
      </c>
      <c r="F759" s="330" t="s">
        <v>3695</v>
      </c>
      <c r="H759" s="416">
        <f>SUM(H760:H766)</f>
        <v>67.53</v>
      </c>
      <c r="I759" s="497"/>
      <c r="L759" s="331"/>
      <c r="M759" s="332"/>
      <c r="N759" s="333"/>
      <c r="O759" s="333"/>
      <c r="P759" s="333"/>
      <c r="Q759" s="333"/>
      <c r="R759" s="333"/>
      <c r="S759" s="333"/>
      <c r="T759" s="334"/>
      <c r="AT759" s="329" t="s">
        <v>155</v>
      </c>
      <c r="AU759" s="329" t="s">
        <v>83</v>
      </c>
      <c r="AV759" s="326" t="s">
        <v>81</v>
      </c>
      <c r="AW759" s="326" t="s">
        <v>34</v>
      </c>
      <c r="AX759" s="326" t="s">
        <v>76</v>
      </c>
      <c r="AY759" s="329" t="s">
        <v>146</v>
      </c>
    </row>
    <row r="760" spans="2:51" s="335" customFormat="1" ht="12">
      <c r="B760" s="336"/>
      <c r="D760" s="328" t="s">
        <v>155</v>
      </c>
      <c r="E760" s="337" t="s">
        <v>1</v>
      </c>
      <c r="F760" s="346" t="s">
        <v>3701</v>
      </c>
      <c r="H760" s="339">
        <v>9.84</v>
      </c>
      <c r="I760" s="498"/>
      <c r="L760" s="340"/>
      <c r="M760" s="341"/>
      <c r="N760" s="342"/>
      <c r="O760" s="342"/>
      <c r="P760" s="342"/>
      <c r="Q760" s="342"/>
      <c r="R760" s="342"/>
      <c r="S760" s="342"/>
      <c r="T760" s="343"/>
      <c r="AT760" s="337" t="s">
        <v>155</v>
      </c>
      <c r="AU760" s="337" t="s">
        <v>83</v>
      </c>
      <c r="AV760" s="335" t="s">
        <v>83</v>
      </c>
      <c r="AW760" s="335" t="s">
        <v>34</v>
      </c>
      <c r="AX760" s="335" t="s">
        <v>76</v>
      </c>
      <c r="AY760" s="337" t="s">
        <v>146</v>
      </c>
    </row>
    <row r="761" spans="2:51" s="335" customFormat="1" ht="12">
      <c r="B761" s="336"/>
      <c r="D761" s="328" t="s">
        <v>155</v>
      </c>
      <c r="E761" s="337" t="s">
        <v>1</v>
      </c>
      <c r="F761" s="346" t="s">
        <v>3705</v>
      </c>
      <c r="H761" s="339">
        <v>3.4</v>
      </c>
      <c r="I761" s="498"/>
      <c r="L761" s="340"/>
      <c r="M761" s="341"/>
      <c r="N761" s="342"/>
      <c r="O761" s="342"/>
      <c r="P761" s="342"/>
      <c r="Q761" s="342"/>
      <c r="R761" s="342"/>
      <c r="S761" s="342"/>
      <c r="T761" s="343"/>
      <c r="AT761" s="337" t="s">
        <v>155</v>
      </c>
      <c r="AU761" s="337" t="s">
        <v>83</v>
      </c>
      <c r="AV761" s="335" t="s">
        <v>83</v>
      </c>
      <c r="AW761" s="335" t="s">
        <v>34</v>
      </c>
      <c r="AX761" s="335" t="s">
        <v>76</v>
      </c>
      <c r="AY761" s="337" t="s">
        <v>146</v>
      </c>
    </row>
    <row r="762" spans="2:51" s="335" customFormat="1" ht="12">
      <c r="B762" s="336"/>
      <c r="D762" s="328" t="s">
        <v>155</v>
      </c>
      <c r="E762" s="337" t="s">
        <v>1</v>
      </c>
      <c r="F762" s="346" t="s">
        <v>279</v>
      </c>
      <c r="H762" s="339">
        <v>1.4</v>
      </c>
      <c r="I762" s="498"/>
      <c r="L762" s="340"/>
      <c r="M762" s="341"/>
      <c r="N762" s="342"/>
      <c r="O762" s="342"/>
      <c r="P762" s="342"/>
      <c r="Q762" s="342"/>
      <c r="R762" s="342"/>
      <c r="S762" s="342"/>
      <c r="T762" s="343"/>
      <c r="AT762" s="337" t="s">
        <v>155</v>
      </c>
      <c r="AU762" s="337" t="s">
        <v>83</v>
      </c>
      <c r="AV762" s="335" t="s">
        <v>83</v>
      </c>
      <c r="AW762" s="335" t="s">
        <v>34</v>
      </c>
      <c r="AX762" s="335" t="s">
        <v>76</v>
      </c>
      <c r="AY762" s="337" t="s">
        <v>146</v>
      </c>
    </row>
    <row r="763" spans="2:51" s="335" customFormat="1" ht="12">
      <c r="B763" s="336"/>
      <c r="D763" s="328" t="s">
        <v>155</v>
      </c>
      <c r="E763" s="337" t="s">
        <v>1</v>
      </c>
      <c r="F763" s="346" t="s">
        <v>3702</v>
      </c>
      <c r="H763" s="339">
        <v>25.75</v>
      </c>
      <c r="I763" s="498"/>
      <c r="L763" s="340"/>
      <c r="M763" s="341"/>
      <c r="N763" s="342"/>
      <c r="O763" s="342"/>
      <c r="P763" s="342"/>
      <c r="Q763" s="342"/>
      <c r="R763" s="342"/>
      <c r="S763" s="342"/>
      <c r="T763" s="343"/>
      <c r="AT763" s="337" t="s">
        <v>155</v>
      </c>
      <c r="AU763" s="337" t="s">
        <v>83</v>
      </c>
      <c r="AV763" s="335" t="s">
        <v>83</v>
      </c>
      <c r="AW763" s="335" t="s">
        <v>34</v>
      </c>
      <c r="AX763" s="335" t="s">
        <v>76</v>
      </c>
      <c r="AY763" s="337" t="s">
        <v>146</v>
      </c>
    </row>
    <row r="764" spans="2:51" s="335" customFormat="1" ht="12">
      <c r="B764" s="336"/>
      <c r="D764" s="328" t="s">
        <v>155</v>
      </c>
      <c r="E764" s="337" t="s">
        <v>1</v>
      </c>
      <c r="F764" s="346" t="s">
        <v>3703</v>
      </c>
      <c r="H764" s="339">
        <v>10.38</v>
      </c>
      <c r="I764" s="498"/>
      <c r="L764" s="340"/>
      <c r="M764" s="341"/>
      <c r="N764" s="342"/>
      <c r="O764" s="342"/>
      <c r="P764" s="342"/>
      <c r="Q764" s="342"/>
      <c r="R764" s="342"/>
      <c r="S764" s="342"/>
      <c r="T764" s="343"/>
      <c r="AT764" s="337" t="s">
        <v>155</v>
      </c>
      <c r="AU764" s="337" t="s">
        <v>83</v>
      </c>
      <c r="AV764" s="335" t="s">
        <v>83</v>
      </c>
      <c r="AW764" s="335" t="s">
        <v>34</v>
      </c>
      <c r="AX764" s="335" t="s">
        <v>76</v>
      </c>
      <c r="AY764" s="337" t="s">
        <v>146</v>
      </c>
    </row>
    <row r="765" spans="2:51" s="335" customFormat="1" ht="12">
      <c r="B765" s="336"/>
      <c r="D765" s="328" t="s">
        <v>155</v>
      </c>
      <c r="E765" s="337" t="s">
        <v>1</v>
      </c>
      <c r="F765" s="346" t="s">
        <v>3704</v>
      </c>
      <c r="H765" s="339">
        <v>12.01</v>
      </c>
      <c r="I765" s="498"/>
      <c r="L765" s="340"/>
      <c r="M765" s="341"/>
      <c r="N765" s="342"/>
      <c r="O765" s="342"/>
      <c r="P765" s="342"/>
      <c r="Q765" s="342"/>
      <c r="R765" s="342"/>
      <c r="S765" s="342"/>
      <c r="T765" s="343"/>
      <c r="AT765" s="337" t="s">
        <v>155</v>
      </c>
      <c r="AU765" s="337" t="s">
        <v>83</v>
      </c>
      <c r="AV765" s="335" t="s">
        <v>83</v>
      </c>
      <c r="AW765" s="335" t="s">
        <v>34</v>
      </c>
      <c r="AX765" s="335" t="s">
        <v>76</v>
      </c>
      <c r="AY765" s="337" t="s">
        <v>146</v>
      </c>
    </row>
    <row r="766" spans="2:51" s="335" customFormat="1" ht="12">
      <c r="B766" s="336"/>
      <c r="D766" s="328" t="s">
        <v>155</v>
      </c>
      <c r="E766" s="337" t="s">
        <v>1</v>
      </c>
      <c r="F766" s="346" t="s">
        <v>280</v>
      </c>
      <c r="H766" s="339">
        <v>4.75</v>
      </c>
      <c r="I766" s="498"/>
      <c r="L766" s="340"/>
      <c r="M766" s="341"/>
      <c r="N766" s="342"/>
      <c r="O766" s="342"/>
      <c r="P766" s="342"/>
      <c r="Q766" s="342"/>
      <c r="R766" s="342"/>
      <c r="S766" s="342"/>
      <c r="T766" s="343"/>
      <c r="AT766" s="337" t="s">
        <v>155</v>
      </c>
      <c r="AU766" s="337" t="s">
        <v>83</v>
      </c>
      <c r="AV766" s="335" t="s">
        <v>83</v>
      </c>
      <c r="AW766" s="335" t="s">
        <v>34</v>
      </c>
      <c r="AX766" s="335" t="s">
        <v>76</v>
      </c>
      <c r="AY766" s="337" t="s">
        <v>146</v>
      </c>
    </row>
    <row r="767" spans="2:51" s="347" customFormat="1" ht="12">
      <c r="B767" s="348"/>
      <c r="D767" s="328" t="s">
        <v>155</v>
      </c>
      <c r="E767" s="349" t="s">
        <v>1</v>
      </c>
      <c r="F767" s="350" t="s">
        <v>157</v>
      </c>
      <c r="H767" s="351">
        <f>H742+H759</f>
        <v>214.46</v>
      </c>
      <c r="I767" s="499"/>
      <c r="L767" s="352"/>
      <c r="M767" s="353"/>
      <c r="N767" s="354"/>
      <c r="O767" s="354"/>
      <c r="P767" s="354"/>
      <c r="Q767" s="354"/>
      <c r="R767" s="354"/>
      <c r="S767" s="354"/>
      <c r="T767" s="355"/>
      <c r="AT767" s="349" t="s">
        <v>155</v>
      </c>
      <c r="AU767" s="349" t="s">
        <v>83</v>
      </c>
      <c r="AV767" s="347" t="s">
        <v>153</v>
      </c>
      <c r="AW767" s="347" t="s">
        <v>34</v>
      </c>
      <c r="AX767" s="347" t="s">
        <v>81</v>
      </c>
      <c r="AY767" s="349" t="s">
        <v>146</v>
      </c>
    </row>
    <row r="768" spans="1:65" s="225" customFormat="1" ht="16.5" customHeight="1">
      <c r="A768" s="222"/>
      <c r="B768" s="223"/>
      <c r="C768" s="314">
        <v>99</v>
      </c>
      <c r="D768" s="314" t="s">
        <v>148</v>
      </c>
      <c r="E768" s="315" t="s">
        <v>2398</v>
      </c>
      <c r="F768" s="316" t="s">
        <v>2399</v>
      </c>
      <c r="G768" s="317" t="s">
        <v>151</v>
      </c>
      <c r="H768" s="318">
        <f>H741</f>
        <v>214.46</v>
      </c>
      <c r="I768" s="79"/>
      <c r="J768" s="319">
        <f>ROUND(I768*H768,2)</f>
        <v>0</v>
      </c>
      <c r="K768" s="316"/>
      <c r="L768" s="229"/>
      <c r="M768" s="320" t="s">
        <v>1</v>
      </c>
      <c r="N768" s="321" t="s">
        <v>42</v>
      </c>
      <c r="O768" s="322">
        <v>0.025</v>
      </c>
      <c r="P768" s="322">
        <f>O768*H768</f>
        <v>5.3615</v>
      </c>
      <c r="Q768" s="322">
        <v>0.000132</v>
      </c>
      <c r="R768" s="322">
        <f>Q768*H768</f>
        <v>0.028308720000000002</v>
      </c>
      <c r="S768" s="322">
        <v>0</v>
      </c>
      <c r="T768" s="323">
        <f>S768*H768</f>
        <v>0</v>
      </c>
      <c r="U768" s="222"/>
      <c r="V768" s="222"/>
      <c r="W768" s="222"/>
      <c r="X768" s="222"/>
      <c r="Y768" s="222"/>
      <c r="Z768" s="222"/>
      <c r="AA768" s="222"/>
      <c r="AB768" s="222"/>
      <c r="AC768" s="222"/>
      <c r="AD768" s="222"/>
      <c r="AE768" s="222"/>
      <c r="AR768" s="324" t="s">
        <v>153</v>
      </c>
      <c r="AT768" s="324" t="s">
        <v>148</v>
      </c>
      <c r="AU768" s="324" t="s">
        <v>83</v>
      </c>
      <c r="AY768" s="214" t="s">
        <v>146</v>
      </c>
      <c r="BE768" s="325">
        <f>IF(N768="základní",J768,0)</f>
        <v>0</v>
      </c>
      <c r="BF768" s="325">
        <f>IF(N768="snížená",J768,0)</f>
        <v>0</v>
      </c>
      <c r="BG768" s="325">
        <f>IF(N768="zákl. přenesená",J768,0)</f>
        <v>0</v>
      </c>
      <c r="BH768" s="325">
        <f>IF(N768="sníž. přenesená",J768,0)</f>
        <v>0</v>
      </c>
      <c r="BI768" s="325">
        <f>IF(N768="nulová",J768,0)</f>
        <v>0</v>
      </c>
      <c r="BJ768" s="214" t="s">
        <v>81</v>
      </c>
      <c r="BK768" s="325">
        <f>ROUND(I768*H768,2)</f>
        <v>0</v>
      </c>
      <c r="BL768" s="214" t="s">
        <v>153</v>
      </c>
      <c r="BM768" s="324" t="s">
        <v>2400</v>
      </c>
    </row>
    <row r="769" spans="1:65" s="225" customFormat="1" ht="24.2" customHeight="1">
      <c r="A769" s="222"/>
      <c r="B769" s="223"/>
      <c r="C769" s="314">
        <v>100</v>
      </c>
      <c r="D769" s="314" t="s">
        <v>148</v>
      </c>
      <c r="E769" s="315"/>
      <c r="F769" s="316" t="s">
        <v>3712</v>
      </c>
      <c r="G769" s="317" t="s">
        <v>151</v>
      </c>
      <c r="H769" s="318">
        <f>H770</f>
        <v>76.384</v>
      </c>
      <c r="I769" s="79"/>
      <c r="J769" s="319">
        <f>ROUND(I769*H769,2)</f>
        <v>0</v>
      </c>
      <c r="K769" s="316"/>
      <c r="L769" s="229"/>
      <c r="M769" s="320" t="s">
        <v>1</v>
      </c>
      <c r="N769" s="321" t="s">
        <v>42</v>
      </c>
      <c r="O769" s="322">
        <v>0.333</v>
      </c>
      <c r="P769" s="322">
        <f>O769*H769</f>
        <v>25.435872</v>
      </c>
      <c r="Q769" s="322">
        <v>0.024</v>
      </c>
      <c r="R769" s="322">
        <f>Q769*H769</f>
        <v>1.833216</v>
      </c>
      <c r="S769" s="322">
        <v>0</v>
      </c>
      <c r="T769" s="323">
        <f>S769*H769</f>
        <v>0</v>
      </c>
      <c r="U769" s="222"/>
      <c r="V769" s="222"/>
      <c r="W769" s="222"/>
      <c r="X769" s="222"/>
      <c r="Y769" s="222"/>
      <c r="Z769" s="222"/>
      <c r="AA769" s="222"/>
      <c r="AB769" s="222"/>
      <c r="AC769" s="222"/>
      <c r="AD769" s="222"/>
      <c r="AE769" s="222"/>
      <c r="AR769" s="324" t="s">
        <v>153</v>
      </c>
      <c r="AT769" s="324" t="s">
        <v>148</v>
      </c>
      <c r="AU769" s="324" t="s">
        <v>83</v>
      </c>
      <c r="AY769" s="214" t="s">
        <v>146</v>
      </c>
      <c r="BE769" s="325">
        <f>IF(N769="základní",J769,0)</f>
        <v>0</v>
      </c>
      <c r="BF769" s="325">
        <f>IF(N769="snížená",J769,0)</f>
        <v>0</v>
      </c>
      <c r="BG769" s="325">
        <f>IF(N769="zákl. přenesená",J769,0)</f>
        <v>0</v>
      </c>
      <c r="BH769" s="325">
        <f>IF(N769="sníž. přenesená",J769,0)</f>
        <v>0</v>
      </c>
      <c r="BI769" s="325">
        <f>IF(N769="nulová",J769,0)</f>
        <v>0</v>
      </c>
      <c r="BJ769" s="214" t="s">
        <v>81</v>
      </c>
      <c r="BK769" s="325">
        <f>ROUND(I769*H769,2)</f>
        <v>0</v>
      </c>
      <c r="BL769" s="214" t="s">
        <v>153</v>
      </c>
      <c r="BM769" s="324" t="s">
        <v>600</v>
      </c>
    </row>
    <row r="770" spans="2:51" s="335" customFormat="1" ht="12">
      <c r="B770" s="336"/>
      <c r="D770" s="328" t="s">
        <v>155</v>
      </c>
      <c r="E770" s="337" t="s">
        <v>1</v>
      </c>
      <c r="F770" s="338" t="s">
        <v>2714</v>
      </c>
      <c r="H770" s="339">
        <f>381.92*0.2</f>
        <v>76.384</v>
      </c>
      <c r="I770" s="498"/>
      <c r="L770" s="340"/>
      <c r="M770" s="341"/>
      <c r="N770" s="342"/>
      <c r="O770" s="342"/>
      <c r="P770" s="342"/>
      <c r="Q770" s="342"/>
      <c r="R770" s="342"/>
      <c r="S770" s="342"/>
      <c r="T770" s="343"/>
      <c r="AT770" s="337" t="s">
        <v>155</v>
      </c>
      <c r="AU770" s="337" t="s">
        <v>83</v>
      </c>
      <c r="AV770" s="335" t="s">
        <v>83</v>
      </c>
      <c r="AW770" s="335" t="s">
        <v>34</v>
      </c>
      <c r="AX770" s="335" t="s">
        <v>76</v>
      </c>
      <c r="AY770" s="337" t="s">
        <v>146</v>
      </c>
    </row>
    <row r="771" spans="1:65" s="225" customFormat="1" ht="24.2" customHeight="1">
      <c r="A771" s="222"/>
      <c r="B771" s="223"/>
      <c r="C771" s="314">
        <v>101</v>
      </c>
      <c r="D771" s="314" t="s">
        <v>148</v>
      </c>
      <c r="E771" s="315" t="s">
        <v>601</v>
      </c>
      <c r="F771" s="316" t="s">
        <v>3921</v>
      </c>
      <c r="G771" s="317" t="s">
        <v>151</v>
      </c>
      <c r="H771" s="318">
        <v>76.384</v>
      </c>
      <c r="I771" s="79"/>
      <c r="J771" s="319">
        <f>ROUND(I771*H771,2)</f>
        <v>0</v>
      </c>
      <c r="K771" s="316"/>
      <c r="L771" s="229"/>
      <c r="M771" s="320" t="s">
        <v>1</v>
      </c>
      <c r="N771" s="321" t="s">
        <v>42</v>
      </c>
      <c r="O771" s="322">
        <v>1</v>
      </c>
      <c r="P771" s="322">
        <f>O771*H771</f>
        <v>76.384</v>
      </c>
      <c r="Q771" s="322">
        <v>0.00105</v>
      </c>
      <c r="R771" s="322">
        <f>Q771*H771</f>
        <v>0.0802032</v>
      </c>
      <c r="S771" s="322">
        <v>0</v>
      </c>
      <c r="T771" s="323">
        <f>S771*H771</f>
        <v>0</v>
      </c>
      <c r="U771" s="222"/>
      <c r="V771" s="222"/>
      <c r="W771" s="222"/>
      <c r="X771" s="222"/>
      <c r="Y771" s="222"/>
      <c r="Z771" s="222"/>
      <c r="AA771" s="222"/>
      <c r="AB771" s="222"/>
      <c r="AC771" s="222"/>
      <c r="AD771" s="222"/>
      <c r="AE771" s="222"/>
      <c r="AR771" s="324" t="s">
        <v>153</v>
      </c>
      <c r="AT771" s="324" t="s">
        <v>148</v>
      </c>
      <c r="AU771" s="324" t="s">
        <v>83</v>
      </c>
      <c r="AY771" s="214" t="s">
        <v>146</v>
      </c>
      <c r="BE771" s="325">
        <f>IF(N771="základní",J771,0)</f>
        <v>0</v>
      </c>
      <c r="BF771" s="325">
        <f>IF(N771="snížená",J771,0)</f>
        <v>0</v>
      </c>
      <c r="BG771" s="325">
        <f>IF(N771="zákl. přenesená",J771,0)</f>
        <v>0</v>
      </c>
      <c r="BH771" s="325">
        <f>IF(N771="sníž. přenesená",J771,0)</f>
        <v>0</v>
      </c>
      <c r="BI771" s="325">
        <f>IF(N771="nulová",J771,0)</f>
        <v>0</v>
      </c>
      <c r="BJ771" s="214" t="s">
        <v>81</v>
      </c>
      <c r="BK771" s="325">
        <f>ROUND(I771*H771,2)</f>
        <v>0</v>
      </c>
      <c r="BL771" s="214" t="s">
        <v>153</v>
      </c>
      <c r="BM771" s="324" t="s">
        <v>602</v>
      </c>
    </row>
    <row r="772" spans="2:51" s="326" customFormat="1" ht="12">
      <c r="B772" s="327"/>
      <c r="D772" s="328" t="s">
        <v>155</v>
      </c>
      <c r="E772" s="329" t="s">
        <v>1</v>
      </c>
      <c r="F772" s="330" t="s">
        <v>603</v>
      </c>
      <c r="H772" s="329" t="s">
        <v>1</v>
      </c>
      <c r="I772" s="497"/>
      <c r="L772" s="331"/>
      <c r="M772" s="332"/>
      <c r="N772" s="333"/>
      <c r="O772" s="333"/>
      <c r="P772" s="333"/>
      <c r="Q772" s="333"/>
      <c r="R772" s="333"/>
      <c r="S772" s="333"/>
      <c r="T772" s="334"/>
      <c r="AT772" s="329" t="s">
        <v>155</v>
      </c>
      <c r="AU772" s="329" t="s">
        <v>83</v>
      </c>
      <c r="AV772" s="326" t="s">
        <v>81</v>
      </c>
      <c r="AW772" s="326" t="s">
        <v>34</v>
      </c>
      <c r="AX772" s="326" t="s">
        <v>76</v>
      </c>
      <c r="AY772" s="329" t="s">
        <v>146</v>
      </c>
    </row>
    <row r="773" spans="2:51" s="326" customFormat="1" ht="12">
      <c r="B773" s="327"/>
      <c r="D773" s="328" t="s">
        <v>155</v>
      </c>
      <c r="E773" s="329" t="s">
        <v>1</v>
      </c>
      <c r="F773" s="330" t="s">
        <v>604</v>
      </c>
      <c r="H773" s="329" t="s">
        <v>1</v>
      </c>
      <c r="I773" s="497"/>
      <c r="L773" s="331"/>
      <c r="M773" s="332"/>
      <c r="N773" s="333"/>
      <c r="O773" s="333"/>
      <c r="P773" s="333"/>
      <c r="Q773" s="333"/>
      <c r="R773" s="333"/>
      <c r="S773" s="333"/>
      <c r="T773" s="334"/>
      <c r="AT773" s="329" t="s">
        <v>155</v>
      </c>
      <c r="AU773" s="329" t="s">
        <v>83</v>
      </c>
      <c r="AV773" s="326" t="s">
        <v>81</v>
      </c>
      <c r="AW773" s="326" t="s">
        <v>34</v>
      </c>
      <c r="AX773" s="326" t="s">
        <v>76</v>
      </c>
      <c r="AY773" s="329" t="s">
        <v>146</v>
      </c>
    </row>
    <row r="774" spans="2:51" s="335" customFormat="1" ht="12">
      <c r="B774" s="336"/>
      <c r="D774" s="328" t="s">
        <v>155</v>
      </c>
      <c r="E774" s="337" t="s">
        <v>1</v>
      </c>
      <c r="F774" s="338" t="s">
        <v>605</v>
      </c>
      <c r="H774" s="339">
        <v>5.972</v>
      </c>
      <c r="I774" s="498"/>
      <c r="L774" s="340"/>
      <c r="M774" s="341"/>
      <c r="N774" s="342"/>
      <c r="O774" s="342"/>
      <c r="P774" s="342"/>
      <c r="Q774" s="342"/>
      <c r="R774" s="342"/>
      <c r="S774" s="342"/>
      <c r="T774" s="343"/>
      <c r="AT774" s="337" t="s">
        <v>155</v>
      </c>
      <c r="AU774" s="337" t="s">
        <v>83</v>
      </c>
      <c r="AV774" s="335" t="s">
        <v>83</v>
      </c>
      <c r="AW774" s="335" t="s">
        <v>34</v>
      </c>
      <c r="AX774" s="335" t="s">
        <v>76</v>
      </c>
      <c r="AY774" s="337" t="s">
        <v>146</v>
      </c>
    </row>
    <row r="775" spans="2:51" s="326" customFormat="1" ht="12">
      <c r="B775" s="327"/>
      <c r="D775" s="328" t="s">
        <v>155</v>
      </c>
      <c r="E775" s="329" t="s">
        <v>1</v>
      </c>
      <c r="F775" s="330" t="s">
        <v>606</v>
      </c>
      <c r="H775" s="329" t="s">
        <v>1</v>
      </c>
      <c r="I775" s="497"/>
      <c r="L775" s="331"/>
      <c r="M775" s="332"/>
      <c r="N775" s="333"/>
      <c r="O775" s="333"/>
      <c r="P775" s="333"/>
      <c r="Q775" s="333"/>
      <c r="R775" s="333"/>
      <c r="S775" s="333"/>
      <c r="T775" s="334"/>
      <c r="AT775" s="329" t="s">
        <v>155</v>
      </c>
      <c r="AU775" s="329" t="s">
        <v>83</v>
      </c>
      <c r="AV775" s="326" t="s">
        <v>81</v>
      </c>
      <c r="AW775" s="326" t="s">
        <v>34</v>
      </c>
      <c r="AX775" s="326" t="s">
        <v>76</v>
      </c>
      <c r="AY775" s="329" t="s">
        <v>146</v>
      </c>
    </row>
    <row r="776" spans="2:51" s="335" customFormat="1" ht="12">
      <c r="B776" s="336"/>
      <c r="D776" s="328" t="s">
        <v>155</v>
      </c>
      <c r="E776" s="337" t="s">
        <v>1</v>
      </c>
      <c r="F776" s="338" t="s">
        <v>607</v>
      </c>
      <c r="H776" s="339">
        <v>22.074</v>
      </c>
      <c r="I776" s="498"/>
      <c r="L776" s="340"/>
      <c r="M776" s="341"/>
      <c r="N776" s="342"/>
      <c r="O776" s="342"/>
      <c r="P776" s="342"/>
      <c r="Q776" s="342"/>
      <c r="R776" s="342"/>
      <c r="S776" s="342"/>
      <c r="T776" s="343"/>
      <c r="AT776" s="337" t="s">
        <v>155</v>
      </c>
      <c r="AU776" s="337" t="s">
        <v>83</v>
      </c>
      <c r="AV776" s="335" t="s">
        <v>83</v>
      </c>
      <c r="AW776" s="335" t="s">
        <v>34</v>
      </c>
      <c r="AX776" s="335" t="s">
        <v>76</v>
      </c>
      <c r="AY776" s="337" t="s">
        <v>146</v>
      </c>
    </row>
    <row r="777" spans="2:51" s="326" customFormat="1" ht="12">
      <c r="B777" s="327"/>
      <c r="D777" s="328" t="s">
        <v>155</v>
      </c>
      <c r="E777" s="329" t="s">
        <v>1</v>
      </c>
      <c r="F777" s="330" t="s">
        <v>608</v>
      </c>
      <c r="H777" s="329" t="s">
        <v>1</v>
      </c>
      <c r="I777" s="497"/>
      <c r="L777" s="331"/>
      <c r="M777" s="332"/>
      <c r="N777" s="333"/>
      <c r="O777" s="333"/>
      <c r="P777" s="333"/>
      <c r="Q777" s="333"/>
      <c r="R777" s="333"/>
      <c r="S777" s="333"/>
      <c r="T777" s="334"/>
      <c r="AT777" s="329" t="s">
        <v>155</v>
      </c>
      <c r="AU777" s="329" t="s">
        <v>83</v>
      </c>
      <c r="AV777" s="326" t="s">
        <v>81</v>
      </c>
      <c r="AW777" s="326" t="s">
        <v>34</v>
      </c>
      <c r="AX777" s="326" t="s">
        <v>76</v>
      </c>
      <c r="AY777" s="329" t="s">
        <v>146</v>
      </c>
    </row>
    <row r="778" spans="2:51" s="335" customFormat="1" ht="12">
      <c r="B778" s="336"/>
      <c r="D778" s="328" t="s">
        <v>155</v>
      </c>
      <c r="E778" s="337" t="s">
        <v>1</v>
      </c>
      <c r="F778" s="338" t="s">
        <v>609</v>
      </c>
      <c r="H778" s="339">
        <v>48.338</v>
      </c>
      <c r="I778" s="498"/>
      <c r="L778" s="340"/>
      <c r="M778" s="341"/>
      <c r="N778" s="342"/>
      <c r="O778" s="342"/>
      <c r="P778" s="342"/>
      <c r="Q778" s="342"/>
      <c r="R778" s="342"/>
      <c r="S778" s="342"/>
      <c r="T778" s="343"/>
      <c r="AT778" s="337" t="s">
        <v>155</v>
      </c>
      <c r="AU778" s="337" t="s">
        <v>83</v>
      </c>
      <c r="AV778" s="335" t="s">
        <v>83</v>
      </c>
      <c r="AW778" s="335" t="s">
        <v>34</v>
      </c>
      <c r="AX778" s="335" t="s">
        <v>76</v>
      </c>
      <c r="AY778" s="337" t="s">
        <v>146</v>
      </c>
    </row>
    <row r="779" spans="2:51" s="347" customFormat="1" ht="12">
      <c r="B779" s="348"/>
      <c r="D779" s="328" t="s">
        <v>155</v>
      </c>
      <c r="E779" s="349" t="s">
        <v>1</v>
      </c>
      <c r="F779" s="356" t="s">
        <v>157</v>
      </c>
      <c r="H779" s="351">
        <v>76.384</v>
      </c>
      <c r="I779" s="499"/>
      <c r="L779" s="352"/>
      <c r="M779" s="353"/>
      <c r="N779" s="354"/>
      <c r="O779" s="354"/>
      <c r="P779" s="354"/>
      <c r="Q779" s="354"/>
      <c r="R779" s="354"/>
      <c r="S779" s="354"/>
      <c r="T779" s="355"/>
      <c r="AT779" s="349" t="s">
        <v>155</v>
      </c>
      <c r="AU779" s="349" t="s">
        <v>83</v>
      </c>
      <c r="AV779" s="347" t="s">
        <v>153</v>
      </c>
      <c r="AW779" s="347" t="s">
        <v>34</v>
      </c>
      <c r="AX779" s="347" t="s">
        <v>81</v>
      </c>
      <c r="AY779" s="349" t="s">
        <v>146</v>
      </c>
    </row>
    <row r="780" spans="1:65" s="225" customFormat="1" ht="24.2" customHeight="1">
      <c r="A780" s="222"/>
      <c r="B780" s="223"/>
      <c r="C780" s="314">
        <v>102</v>
      </c>
      <c r="D780" s="314" t="s">
        <v>148</v>
      </c>
      <c r="E780" s="315" t="s">
        <v>2401</v>
      </c>
      <c r="F780" s="316" t="s">
        <v>2402</v>
      </c>
      <c r="G780" s="317" t="s">
        <v>158</v>
      </c>
      <c r="H780" s="318">
        <f>H783</f>
        <v>285.635</v>
      </c>
      <c r="I780" s="79"/>
      <c r="J780" s="319">
        <f>ROUND(I780*H780,2)</f>
        <v>0</v>
      </c>
      <c r="K780" s="316"/>
      <c r="L780" s="229"/>
      <c r="M780" s="320" t="s">
        <v>1</v>
      </c>
      <c r="N780" s="321" t="s">
        <v>42</v>
      </c>
      <c r="O780" s="322">
        <v>0.035</v>
      </c>
      <c r="P780" s="322">
        <f>O780*H780</f>
        <v>9.997225</v>
      </c>
      <c r="Q780" s="322">
        <v>2.1E-05</v>
      </c>
      <c r="R780" s="322">
        <f>Q780*H780</f>
        <v>0.005998335</v>
      </c>
      <c r="S780" s="322">
        <v>0</v>
      </c>
      <c r="T780" s="323">
        <f>S780*H780</f>
        <v>0</v>
      </c>
      <c r="U780" s="222"/>
      <c r="V780" s="222"/>
      <c r="W780" s="222"/>
      <c r="X780" s="222"/>
      <c r="Y780" s="222"/>
      <c r="Z780" s="222"/>
      <c r="AA780" s="222"/>
      <c r="AB780" s="222"/>
      <c r="AC780" s="222"/>
      <c r="AD780" s="222"/>
      <c r="AE780" s="222"/>
      <c r="AR780" s="324" t="s">
        <v>153</v>
      </c>
      <c r="AT780" s="324" t="s">
        <v>148</v>
      </c>
      <c r="AU780" s="324" t="s">
        <v>83</v>
      </c>
      <c r="AY780" s="214" t="s">
        <v>146</v>
      </c>
      <c r="BE780" s="325">
        <f>IF(N780="základní",J780,0)</f>
        <v>0</v>
      </c>
      <c r="BF780" s="325">
        <f>IF(N780="snížená",J780,0)</f>
        <v>0</v>
      </c>
      <c r="BG780" s="325">
        <f>IF(N780="zákl. přenesená",J780,0)</f>
        <v>0</v>
      </c>
      <c r="BH780" s="325">
        <f>IF(N780="sníž. přenesená",J780,0)</f>
        <v>0</v>
      </c>
      <c r="BI780" s="325">
        <f>IF(N780="nulová",J780,0)</f>
        <v>0</v>
      </c>
      <c r="BJ780" s="214" t="s">
        <v>81</v>
      </c>
      <c r="BK780" s="325">
        <f>ROUND(I780*H780,2)</f>
        <v>0</v>
      </c>
      <c r="BL780" s="214" t="s">
        <v>153</v>
      </c>
      <c r="BM780" s="324" t="s">
        <v>2403</v>
      </c>
    </row>
    <row r="781" spans="2:51" s="326" customFormat="1" ht="12">
      <c r="B781" s="327"/>
      <c r="D781" s="328" t="s">
        <v>155</v>
      </c>
      <c r="E781" s="329" t="s">
        <v>1</v>
      </c>
      <c r="F781" s="330" t="s">
        <v>3694</v>
      </c>
      <c r="H781" s="416">
        <f>14.6+21.9+16.5+15.55+8.15+5.09+13.65+5.395+6.1+12.8+5+5+21.5+15.9+16.9+15.2</f>
        <v>199.235</v>
      </c>
      <c r="I781" s="497"/>
      <c r="L781" s="331"/>
      <c r="M781" s="332"/>
      <c r="N781" s="333"/>
      <c r="O781" s="333"/>
      <c r="P781" s="333"/>
      <c r="Q781" s="333"/>
      <c r="R781" s="333"/>
      <c r="S781" s="333"/>
      <c r="T781" s="334"/>
      <c r="AT781" s="329" t="s">
        <v>155</v>
      </c>
      <c r="AU781" s="329" t="s">
        <v>83</v>
      </c>
      <c r="AV781" s="326" t="s">
        <v>81</v>
      </c>
      <c r="AW781" s="326" t="s">
        <v>34</v>
      </c>
      <c r="AX781" s="326" t="s">
        <v>76</v>
      </c>
      <c r="AY781" s="329" t="s">
        <v>146</v>
      </c>
    </row>
    <row r="782" spans="2:51" s="326" customFormat="1" ht="12">
      <c r="B782" s="327"/>
      <c r="D782" s="328" t="s">
        <v>155</v>
      </c>
      <c r="E782" s="329" t="s">
        <v>1</v>
      </c>
      <c r="F782" s="330" t="s">
        <v>3695</v>
      </c>
      <c r="H782" s="416">
        <f>16.9+7.5+4.9+20.3+12.9+14.85+9.05</f>
        <v>86.39999999999999</v>
      </c>
      <c r="I782" s="497"/>
      <c r="L782" s="331"/>
      <c r="M782" s="332"/>
      <c r="N782" s="333"/>
      <c r="O782" s="333"/>
      <c r="P782" s="333"/>
      <c r="Q782" s="333"/>
      <c r="R782" s="333"/>
      <c r="S782" s="333"/>
      <c r="T782" s="334"/>
      <c r="AT782" s="329" t="s">
        <v>155</v>
      </c>
      <c r="AU782" s="329" t="s">
        <v>83</v>
      </c>
      <c r="AV782" s="326" t="s">
        <v>81</v>
      </c>
      <c r="AW782" s="326" t="s">
        <v>34</v>
      </c>
      <c r="AX782" s="326" t="s">
        <v>76</v>
      </c>
      <c r="AY782" s="329" t="s">
        <v>146</v>
      </c>
    </row>
    <row r="783" spans="2:51" s="347" customFormat="1" ht="12">
      <c r="B783" s="348"/>
      <c r="D783" s="328" t="s">
        <v>155</v>
      </c>
      <c r="E783" s="349" t="s">
        <v>1</v>
      </c>
      <c r="F783" s="350" t="s">
        <v>157</v>
      </c>
      <c r="H783" s="351">
        <f>H781+H782</f>
        <v>285.635</v>
      </c>
      <c r="I783" s="499"/>
      <c r="L783" s="352"/>
      <c r="M783" s="353"/>
      <c r="N783" s="354"/>
      <c r="O783" s="354"/>
      <c r="P783" s="354"/>
      <c r="Q783" s="354"/>
      <c r="R783" s="354"/>
      <c r="S783" s="354"/>
      <c r="T783" s="355"/>
      <c r="AT783" s="349" t="s">
        <v>155</v>
      </c>
      <c r="AU783" s="349" t="s">
        <v>83</v>
      </c>
      <c r="AV783" s="347" t="s">
        <v>153</v>
      </c>
      <c r="AW783" s="347" t="s">
        <v>34</v>
      </c>
      <c r="AX783" s="347" t="s">
        <v>81</v>
      </c>
      <c r="AY783" s="349" t="s">
        <v>146</v>
      </c>
    </row>
    <row r="784" spans="1:65" s="225" customFormat="1" ht="24.2" customHeight="1">
      <c r="A784" s="222"/>
      <c r="B784" s="223"/>
      <c r="C784" s="314">
        <v>103</v>
      </c>
      <c r="D784" s="314" t="s">
        <v>148</v>
      </c>
      <c r="E784" s="315"/>
      <c r="F784" s="316" t="s">
        <v>2715</v>
      </c>
      <c r="G784" s="317" t="s">
        <v>151</v>
      </c>
      <c r="H784" s="318">
        <v>39.55</v>
      </c>
      <c r="I784" s="79"/>
      <c r="J784" s="319">
        <f>ROUND(I784*H784,2)</f>
        <v>0</v>
      </c>
      <c r="K784" s="316"/>
      <c r="L784" s="229"/>
      <c r="M784" s="320" t="s">
        <v>1</v>
      </c>
      <c r="N784" s="321" t="s">
        <v>42</v>
      </c>
      <c r="O784" s="322">
        <v>0.524</v>
      </c>
      <c r="P784" s="322">
        <f>O784*H784</f>
        <v>20.7242</v>
      </c>
      <c r="Q784" s="322">
        <v>0.3456288</v>
      </c>
      <c r="R784" s="322">
        <f>Q784*H784</f>
        <v>13.669619039999999</v>
      </c>
      <c r="S784" s="322">
        <v>0</v>
      </c>
      <c r="T784" s="323">
        <f>S784*H784</f>
        <v>0</v>
      </c>
      <c r="U784" s="222"/>
      <c r="V784" s="222"/>
      <c r="W784" s="222"/>
      <c r="X784" s="222"/>
      <c r="Y784" s="222"/>
      <c r="Z784" s="222"/>
      <c r="AA784" s="222"/>
      <c r="AB784" s="222"/>
      <c r="AC784" s="222"/>
      <c r="AD784" s="222"/>
      <c r="AE784" s="222"/>
      <c r="AR784" s="324" t="s">
        <v>153</v>
      </c>
      <c r="AT784" s="324" t="s">
        <v>148</v>
      </c>
      <c r="AU784" s="324" t="s">
        <v>83</v>
      </c>
      <c r="AY784" s="214" t="s">
        <v>146</v>
      </c>
      <c r="BE784" s="325">
        <f>IF(N784="základní",J784,0)</f>
        <v>0</v>
      </c>
      <c r="BF784" s="325">
        <f>IF(N784="snížená",J784,0)</f>
        <v>0</v>
      </c>
      <c r="BG784" s="325">
        <f>IF(N784="zákl. přenesená",J784,0)</f>
        <v>0</v>
      </c>
      <c r="BH784" s="325">
        <f>IF(N784="sníž. přenesená",J784,0)</f>
        <v>0</v>
      </c>
      <c r="BI784" s="325">
        <f>IF(N784="nulová",J784,0)</f>
        <v>0</v>
      </c>
      <c r="BJ784" s="214" t="s">
        <v>81</v>
      </c>
      <c r="BK784" s="325">
        <f>ROUND(I784*H784,2)</f>
        <v>0</v>
      </c>
      <c r="BL784" s="214" t="s">
        <v>153</v>
      </c>
      <c r="BM784" s="324" t="s">
        <v>610</v>
      </c>
    </row>
    <row r="785" spans="2:51" s="335" customFormat="1" ht="12">
      <c r="B785" s="336"/>
      <c r="D785" s="328" t="s">
        <v>155</v>
      </c>
      <c r="E785" s="337" t="s">
        <v>1</v>
      </c>
      <c r="F785" s="338" t="s">
        <v>445</v>
      </c>
      <c r="H785" s="339">
        <v>39.55</v>
      </c>
      <c r="I785" s="498"/>
      <c r="L785" s="340"/>
      <c r="M785" s="341"/>
      <c r="N785" s="342"/>
      <c r="O785" s="342"/>
      <c r="P785" s="342"/>
      <c r="Q785" s="342"/>
      <c r="R785" s="342"/>
      <c r="S785" s="342"/>
      <c r="T785" s="343"/>
      <c r="AT785" s="337" t="s">
        <v>155</v>
      </c>
      <c r="AU785" s="337" t="s">
        <v>83</v>
      </c>
      <c r="AV785" s="335" t="s">
        <v>83</v>
      </c>
      <c r="AW785" s="335" t="s">
        <v>34</v>
      </c>
      <c r="AX785" s="335" t="s">
        <v>81</v>
      </c>
      <c r="AY785" s="337" t="s">
        <v>146</v>
      </c>
    </row>
    <row r="786" spans="1:65" s="225" customFormat="1" ht="24.2" customHeight="1">
      <c r="A786" s="222"/>
      <c r="B786" s="223"/>
      <c r="C786" s="314">
        <v>104</v>
      </c>
      <c r="D786" s="314" t="s">
        <v>148</v>
      </c>
      <c r="E786" s="315" t="s">
        <v>2946</v>
      </c>
      <c r="F786" s="316" t="s">
        <v>2947</v>
      </c>
      <c r="G786" s="317" t="s">
        <v>301</v>
      </c>
      <c r="H786" s="318">
        <f>H787</f>
        <v>24</v>
      </c>
      <c r="I786" s="79"/>
      <c r="J786" s="319">
        <f>ROUND(I786*H786,2)</f>
        <v>0</v>
      </c>
      <c r="K786" s="316"/>
      <c r="L786" s="229"/>
      <c r="M786" s="320" t="s">
        <v>1</v>
      </c>
      <c r="N786" s="321" t="s">
        <v>42</v>
      </c>
      <c r="O786" s="322">
        <v>0.035</v>
      </c>
      <c r="P786" s="322">
        <f>O786*H786</f>
        <v>0.8400000000000001</v>
      </c>
      <c r="Q786" s="322">
        <v>0.019</v>
      </c>
      <c r="R786" s="322">
        <f>Q786*H786</f>
        <v>0.45599999999999996</v>
      </c>
      <c r="S786" s="322">
        <v>0</v>
      </c>
      <c r="T786" s="323">
        <f>S786*H786</f>
        <v>0</v>
      </c>
      <c r="U786" s="222"/>
      <c r="V786" s="222"/>
      <c r="W786" s="222"/>
      <c r="X786" s="222"/>
      <c r="Y786" s="222"/>
      <c r="Z786" s="222"/>
      <c r="AA786" s="222"/>
      <c r="AB786" s="222"/>
      <c r="AC786" s="222"/>
      <c r="AD786" s="222"/>
      <c r="AE786" s="222"/>
      <c r="AR786" s="324" t="s">
        <v>153</v>
      </c>
      <c r="AT786" s="324" t="s">
        <v>148</v>
      </c>
      <c r="AU786" s="324" t="s">
        <v>83</v>
      </c>
      <c r="AY786" s="214" t="s">
        <v>146</v>
      </c>
      <c r="BE786" s="325">
        <f>IF(N786="základní",J786,0)</f>
        <v>0</v>
      </c>
      <c r="BF786" s="325">
        <f>IF(N786="snížená",J786,0)</f>
        <v>0</v>
      </c>
      <c r="BG786" s="325">
        <f>IF(N786="zákl. přenesená",J786,0)</f>
        <v>0</v>
      </c>
      <c r="BH786" s="325">
        <f>IF(N786="sníž. přenesená",J786,0)</f>
        <v>0</v>
      </c>
      <c r="BI786" s="325">
        <f>IF(N786="nulová",J786,0)</f>
        <v>0</v>
      </c>
      <c r="BJ786" s="214" t="s">
        <v>81</v>
      </c>
      <c r="BK786" s="325">
        <f>ROUND(I786*H786,2)</f>
        <v>0</v>
      </c>
      <c r="BL786" s="214" t="s">
        <v>153</v>
      </c>
      <c r="BM786" s="324" t="s">
        <v>2403</v>
      </c>
    </row>
    <row r="787" spans="2:51" s="326" customFormat="1" ht="12">
      <c r="B787" s="327"/>
      <c r="D787" s="328" t="s">
        <v>155</v>
      </c>
      <c r="E787" s="329" t="s">
        <v>1</v>
      </c>
      <c r="F787" s="330" t="s">
        <v>2953</v>
      </c>
      <c r="H787" s="329">
        <f>3+1+1+5+2+3+2+1+2+1+3</f>
        <v>24</v>
      </c>
      <c r="I787" s="497"/>
      <c r="L787" s="331"/>
      <c r="M787" s="332"/>
      <c r="N787" s="333"/>
      <c r="O787" s="333"/>
      <c r="P787" s="333"/>
      <c r="Q787" s="333"/>
      <c r="R787" s="333"/>
      <c r="S787" s="333"/>
      <c r="T787" s="334"/>
      <c r="AT787" s="329" t="s">
        <v>155</v>
      </c>
      <c r="AU787" s="329" t="s">
        <v>83</v>
      </c>
      <c r="AV787" s="326" t="s">
        <v>81</v>
      </c>
      <c r="AW787" s="326" t="s">
        <v>34</v>
      </c>
      <c r="AX787" s="326" t="s">
        <v>76</v>
      </c>
      <c r="AY787" s="329" t="s">
        <v>146</v>
      </c>
    </row>
    <row r="788" spans="1:65" s="225" customFormat="1" ht="25.5" customHeight="1">
      <c r="A788" s="222"/>
      <c r="B788" s="223"/>
      <c r="C788" s="358">
        <v>105</v>
      </c>
      <c r="D788" s="358"/>
      <c r="E788" s="359"/>
      <c r="F788" s="364" t="s">
        <v>3142</v>
      </c>
      <c r="G788" s="361" t="s">
        <v>301</v>
      </c>
      <c r="H788" s="362">
        <f>H789</f>
        <v>7</v>
      </c>
      <c r="I788" s="80"/>
      <c r="J788" s="363">
        <f>ROUND(I788*H788,2)</f>
        <v>0</v>
      </c>
      <c r="K788" s="364"/>
      <c r="L788" s="365"/>
      <c r="M788" s="366" t="s">
        <v>1</v>
      </c>
      <c r="N788" s="367" t="s">
        <v>42</v>
      </c>
      <c r="O788" s="322">
        <v>0</v>
      </c>
      <c r="P788" s="322">
        <f>O788*H788</f>
        <v>0</v>
      </c>
      <c r="Q788" s="322">
        <v>0.012</v>
      </c>
      <c r="R788" s="322">
        <f>Q788*H788</f>
        <v>0.084</v>
      </c>
      <c r="S788" s="322">
        <v>0</v>
      </c>
      <c r="T788" s="323">
        <f>S788*H788</f>
        <v>0</v>
      </c>
      <c r="U788" s="222"/>
      <c r="V788" s="222"/>
      <c r="W788" s="222"/>
      <c r="X788" s="222"/>
      <c r="Y788" s="222"/>
      <c r="Z788" s="222"/>
      <c r="AA788" s="222"/>
      <c r="AB788" s="222"/>
      <c r="AC788" s="222"/>
      <c r="AD788" s="222"/>
      <c r="AE788" s="222"/>
      <c r="AR788" s="324" t="s">
        <v>189</v>
      </c>
      <c r="AT788" s="324" t="s">
        <v>208</v>
      </c>
      <c r="AU788" s="324" t="s">
        <v>83</v>
      </c>
      <c r="AY788" s="214" t="s">
        <v>146</v>
      </c>
      <c r="BE788" s="325">
        <f>IF(N788="základní",J788,0)</f>
        <v>0</v>
      </c>
      <c r="BF788" s="325">
        <f>IF(N788="snížená",J788,0)</f>
        <v>0</v>
      </c>
      <c r="BG788" s="325">
        <f>IF(N788="zákl. přenesená",J788,0)</f>
        <v>0</v>
      </c>
      <c r="BH788" s="325">
        <f>IF(N788="sníž. přenesená",J788,0)</f>
        <v>0</v>
      </c>
      <c r="BI788" s="325">
        <f>IF(N788="nulová",J788,0)</f>
        <v>0</v>
      </c>
      <c r="BJ788" s="214" t="s">
        <v>81</v>
      </c>
      <c r="BK788" s="325">
        <f>ROUND(I788*H788,2)</f>
        <v>0</v>
      </c>
      <c r="BL788" s="214" t="s">
        <v>153</v>
      </c>
      <c r="BM788" s="324" t="s">
        <v>2396</v>
      </c>
    </row>
    <row r="789" spans="2:51" s="326" customFormat="1" ht="12">
      <c r="B789" s="327"/>
      <c r="D789" s="328" t="s">
        <v>155</v>
      </c>
      <c r="E789" s="329" t="s">
        <v>1</v>
      </c>
      <c r="F789" s="330" t="s">
        <v>2948</v>
      </c>
      <c r="H789" s="329">
        <f>1+5+1</f>
        <v>7</v>
      </c>
      <c r="I789" s="497"/>
      <c r="L789" s="331"/>
      <c r="M789" s="332"/>
      <c r="N789" s="333"/>
      <c r="O789" s="333"/>
      <c r="P789" s="333"/>
      <c r="Q789" s="333"/>
      <c r="R789" s="333"/>
      <c r="S789" s="333"/>
      <c r="T789" s="334"/>
      <c r="AT789" s="329" t="s">
        <v>155</v>
      </c>
      <c r="AU789" s="329" t="s">
        <v>83</v>
      </c>
      <c r="AV789" s="326" t="s">
        <v>81</v>
      </c>
      <c r="AW789" s="326" t="s">
        <v>34</v>
      </c>
      <c r="AX789" s="326" t="s">
        <v>76</v>
      </c>
      <c r="AY789" s="329" t="s">
        <v>146</v>
      </c>
    </row>
    <row r="790" spans="1:65" s="225" customFormat="1" ht="25.5" customHeight="1">
      <c r="A790" s="222"/>
      <c r="B790" s="223"/>
      <c r="C790" s="358">
        <v>106</v>
      </c>
      <c r="D790" s="358"/>
      <c r="E790" s="359"/>
      <c r="F790" s="364" t="s">
        <v>3143</v>
      </c>
      <c r="G790" s="361" t="s">
        <v>301</v>
      </c>
      <c r="H790" s="362">
        <f>H791</f>
        <v>2</v>
      </c>
      <c r="I790" s="80"/>
      <c r="J790" s="363">
        <f>ROUND(I790*H790,2)</f>
        <v>0</v>
      </c>
      <c r="K790" s="364"/>
      <c r="L790" s="365"/>
      <c r="M790" s="366" t="s">
        <v>1</v>
      </c>
      <c r="N790" s="367" t="s">
        <v>42</v>
      </c>
      <c r="O790" s="322">
        <v>0</v>
      </c>
      <c r="P790" s="322">
        <f>O790*H790</f>
        <v>0</v>
      </c>
      <c r="Q790" s="322">
        <v>0.012</v>
      </c>
      <c r="R790" s="322">
        <f>Q790*H790</f>
        <v>0.024</v>
      </c>
      <c r="S790" s="322">
        <v>0</v>
      </c>
      <c r="T790" s="323">
        <f>S790*H790</f>
        <v>0</v>
      </c>
      <c r="U790" s="222"/>
      <c r="V790" s="222"/>
      <c r="W790" s="222"/>
      <c r="X790" s="222"/>
      <c r="Y790" s="222"/>
      <c r="Z790" s="222"/>
      <c r="AA790" s="222"/>
      <c r="AB790" s="222"/>
      <c r="AC790" s="222"/>
      <c r="AD790" s="222"/>
      <c r="AE790" s="222"/>
      <c r="AR790" s="324" t="s">
        <v>189</v>
      </c>
      <c r="AT790" s="324" t="s">
        <v>208</v>
      </c>
      <c r="AU790" s="324" t="s">
        <v>83</v>
      </c>
      <c r="AY790" s="214" t="s">
        <v>146</v>
      </c>
      <c r="BE790" s="325">
        <f>IF(N790="základní",J790,0)</f>
        <v>0</v>
      </c>
      <c r="BF790" s="325">
        <f>IF(N790="snížená",J790,0)</f>
        <v>0</v>
      </c>
      <c r="BG790" s="325">
        <f>IF(N790="zákl. přenesená",J790,0)</f>
        <v>0</v>
      </c>
      <c r="BH790" s="325">
        <f>IF(N790="sníž. přenesená",J790,0)</f>
        <v>0</v>
      </c>
      <c r="BI790" s="325">
        <f>IF(N790="nulová",J790,0)</f>
        <v>0</v>
      </c>
      <c r="BJ790" s="214" t="s">
        <v>81</v>
      </c>
      <c r="BK790" s="325">
        <f>ROUND(I790*H790,2)</f>
        <v>0</v>
      </c>
      <c r="BL790" s="214" t="s">
        <v>153</v>
      </c>
      <c r="BM790" s="324" t="s">
        <v>2396</v>
      </c>
    </row>
    <row r="791" spans="2:51" s="326" customFormat="1" ht="12">
      <c r="B791" s="327"/>
      <c r="D791" s="328" t="s">
        <v>155</v>
      </c>
      <c r="E791" s="329" t="s">
        <v>1</v>
      </c>
      <c r="F791" s="330" t="s">
        <v>2949</v>
      </c>
      <c r="H791" s="329">
        <v>2</v>
      </c>
      <c r="I791" s="497"/>
      <c r="L791" s="331"/>
      <c r="M791" s="332"/>
      <c r="N791" s="333"/>
      <c r="O791" s="333"/>
      <c r="P791" s="333"/>
      <c r="Q791" s="333"/>
      <c r="R791" s="333"/>
      <c r="S791" s="333"/>
      <c r="T791" s="334"/>
      <c r="AT791" s="329" t="s">
        <v>155</v>
      </c>
      <c r="AU791" s="329" t="s">
        <v>83</v>
      </c>
      <c r="AV791" s="326" t="s">
        <v>81</v>
      </c>
      <c r="AW791" s="326" t="s">
        <v>34</v>
      </c>
      <c r="AX791" s="326" t="s">
        <v>76</v>
      </c>
      <c r="AY791" s="329" t="s">
        <v>146</v>
      </c>
    </row>
    <row r="792" spans="1:65" s="225" customFormat="1" ht="25.5" customHeight="1">
      <c r="A792" s="222"/>
      <c r="B792" s="223"/>
      <c r="C792" s="358">
        <v>107</v>
      </c>
      <c r="D792" s="358"/>
      <c r="E792" s="359"/>
      <c r="F792" s="364" t="s">
        <v>3151</v>
      </c>
      <c r="G792" s="361" t="s">
        <v>301</v>
      </c>
      <c r="H792" s="362">
        <f>H793</f>
        <v>2</v>
      </c>
      <c r="I792" s="80"/>
      <c r="J792" s="363">
        <f>ROUND(I792*H792,2)</f>
        <v>0</v>
      </c>
      <c r="K792" s="364"/>
      <c r="L792" s="365"/>
      <c r="M792" s="366" t="s">
        <v>1</v>
      </c>
      <c r="N792" s="367" t="s">
        <v>42</v>
      </c>
      <c r="O792" s="322">
        <v>0</v>
      </c>
      <c r="P792" s="322">
        <f>O792*H792</f>
        <v>0</v>
      </c>
      <c r="Q792" s="322">
        <v>0.012</v>
      </c>
      <c r="R792" s="322">
        <f>Q792*H792</f>
        <v>0.024</v>
      </c>
      <c r="S792" s="322">
        <v>0</v>
      </c>
      <c r="T792" s="323">
        <f>S792*H792</f>
        <v>0</v>
      </c>
      <c r="U792" s="222"/>
      <c r="V792" s="222"/>
      <c r="W792" s="222"/>
      <c r="X792" s="222"/>
      <c r="Y792" s="222"/>
      <c r="Z792" s="222"/>
      <c r="AA792" s="222"/>
      <c r="AB792" s="222"/>
      <c r="AC792" s="222"/>
      <c r="AD792" s="222"/>
      <c r="AE792" s="222"/>
      <c r="AR792" s="324" t="s">
        <v>189</v>
      </c>
      <c r="AT792" s="324" t="s">
        <v>208</v>
      </c>
      <c r="AU792" s="324" t="s">
        <v>83</v>
      </c>
      <c r="AY792" s="214" t="s">
        <v>146</v>
      </c>
      <c r="BE792" s="325">
        <f>IF(N792="základní",J792,0)</f>
        <v>0</v>
      </c>
      <c r="BF792" s="325">
        <f>IF(N792="snížená",J792,0)</f>
        <v>0</v>
      </c>
      <c r="BG792" s="325">
        <f>IF(N792="zákl. přenesená",J792,0)</f>
        <v>0</v>
      </c>
      <c r="BH792" s="325">
        <f>IF(N792="sníž. přenesená",J792,0)</f>
        <v>0</v>
      </c>
      <c r="BI792" s="325">
        <f>IF(N792="nulová",J792,0)</f>
        <v>0</v>
      </c>
      <c r="BJ792" s="214" t="s">
        <v>81</v>
      </c>
      <c r="BK792" s="325">
        <f>ROUND(I792*H792,2)</f>
        <v>0</v>
      </c>
      <c r="BL792" s="214" t="s">
        <v>153</v>
      </c>
      <c r="BM792" s="324" t="s">
        <v>2396</v>
      </c>
    </row>
    <row r="793" spans="2:51" s="326" customFormat="1" ht="12">
      <c r="B793" s="327"/>
      <c r="D793" s="328" t="s">
        <v>155</v>
      </c>
      <c r="E793" s="329" t="s">
        <v>1</v>
      </c>
      <c r="F793" s="330" t="s">
        <v>2950</v>
      </c>
      <c r="H793" s="329">
        <v>2</v>
      </c>
      <c r="I793" s="497"/>
      <c r="L793" s="331"/>
      <c r="M793" s="332"/>
      <c r="N793" s="333"/>
      <c r="O793" s="333"/>
      <c r="P793" s="333"/>
      <c r="Q793" s="333"/>
      <c r="R793" s="333"/>
      <c r="S793" s="333"/>
      <c r="T793" s="334"/>
      <c r="AT793" s="329" t="s">
        <v>155</v>
      </c>
      <c r="AU793" s="329" t="s">
        <v>83</v>
      </c>
      <c r="AV793" s="326" t="s">
        <v>81</v>
      </c>
      <c r="AW793" s="326" t="s">
        <v>34</v>
      </c>
      <c r="AX793" s="326" t="s">
        <v>76</v>
      </c>
      <c r="AY793" s="329" t="s">
        <v>146</v>
      </c>
    </row>
    <row r="794" spans="1:65" s="225" customFormat="1" ht="25.5" customHeight="1">
      <c r="A794" s="222"/>
      <c r="B794" s="223"/>
      <c r="C794" s="358">
        <v>108</v>
      </c>
      <c r="D794" s="358"/>
      <c r="E794" s="359"/>
      <c r="F794" s="364" t="s">
        <v>3144</v>
      </c>
      <c r="G794" s="361" t="s">
        <v>301</v>
      </c>
      <c r="H794" s="362">
        <f>H795</f>
        <v>8</v>
      </c>
      <c r="I794" s="80"/>
      <c r="J794" s="363">
        <f>ROUND(I794*H794,2)</f>
        <v>0</v>
      </c>
      <c r="K794" s="364"/>
      <c r="L794" s="365"/>
      <c r="M794" s="366" t="s">
        <v>1</v>
      </c>
      <c r="N794" s="367" t="s">
        <v>42</v>
      </c>
      <c r="O794" s="322">
        <v>0</v>
      </c>
      <c r="P794" s="322">
        <f>O794*H794</f>
        <v>0</v>
      </c>
      <c r="Q794" s="322">
        <v>0.012</v>
      </c>
      <c r="R794" s="322">
        <f>Q794*H794</f>
        <v>0.096</v>
      </c>
      <c r="S794" s="322">
        <v>0</v>
      </c>
      <c r="T794" s="323">
        <f>S794*H794</f>
        <v>0</v>
      </c>
      <c r="U794" s="222"/>
      <c r="V794" s="222"/>
      <c r="W794" s="222"/>
      <c r="X794" s="222"/>
      <c r="Y794" s="222"/>
      <c r="Z794" s="222"/>
      <c r="AA794" s="222"/>
      <c r="AB794" s="222"/>
      <c r="AC794" s="222"/>
      <c r="AD794" s="222"/>
      <c r="AE794" s="222"/>
      <c r="AR794" s="324" t="s">
        <v>189</v>
      </c>
      <c r="AT794" s="324" t="s">
        <v>208</v>
      </c>
      <c r="AU794" s="324" t="s">
        <v>83</v>
      </c>
      <c r="AY794" s="214" t="s">
        <v>146</v>
      </c>
      <c r="BE794" s="325">
        <f>IF(N794="základní",J794,0)</f>
        <v>0</v>
      </c>
      <c r="BF794" s="325">
        <f>IF(N794="snížená",J794,0)</f>
        <v>0</v>
      </c>
      <c r="BG794" s="325">
        <f>IF(N794="zákl. přenesená",J794,0)</f>
        <v>0</v>
      </c>
      <c r="BH794" s="325">
        <f>IF(N794="sníž. přenesená",J794,0)</f>
        <v>0</v>
      </c>
      <c r="BI794" s="325">
        <f>IF(N794="nulová",J794,0)</f>
        <v>0</v>
      </c>
      <c r="BJ794" s="214" t="s">
        <v>81</v>
      </c>
      <c r="BK794" s="325">
        <f>ROUND(I794*H794,2)</f>
        <v>0</v>
      </c>
      <c r="BL794" s="214" t="s">
        <v>153</v>
      </c>
      <c r="BM794" s="324" t="s">
        <v>2396</v>
      </c>
    </row>
    <row r="795" spans="2:51" s="326" customFormat="1" ht="12">
      <c r="B795" s="327"/>
      <c r="D795" s="328" t="s">
        <v>155</v>
      </c>
      <c r="E795" s="329" t="s">
        <v>1</v>
      </c>
      <c r="F795" s="330" t="s">
        <v>2951</v>
      </c>
      <c r="H795" s="329">
        <f>2+3+3</f>
        <v>8</v>
      </c>
      <c r="I795" s="497"/>
      <c r="L795" s="331"/>
      <c r="M795" s="332"/>
      <c r="N795" s="333"/>
      <c r="O795" s="333"/>
      <c r="P795" s="333"/>
      <c r="Q795" s="333"/>
      <c r="R795" s="333"/>
      <c r="S795" s="333"/>
      <c r="T795" s="334"/>
      <c r="AT795" s="329" t="s">
        <v>155</v>
      </c>
      <c r="AU795" s="329" t="s">
        <v>83</v>
      </c>
      <c r="AV795" s="326" t="s">
        <v>81</v>
      </c>
      <c r="AW795" s="326" t="s">
        <v>34</v>
      </c>
      <c r="AX795" s="326" t="s">
        <v>76</v>
      </c>
      <c r="AY795" s="329" t="s">
        <v>146</v>
      </c>
    </row>
    <row r="796" spans="1:65" s="225" customFormat="1" ht="37.5" customHeight="1">
      <c r="A796" s="222"/>
      <c r="B796" s="223"/>
      <c r="C796" s="358">
        <v>109</v>
      </c>
      <c r="D796" s="358"/>
      <c r="E796" s="359"/>
      <c r="F796" s="364" t="s">
        <v>3145</v>
      </c>
      <c r="G796" s="361" t="s">
        <v>301</v>
      </c>
      <c r="H796" s="362">
        <f>H797</f>
        <v>4</v>
      </c>
      <c r="I796" s="80"/>
      <c r="J796" s="363">
        <f>ROUND(I796*H796,2)</f>
        <v>0</v>
      </c>
      <c r="K796" s="364"/>
      <c r="L796" s="365"/>
      <c r="M796" s="366" t="s">
        <v>1</v>
      </c>
      <c r="N796" s="367" t="s">
        <v>42</v>
      </c>
      <c r="O796" s="322">
        <v>0</v>
      </c>
      <c r="P796" s="322">
        <f>O796*H796</f>
        <v>0</v>
      </c>
      <c r="Q796" s="322">
        <v>0.012</v>
      </c>
      <c r="R796" s="322">
        <f>Q796*H796</f>
        <v>0.048</v>
      </c>
      <c r="S796" s="322">
        <v>0</v>
      </c>
      <c r="T796" s="323">
        <f>S796*H796</f>
        <v>0</v>
      </c>
      <c r="U796" s="222"/>
      <c r="V796" s="222"/>
      <c r="W796" s="222"/>
      <c r="X796" s="222"/>
      <c r="Y796" s="222"/>
      <c r="Z796" s="222"/>
      <c r="AA796" s="222"/>
      <c r="AB796" s="222"/>
      <c r="AC796" s="222"/>
      <c r="AD796" s="222"/>
      <c r="AE796" s="222"/>
      <c r="AR796" s="324" t="s">
        <v>189</v>
      </c>
      <c r="AT796" s="324" t="s">
        <v>208</v>
      </c>
      <c r="AU796" s="324" t="s">
        <v>83</v>
      </c>
      <c r="AY796" s="214" t="s">
        <v>146</v>
      </c>
      <c r="BE796" s="325">
        <f>IF(N796="základní",J796,0)</f>
        <v>0</v>
      </c>
      <c r="BF796" s="325">
        <f>IF(N796="snížená",J796,0)</f>
        <v>0</v>
      </c>
      <c r="BG796" s="325">
        <f>IF(N796="zákl. přenesená",J796,0)</f>
        <v>0</v>
      </c>
      <c r="BH796" s="325">
        <f>IF(N796="sníž. přenesená",J796,0)</f>
        <v>0</v>
      </c>
      <c r="BI796" s="325">
        <f>IF(N796="nulová",J796,0)</f>
        <v>0</v>
      </c>
      <c r="BJ796" s="214" t="s">
        <v>81</v>
      </c>
      <c r="BK796" s="325">
        <f>ROUND(I796*H796,2)</f>
        <v>0</v>
      </c>
      <c r="BL796" s="214" t="s">
        <v>153</v>
      </c>
      <c r="BM796" s="324" t="s">
        <v>2396</v>
      </c>
    </row>
    <row r="797" spans="2:51" s="326" customFormat="1" ht="12">
      <c r="B797" s="327"/>
      <c r="D797" s="328" t="s">
        <v>155</v>
      </c>
      <c r="E797" s="329" t="s">
        <v>1</v>
      </c>
      <c r="F797" s="330" t="s">
        <v>2954</v>
      </c>
      <c r="H797" s="329">
        <f>3+1</f>
        <v>4</v>
      </c>
      <c r="I797" s="497"/>
      <c r="L797" s="331"/>
      <c r="M797" s="332"/>
      <c r="N797" s="333"/>
      <c r="O797" s="333"/>
      <c r="P797" s="333"/>
      <c r="Q797" s="333"/>
      <c r="R797" s="333"/>
      <c r="S797" s="333"/>
      <c r="T797" s="334"/>
      <c r="AT797" s="329" t="s">
        <v>155</v>
      </c>
      <c r="AU797" s="329" t="s">
        <v>83</v>
      </c>
      <c r="AV797" s="326" t="s">
        <v>81</v>
      </c>
      <c r="AW797" s="326" t="s">
        <v>34</v>
      </c>
      <c r="AX797" s="326" t="s">
        <v>76</v>
      </c>
      <c r="AY797" s="329" t="s">
        <v>146</v>
      </c>
    </row>
    <row r="798" spans="1:65" s="225" customFormat="1" ht="41.25" customHeight="1">
      <c r="A798" s="222"/>
      <c r="B798" s="223"/>
      <c r="C798" s="358">
        <v>110</v>
      </c>
      <c r="D798" s="358"/>
      <c r="E798" s="359"/>
      <c r="F798" s="364" t="s">
        <v>3146</v>
      </c>
      <c r="G798" s="361" t="s">
        <v>301</v>
      </c>
      <c r="H798" s="362">
        <f>H799</f>
        <v>1</v>
      </c>
      <c r="I798" s="80"/>
      <c r="J798" s="363">
        <f>ROUND(I798*H798,2)</f>
        <v>0</v>
      </c>
      <c r="K798" s="364"/>
      <c r="L798" s="365"/>
      <c r="M798" s="366" t="s">
        <v>1</v>
      </c>
      <c r="N798" s="367" t="s">
        <v>42</v>
      </c>
      <c r="O798" s="322">
        <v>0</v>
      </c>
      <c r="P798" s="322">
        <f>O798*H798</f>
        <v>0</v>
      </c>
      <c r="Q798" s="322">
        <v>0.012</v>
      </c>
      <c r="R798" s="322">
        <f>Q798*H798</f>
        <v>0.012</v>
      </c>
      <c r="S798" s="322">
        <v>0</v>
      </c>
      <c r="T798" s="323">
        <f>S798*H798</f>
        <v>0</v>
      </c>
      <c r="U798" s="222"/>
      <c r="V798" s="222"/>
      <c r="W798" s="222"/>
      <c r="X798" s="222"/>
      <c r="Y798" s="222"/>
      <c r="Z798" s="222"/>
      <c r="AA798" s="222"/>
      <c r="AB798" s="222"/>
      <c r="AC798" s="222"/>
      <c r="AD798" s="222"/>
      <c r="AE798" s="222"/>
      <c r="AR798" s="324" t="s">
        <v>189</v>
      </c>
      <c r="AT798" s="324" t="s">
        <v>208</v>
      </c>
      <c r="AU798" s="324" t="s">
        <v>83</v>
      </c>
      <c r="AY798" s="214" t="s">
        <v>146</v>
      </c>
      <c r="BE798" s="325">
        <f>IF(N798="základní",J798,0)</f>
        <v>0</v>
      </c>
      <c r="BF798" s="325">
        <f>IF(N798="snížená",J798,0)</f>
        <v>0</v>
      </c>
      <c r="BG798" s="325">
        <f>IF(N798="zákl. přenesená",J798,0)</f>
        <v>0</v>
      </c>
      <c r="BH798" s="325">
        <f>IF(N798="sníž. přenesená",J798,0)</f>
        <v>0</v>
      </c>
      <c r="BI798" s="325">
        <f>IF(N798="nulová",J798,0)</f>
        <v>0</v>
      </c>
      <c r="BJ798" s="214" t="s">
        <v>81</v>
      </c>
      <c r="BK798" s="325">
        <f>ROUND(I798*H798,2)</f>
        <v>0</v>
      </c>
      <c r="BL798" s="214" t="s">
        <v>153</v>
      </c>
      <c r="BM798" s="324" t="s">
        <v>2396</v>
      </c>
    </row>
    <row r="799" spans="2:51" s="326" customFormat="1" ht="12">
      <c r="B799" s="327"/>
      <c r="D799" s="328" t="s">
        <v>155</v>
      </c>
      <c r="E799" s="329" t="s">
        <v>1</v>
      </c>
      <c r="F799" s="330" t="s">
        <v>2952</v>
      </c>
      <c r="H799" s="329">
        <v>1</v>
      </c>
      <c r="I799" s="497"/>
      <c r="L799" s="331"/>
      <c r="M799" s="332"/>
      <c r="N799" s="333"/>
      <c r="O799" s="333"/>
      <c r="P799" s="333"/>
      <c r="Q799" s="333"/>
      <c r="R799" s="333"/>
      <c r="S799" s="333"/>
      <c r="T799" s="334"/>
      <c r="AT799" s="329" t="s">
        <v>155</v>
      </c>
      <c r="AU799" s="329" t="s">
        <v>83</v>
      </c>
      <c r="AV799" s="326" t="s">
        <v>81</v>
      </c>
      <c r="AW799" s="326" t="s">
        <v>34</v>
      </c>
      <c r="AX799" s="326" t="s">
        <v>76</v>
      </c>
      <c r="AY799" s="329" t="s">
        <v>146</v>
      </c>
    </row>
    <row r="800" spans="1:65" s="225" customFormat="1" ht="24.2" customHeight="1">
      <c r="A800" s="222"/>
      <c r="B800" s="223"/>
      <c r="C800" s="314">
        <v>111</v>
      </c>
      <c r="D800" s="314" t="s">
        <v>148</v>
      </c>
      <c r="E800" s="315" t="s">
        <v>2955</v>
      </c>
      <c r="F800" s="316" t="s">
        <v>2956</v>
      </c>
      <c r="G800" s="317" t="s">
        <v>301</v>
      </c>
      <c r="H800" s="318">
        <f>H801</f>
        <v>3</v>
      </c>
      <c r="I800" s="79"/>
      <c r="J800" s="319">
        <f>ROUND(I800*H800,2)</f>
        <v>0</v>
      </c>
      <c r="K800" s="316"/>
      <c r="L800" s="229"/>
      <c r="M800" s="320" t="s">
        <v>1</v>
      </c>
      <c r="N800" s="321" t="s">
        <v>42</v>
      </c>
      <c r="O800" s="322">
        <v>0.035</v>
      </c>
      <c r="P800" s="322">
        <f>O800*H800</f>
        <v>0.10500000000000001</v>
      </c>
      <c r="Q800" s="322">
        <v>0.0375</v>
      </c>
      <c r="R800" s="322">
        <f>Q800*H800</f>
        <v>0.11249999999999999</v>
      </c>
      <c r="S800" s="322">
        <v>0</v>
      </c>
      <c r="T800" s="323">
        <f>S800*H800</f>
        <v>0</v>
      </c>
      <c r="U800" s="222"/>
      <c r="V800" s="222"/>
      <c r="W800" s="222"/>
      <c r="X800" s="222"/>
      <c r="Y800" s="222"/>
      <c r="Z800" s="222"/>
      <c r="AA800" s="222"/>
      <c r="AB800" s="222"/>
      <c r="AC800" s="222"/>
      <c r="AD800" s="222"/>
      <c r="AE800" s="222"/>
      <c r="AR800" s="324" t="s">
        <v>153</v>
      </c>
      <c r="AT800" s="324" t="s">
        <v>148</v>
      </c>
      <c r="AU800" s="324" t="s">
        <v>83</v>
      </c>
      <c r="AY800" s="214" t="s">
        <v>146</v>
      </c>
      <c r="BE800" s="325">
        <f>IF(N800="základní",J800,0)</f>
        <v>0</v>
      </c>
      <c r="BF800" s="325">
        <f>IF(N800="snížená",J800,0)</f>
        <v>0</v>
      </c>
      <c r="BG800" s="325">
        <f>IF(N800="zákl. přenesená",J800,0)</f>
        <v>0</v>
      </c>
      <c r="BH800" s="325">
        <f>IF(N800="sníž. přenesená",J800,0)</f>
        <v>0</v>
      </c>
      <c r="BI800" s="325">
        <f>IF(N800="nulová",J800,0)</f>
        <v>0</v>
      </c>
      <c r="BJ800" s="214" t="s">
        <v>81</v>
      </c>
      <c r="BK800" s="325">
        <f>ROUND(I800*H800,2)</f>
        <v>0</v>
      </c>
      <c r="BL800" s="214" t="s">
        <v>153</v>
      </c>
      <c r="BM800" s="324" t="s">
        <v>2403</v>
      </c>
    </row>
    <row r="801" spans="2:51" s="326" customFormat="1" ht="12">
      <c r="B801" s="327"/>
      <c r="D801" s="328" t="s">
        <v>155</v>
      </c>
      <c r="E801" s="329" t="s">
        <v>1</v>
      </c>
      <c r="F801" s="330" t="s">
        <v>2957</v>
      </c>
      <c r="H801" s="329">
        <f>2+1</f>
        <v>3</v>
      </c>
      <c r="I801" s="497"/>
      <c r="L801" s="331"/>
      <c r="M801" s="332"/>
      <c r="N801" s="333"/>
      <c r="O801" s="333"/>
      <c r="P801" s="333"/>
      <c r="Q801" s="333"/>
      <c r="R801" s="333"/>
      <c r="S801" s="333"/>
      <c r="T801" s="334"/>
      <c r="AT801" s="329" t="s">
        <v>155</v>
      </c>
      <c r="AU801" s="329" t="s">
        <v>83</v>
      </c>
      <c r="AV801" s="326" t="s">
        <v>81</v>
      </c>
      <c r="AW801" s="326" t="s">
        <v>34</v>
      </c>
      <c r="AX801" s="326" t="s">
        <v>76</v>
      </c>
      <c r="AY801" s="329" t="s">
        <v>146</v>
      </c>
    </row>
    <row r="802" spans="1:65" s="225" customFormat="1" ht="39" customHeight="1">
      <c r="A802" s="222"/>
      <c r="B802" s="223"/>
      <c r="C802" s="358">
        <v>112</v>
      </c>
      <c r="D802" s="358"/>
      <c r="E802" s="359"/>
      <c r="F802" s="364" t="s">
        <v>3147</v>
      </c>
      <c r="G802" s="361" t="s">
        <v>301</v>
      </c>
      <c r="H802" s="362">
        <f>H803</f>
        <v>2</v>
      </c>
      <c r="I802" s="80"/>
      <c r="J802" s="363">
        <f>ROUND(I802*H802,2)</f>
        <v>0</v>
      </c>
      <c r="K802" s="364"/>
      <c r="L802" s="365"/>
      <c r="M802" s="366" t="s">
        <v>1</v>
      </c>
      <c r="N802" s="367" t="s">
        <v>42</v>
      </c>
      <c r="O802" s="322">
        <v>0</v>
      </c>
      <c r="P802" s="322">
        <f>O802*H802</f>
        <v>0</v>
      </c>
      <c r="Q802" s="322">
        <v>0.015</v>
      </c>
      <c r="R802" s="322">
        <f>Q802*H802</f>
        <v>0.03</v>
      </c>
      <c r="S802" s="322">
        <v>0</v>
      </c>
      <c r="T802" s="323">
        <f>S802*H802</f>
        <v>0</v>
      </c>
      <c r="U802" s="222"/>
      <c r="V802" s="222"/>
      <c r="W802" s="222"/>
      <c r="X802" s="222"/>
      <c r="Y802" s="222"/>
      <c r="Z802" s="222"/>
      <c r="AA802" s="222"/>
      <c r="AB802" s="222"/>
      <c r="AC802" s="222"/>
      <c r="AD802" s="222"/>
      <c r="AE802" s="222"/>
      <c r="AR802" s="324" t="s">
        <v>189</v>
      </c>
      <c r="AT802" s="324" t="s">
        <v>208</v>
      </c>
      <c r="AU802" s="324" t="s">
        <v>83</v>
      </c>
      <c r="AY802" s="214" t="s">
        <v>146</v>
      </c>
      <c r="BE802" s="325">
        <f>IF(N802="základní",J802,0)</f>
        <v>0</v>
      </c>
      <c r="BF802" s="325">
        <f>IF(N802="snížená",J802,0)</f>
        <v>0</v>
      </c>
      <c r="BG802" s="325">
        <f>IF(N802="zákl. přenesená",J802,0)</f>
        <v>0</v>
      </c>
      <c r="BH802" s="325">
        <f>IF(N802="sníž. přenesená",J802,0)</f>
        <v>0</v>
      </c>
      <c r="BI802" s="325">
        <f>IF(N802="nulová",J802,0)</f>
        <v>0</v>
      </c>
      <c r="BJ802" s="214" t="s">
        <v>81</v>
      </c>
      <c r="BK802" s="325">
        <f>ROUND(I802*H802,2)</f>
        <v>0</v>
      </c>
      <c r="BL802" s="214" t="s">
        <v>153</v>
      </c>
      <c r="BM802" s="324" t="s">
        <v>2396</v>
      </c>
    </row>
    <row r="803" spans="2:51" s="326" customFormat="1" ht="12">
      <c r="B803" s="327"/>
      <c r="D803" s="328" t="s">
        <v>155</v>
      </c>
      <c r="E803" s="329" t="s">
        <v>1</v>
      </c>
      <c r="F803" s="330" t="s">
        <v>2958</v>
      </c>
      <c r="H803" s="329">
        <v>2</v>
      </c>
      <c r="I803" s="497"/>
      <c r="L803" s="331"/>
      <c r="M803" s="332"/>
      <c r="N803" s="333"/>
      <c r="O803" s="333"/>
      <c r="P803" s="333"/>
      <c r="Q803" s="333"/>
      <c r="R803" s="333"/>
      <c r="S803" s="333"/>
      <c r="T803" s="334"/>
      <c r="AT803" s="329" t="s">
        <v>155</v>
      </c>
      <c r="AU803" s="329" t="s">
        <v>83</v>
      </c>
      <c r="AV803" s="326" t="s">
        <v>81</v>
      </c>
      <c r="AW803" s="326" t="s">
        <v>34</v>
      </c>
      <c r="AX803" s="326" t="s">
        <v>76</v>
      </c>
      <c r="AY803" s="329" t="s">
        <v>146</v>
      </c>
    </row>
    <row r="804" spans="1:65" s="225" customFormat="1" ht="42.75" customHeight="1">
      <c r="A804" s="222"/>
      <c r="B804" s="223"/>
      <c r="C804" s="358">
        <v>113</v>
      </c>
      <c r="D804" s="358"/>
      <c r="E804" s="359"/>
      <c r="F804" s="364" t="s">
        <v>3148</v>
      </c>
      <c r="G804" s="361" t="s">
        <v>301</v>
      </c>
      <c r="H804" s="362">
        <f>H805</f>
        <v>1</v>
      </c>
      <c r="I804" s="80"/>
      <c r="J804" s="363">
        <f>ROUND(I804*H804,2)</f>
        <v>0</v>
      </c>
      <c r="K804" s="364"/>
      <c r="L804" s="365"/>
      <c r="M804" s="366" t="s">
        <v>1</v>
      </c>
      <c r="N804" s="367" t="s">
        <v>42</v>
      </c>
      <c r="O804" s="322">
        <v>0</v>
      </c>
      <c r="P804" s="322">
        <f>O804*H804</f>
        <v>0</v>
      </c>
      <c r="Q804" s="322">
        <v>0.015</v>
      </c>
      <c r="R804" s="322">
        <f>Q804*H804</f>
        <v>0.015</v>
      </c>
      <c r="S804" s="322">
        <v>0</v>
      </c>
      <c r="T804" s="323">
        <f>S804*H804</f>
        <v>0</v>
      </c>
      <c r="U804" s="222"/>
      <c r="V804" s="222"/>
      <c r="W804" s="222"/>
      <c r="X804" s="222"/>
      <c r="Y804" s="222"/>
      <c r="Z804" s="222"/>
      <c r="AA804" s="222"/>
      <c r="AB804" s="222"/>
      <c r="AC804" s="222"/>
      <c r="AD804" s="222"/>
      <c r="AE804" s="222"/>
      <c r="AR804" s="324" t="s">
        <v>189</v>
      </c>
      <c r="AT804" s="324" t="s">
        <v>208</v>
      </c>
      <c r="AU804" s="324" t="s">
        <v>83</v>
      </c>
      <c r="AY804" s="214" t="s">
        <v>146</v>
      </c>
      <c r="BE804" s="325">
        <f>IF(N804="základní",J804,0)</f>
        <v>0</v>
      </c>
      <c r="BF804" s="325">
        <f>IF(N804="snížená",J804,0)</f>
        <v>0</v>
      </c>
      <c r="BG804" s="325">
        <f>IF(N804="zákl. přenesená",J804,0)</f>
        <v>0</v>
      </c>
      <c r="BH804" s="325">
        <f>IF(N804="sníž. přenesená",J804,0)</f>
        <v>0</v>
      </c>
      <c r="BI804" s="325">
        <f>IF(N804="nulová",J804,0)</f>
        <v>0</v>
      </c>
      <c r="BJ804" s="214" t="s">
        <v>81</v>
      </c>
      <c r="BK804" s="325">
        <f>ROUND(I804*H804,2)</f>
        <v>0</v>
      </c>
      <c r="BL804" s="214" t="s">
        <v>153</v>
      </c>
      <c r="BM804" s="324" t="s">
        <v>2396</v>
      </c>
    </row>
    <row r="805" spans="2:51" s="326" customFormat="1" ht="12">
      <c r="B805" s="327"/>
      <c r="D805" s="328" t="s">
        <v>155</v>
      </c>
      <c r="E805" s="329" t="s">
        <v>1</v>
      </c>
      <c r="F805" s="330" t="s">
        <v>2959</v>
      </c>
      <c r="H805" s="329">
        <v>1</v>
      </c>
      <c r="I805" s="497"/>
      <c r="L805" s="331"/>
      <c r="M805" s="332"/>
      <c r="N805" s="333"/>
      <c r="O805" s="333"/>
      <c r="P805" s="333"/>
      <c r="Q805" s="333"/>
      <c r="R805" s="333"/>
      <c r="S805" s="333"/>
      <c r="T805" s="334"/>
      <c r="AT805" s="329" t="s">
        <v>155</v>
      </c>
      <c r="AU805" s="329" t="s">
        <v>83</v>
      </c>
      <c r="AV805" s="326" t="s">
        <v>81</v>
      </c>
      <c r="AW805" s="326" t="s">
        <v>34</v>
      </c>
      <c r="AX805" s="326" t="s">
        <v>76</v>
      </c>
      <c r="AY805" s="329" t="s">
        <v>146</v>
      </c>
    </row>
    <row r="806" spans="2:63" s="297" customFormat="1" ht="22.9" customHeight="1">
      <c r="B806" s="298"/>
      <c r="D806" s="299" t="s">
        <v>75</v>
      </c>
      <c r="E806" s="310" t="s">
        <v>191</v>
      </c>
      <c r="F806" s="310" t="s">
        <v>611</v>
      </c>
      <c r="I806" s="501"/>
      <c r="J806" s="311">
        <f>SUM(J807:J1000)</f>
        <v>0</v>
      </c>
      <c r="L806" s="312"/>
      <c r="M806" s="303"/>
      <c r="N806" s="304"/>
      <c r="O806" s="304"/>
      <c r="P806" s="305">
        <f>SUM(P807:P1000)</f>
        <v>1255.5192738</v>
      </c>
      <c r="Q806" s="304"/>
      <c r="R806" s="305">
        <f>SUM(R807:R1000)</f>
        <v>21.919685675</v>
      </c>
      <c r="S806" s="304"/>
      <c r="T806" s="313">
        <f>SUM(T807:T1000)</f>
        <v>168.8364591</v>
      </c>
      <c r="AR806" s="299" t="s">
        <v>81</v>
      </c>
      <c r="AT806" s="308" t="s">
        <v>75</v>
      </c>
      <c r="AU806" s="308" t="s">
        <v>81</v>
      </c>
      <c r="AY806" s="299" t="s">
        <v>146</v>
      </c>
      <c r="BK806" s="309">
        <f>SUM(BK807:BK1000)</f>
        <v>0</v>
      </c>
    </row>
    <row r="807" spans="1:65" s="225" customFormat="1" ht="33" customHeight="1">
      <c r="A807" s="222"/>
      <c r="B807" s="223"/>
      <c r="C807" s="314">
        <v>114</v>
      </c>
      <c r="D807" s="314" t="s">
        <v>148</v>
      </c>
      <c r="E807" s="315" t="s">
        <v>612</v>
      </c>
      <c r="F807" s="316" t="s">
        <v>613</v>
      </c>
      <c r="G807" s="317" t="s">
        <v>158</v>
      </c>
      <c r="H807" s="318">
        <f>H808</f>
        <v>102.45000000000002</v>
      </c>
      <c r="I807" s="79"/>
      <c r="J807" s="319">
        <f>ROUND(I807*H807,2)</f>
        <v>0</v>
      </c>
      <c r="K807" s="316"/>
      <c r="L807" s="229"/>
      <c r="M807" s="320" t="s">
        <v>1</v>
      </c>
      <c r="N807" s="321" t="s">
        <v>42</v>
      </c>
      <c r="O807" s="322">
        <v>0.268</v>
      </c>
      <c r="P807" s="322">
        <f>O807*H807</f>
        <v>27.456600000000005</v>
      </c>
      <c r="Q807" s="322">
        <v>0.15539952</v>
      </c>
      <c r="R807" s="322">
        <f>Q807*H807</f>
        <v>15.920680824000003</v>
      </c>
      <c r="S807" s="322">
        <v>0</v>
      </c>
      <c r="T807" s="323">
        <f>S807*H807</f>
        <v>0</v>
      </c>
      <c r="U807" s="222"/>
      <c r="V807" s="222"/>
      <c r="W807" s="222"/>
      <c r="X807" s="222"/>
      <c r="Y807" s="222"/>
      <c r="Z807" s="222"/>
      <c r="AA807" s="222"/>
      <c r="AB807" s="222"/>
      <c r="AC807" s="222"/>
      <c r="AD807" s="222"/>
      <c r="AE807" s="222"/>
      <c r="AR807" s="324" t="s">
        <v>153</v>
      </c>
      <c r="AT807" s="324" t="s">
        <v>148</v>
      </c>
      <c r="AU807" s="324" t="s">
        <v>83</v>
      </c>
      <c r="AY807" s="214" t="s">
        <v>146</v>
      </c>
      <c r="BE807" s="325">
        <f>IF(N807="základní",J807,0)</f>
        <v>0</v>
      </c>
      <c r="BF807" s="325">
        <f>IF(N807="snížená",J807,0)</f>
        <v>0</v>
      </c>
      <c r="BG807" s="325">
        <f>IF(N807="zákl. přenesená",J807,0)</f>
        <v>0</v>
      </c>
      <c r="BH807" s="325">
        <f>IF(N807="sníž. přenesená",J807,0)</f>
        <v>0</v>
      </c>
      <c r="BI807" s="325">
        <f>IF(N807="nulová",J807,0)</f>
        <v>0</v>
      </c>
      <c r="BJ807" s="214" t="s">
        <v>81</v>
      </c>
      <c r="BK807" s="325">
        <f>ROUND(I807*H807,2)</f>
        <v>0</v>
      </c>
      <c r="BL807" s="214" t="s">
        <v>153</v>
      </c>
      <c r="BM807" s="324" t="s">
        <v>614</v>
      </c>
    </row>
    <row r="808" spans="2:51" s="335" customFormat="1" ht="22.5">
      <c r="B808" s="336"/>
      <c r="D808" s="328" t="s">
        <v>155</v>
      </c>
      <c r="E808" s="337" t="s">
        <v>1</v>
      </c>
      <c r="F808" s="338" t="s">
        <v>3922</v>
      </c>
      <c r="H808" s="339">
        <f>12.65+11.95+5.85+6.35+13+6.35+9.25+10.45+5.4+3.6+8.15+9.45</f>
        <v>102.45000000000002</v>
      </c>
      <c r="I808" s="498"/>
      <c r="L808" s="340"/>
      <c r="M808" s="341"/>
      <c r="N808" s="342"/>
      <c r="O808" s="342"/>
      <c r="P808" s="342"/>
      <c r="Q808" s="342"/>
      <c r="R808" s="342"/>
      <c r="S808" s="342"/>
      <c r="T808" s="343"/>
      <c r="AT808" s="337" t="s">
        <v>155</v>
      </c>
      <c r="AU808" s="337" t="s">
        <v>83</v>
      </c>
      <c r="AV808" s="335" t="s">
        <v>83</v>
      </c>
      <c r="AW808" s="335" t="s">
        <v>34</v>
      </c>
      <c r="AX808" s="335" t="s">
        <v>81</v>
      </c>
      <c r="AY808" s="337" t="s">
        <v>146</v>
      </c>
    </row>
    <row r="809" spans="1:65" s="225" customFormat="1" ht="16.5" customHeight="1">
      <c r="A809" s="222"/>
      <c r="B809" s="223"/>
      <c r="C809" s="358">
        <v>115</v>
      </c>
      <c r="D809" s="358" t="s">
        <v>208</v>
      </c>
      <c r="E809" s="359" t="s">
        <v>615</v>
      </c>
      <c r="F809" s="364" t="s">
        <v>616</v>
      </c>
      <c r="G809" s="361" t="s">
        <v>158</v>
      </c>
      <c r="H809" s="362">
        <f>H810</f>
        <v>104.49900000000002</v>
      </c>
      <c r="I809" s="80"/>
      <c r="J809" s="363">
        <f>ROUND(I809*H809,2)</f>
        <v>0</v>
      </c>
      <c r="K809" s="364"/>
      <c r="L809" s="365"/>
      <c r="M809" s="366" t="s">
        <v>1</v>
      </c>
      <c r="N809" s="367" t="s">
        <v>42</v>
      </c>
      <c r="O809" s="322">
        <v>0</v>
      </c>
      <c r="P809" s="322">
        <f>O809*H809</f>
        <v>0</v>
      </c>
      <c r="Q809" s="322">
        <v>0.04</v>
      </c>
      <c r="R809" s="322">
        <f>Q809*H809</f>
        <v>4.179960000000001</v>
      </c>
      <c r="S809" s="322">
        <v>0</v>
      </c>
      <c r="T809" s="323">
        <f>S809*H809</f>
        <v>0</v>
      </c>
      <c r="U809" s="222"/>
      <c r="V809" s="222"/>
      <c r="W809" s="222"/>
      <c r="X809" s="222"/>
      <c r="Y809" s="222"/>
      <c r="Z809" s="222"/>
      <c r="AA809" s="222"/>
      <c r="AB809" s="222"/>
      <c r="AC809" s="222"/>
      <c r="AD809" s="222"/>
      <c r="AE809" s="222"/>
      <c r="AR809" s="324" t="s">
        <v>189</v>
      </c>
      <c r="AT809" s="324" t="s">
        <v>208</v>
      </c>
      <c r="AU809" s="324" t="s">
        <v>83</v>
      </c>
      <c r="AY809" s="214" t="s">
        <v>146</v>
      </c>
      <c r="BE809" s="325">
        <f>IF(N809="základní",J809,0)</f>
        <v>0</v>
      </c>
      <c r="BF809" s="325">
        <f>IF(N809="snížená",J809,0)</f>
        <v>0</v>
      </c>
      <c r="BG809" s="325">
        <f>IF(N809="zákl. přenesená",J809,0)</f>
        <v>0</v>
      </c>
      <c r="BH809" s="325">
        <f>IF(N809="sníž. přenesená",J809,0)</f>
        <v>0</v>
      </c>
      <c r="BI809" s="325">
        <f>IF(N809="nulová",J809,0)</f>
        <v>0</v>
      </c>
      <c r="BJ809" s="214" t="s">
        <v>81</v>
      </c>
      <c r="BK809" s="325">
        <f>ROUND(I809*H809,2)</f>
        <v>0</v>
      </c>
      <c r="BL809" s="214" t="s">
        <v>153</v>
      </c>
      <c r="BM809" s="324" t="s">
        <v>617</v>
      </c>
    </row>
    <row r="810" spans="2:51" s="335" customFormat="1" ht="12">
      <c r="B810" s="336"/>
      <c r="D810" s="328" t="s">
        <v>155</v>
      </c>
      <c r="F810" s="338" t="s">
        <v>2811</v>
      </c>
      <c r="H810" s="339">
        <f>H807*1.02</f>
        <v>104.49900000000002</v>
      </c>
      <c r="I810" s="498"/>
      <c r="L810" s="340"/>
      <c r="M810" s="341"/>
      <c r="N810" s="342"/>
      <c r="O810" s="342"/>
      <c r="P810" s="342"/>
      <c r="Q810" s="342"/>
      <c r="R810" s="342"/>
      <c r="S810" s="342"/>
      <c r="T810" s="343"/>
      <c r="AT810" s="337" t="s">
        <v>155</v>
      </c>
      <c r="AU810" s="337" t="s">
        <v>83</v>
      </c>
      <c r="AV810" s="335" t="s">
        <v>83</v>
      </c>
      <c r="AW810" s="335" t="s">
        <v>3</v>
      </c>
      <c r="AX810" s="335" t="s">
        <v>81</v>
      </c>
      <c r="AY810" s="337" t="s">
        <v>146</v>
      </c>
    </row>
    <row r="811" spans="1:65" s="225" customFormat="1" ht="24.2" customHeight="1">
      <c r="A811" s="222"/>
      <c r="B811" s="223"/>
      <c r="C811" s="314">
        <v>116</v>
      </c>
      <c r="D811" s="314" t="s">
        <v>148</v>
      </c>
      <c r="E811" s="315"/>
      <c r="F811" s="344" t="s">
        <v>3317</v>
      </c>
      <c r="G811" s="317" t="s">
        <v>158</v>
      </c>
      <c r="H811" s="318">
        <f>H816</f>
        <v>75.75</v>
      </c>
      <c r="I811" s="79"/>
      <c r="J811" s="319">
        <f>ROUND(I811*H811,2)</f>
        <v>0</v>
      </c>
      <c r="K811" s="316"/>
      <c r="L811" s="331"/>
      <c r="M811" s="320" t="s">
        <v>1</v>
      </c>
      <c r="N811" s="321" t="s">
        <v>42</v>
      </c>
      <c r="O811" s="322">
        <v>0.451</v>
      </c>
      <c r="P811" s="322">
        <f>O811*H811</f>
        <v>34.16325</v>
      </c>
      <c r="Q811" s="322">
        <v>3E-05</v>
      </c>
      <c r="R811" s="322">
        <f>Q811*H811</f>
        <v>0.0022725</v>
      </c>
      <c r="S811" s="322">
        <v>0</v>
      </c>
      <c r="T811" s="323">
        <f>S811*H811</f>
        <v>0</v>
      </c>
      <c r="U811" s="222"/>
      <c r="V811" s="222"/>
      <c r="W811" s="222"/>
      <c r="X811" s="222"/>
      <c r="Y811" s="222"/>
      <c r="Z811" s="222"/>
      <c r="AA811" s="222"/>
      <c r="AB811" s="222"/>
      <c r="AC811" s="222"/>
      <c r="AD811" s="222"/>
      <c r="AE811" s="222"/>
      <c r="AR811" s="324" t="s">
        <v>153</v>
      </c>
      <c r="AT811" s="324" t="s">
        <v>148</v>
      </c>
      <c r="AU811" s="324" t="s">
        <v>83</v>
      </c>
      <c r="AY811" s="214" t="s">
        <v>146</v>
      </c>
      <c r="BE811" s="325">
        <f>IF(N811="základní",J811,0)</f>
        <v>0</v>
      </c>
      <c r="BF811" s="325">
        <f>IF(N811="snížená",J811,0)</f>
        <v>0</v>
      </c>
      <c r="BG811" s="325">
        <f>IF(N811="zákl. přenesená",J811,0)</f>
        <v>0</v>
      </c>
      <c r="BH811" s="325">
        <f>IF(N811="sníž. přenesená",J811,0)</f>
        <v>0</v>
      </c>
      <c r="BI811" s="325">
        <f>IF(N811="nulová",J811,0)</f>
        <v>0</v>
      </c>
      <c r="BJ811" s="214" t="s">
        <v>81</v>
      </c>
      <c r="BK811" s="325">
        <f>ROUND(I811*H811,2)</f>
        <v>0</v>
      </c>
      <c r="BL811" s="214" t="s">
        <v>153</v>
      </c>
      <c r="BM811" s="324" t="s">
        <v>618</v>
      </c>
    </row>
    <row r="812" spans="2:51" s="326" customFormat="1" ht="12">
      <c r="B812" s="327"/>
      <c r="D812" s="328" t="s">
        <v>155</v>
      </c>
      <c r="E812" s="329" t="s">
        <v>3923</v>
      </c>
      <c r="F812" s="338" t="s">
        <v>3924</v>
      </c>
      <c r="H812" s="469">
        <f>5.75*2+1.35</f>
        <v>12.85</v>
      </c>
      <c r="I812" s="497"/>
      <c r="L812" s="331"/>
      <c r="M812" s="332"/>
      <c r="N812" s="333"/>
      <c r="O812" s="333"/>
      <c r="P812" s="333"/>
      <c r="Q812" s="333"/>
      <c r="R812" s="333"/>
      <c r="S812" s="333"/>
      <c r="T812" s="334"/>
      <c r="AT812" s="329" t="s">
        <v>155</v>
      </c>
      <c r="AU812" s="329" t="s">
        <v>83</v>
      </c>
      <c r="AV812" s="326" t="s">
        <v>81</v>
      </c>
      <c r="AW812" s="326" t="s">
        <v>34</v>
      </c>
      <c r="AX812" s="326" t="s">
        <v>76</v>
      </c>
      <c r="AY812" s="329" t="s">
        <v>146</v>
      </c>
    </row>
    <row r="813" spans="2:51" s="335" customFormat="1" ht="12">
      <c r="B813" s="336"/>
      <c r="D813" s="328" t="s">
        <v>155</v>
      </c>
      <c r="E813" s="337" t="s">
        <v>1</v>
      </c>
      <c r="F813" s="338" t="s">
        <v>3925</v>
      </c>
      <c r="H813" s="339">
        <f>8.4+7.2+22</f>
        <v>37.6</v>
      </c>
      <c r="I813" s="498"/>
      <c r="L813" s="340"/>
      <c r="M813" s="341"/>
      <c r="N813" s="342"/>
      <c r="O813" s="342"/>
      <c r="P813" s="342"/>
      <c r="Q813" s="342"/>
      <c r="R813" s="342"/>
      <c r="S813" s="342"/>
      <c r="T813" s="343"/>
      <c r="AT813" s="337" t="s">
        <v>155</v>
      </c>
      <c r="AU813" s="337" t="s">
        <v>83</v>
      </c>
      <c r="AV813" s="335" t="s">
        <v>83</v>
      </c>
      <c r="AW813" s="335" t="s">
        <v>34</v>
      </c>
      <c r="AX813" s="335" t="s">
        <v>81</v>
      </c>
      <c r="AY813" s="337" t="s">
        <v>146</v>
      </c>
    </row>
    <row r="814" spans="2:51" s="335" customFormat="1" ht="12">
      <c r="B814" s="336"/>
      <c r="D814" s="328" t="s">
        <v>155</v>
      </c>
      <c r="E814" s="337" t="s">
        <v>1</v>
      </c>
      <c r="F814" s="338" t="s">
        <v>3315</v>
      </c>
      <c r="H814" s="339">
        <v>13.3</v>
      </c>
      <c r="I814" s="498"/>
      <c r="L814" s="340"/>
      <c r="M814" s="341"/>
      <c r="N814" s="342"/>
      <c r="O814" s="342"/>
      <c r="P814" s="342"/>
      <c r="Q814" s="342"/>
      <c r="R814" s="342"/>
      <c r="S814" s="342"/>
      <c r="T814" s="343"/>
      <c r="AT814" s="337" t="s">
        <v>155</v>
      </c>
      <c r="AU814" s="337" t="s">
        <v>83</v>
      </c>
      <c r="AV814" s="335" t="s">
        <v>83</v>
      </c>
      <c r="AW814" s="335" t="s">
        <v>34</v>
      </c>
      <c r="AX814" s="335" t="s">
        <v>81</v>
      </c>
      <c r="AY814" s="337" t="s">
        <v>146</v>
      </c>
    </row>
    <row r="815" spans="2:51" s="335" customFormat="1" ht="12">
      <c r="B815" s="336"/>
      <c r="D815" s="328"/>
      <c r="E815" s="337"/>
      <c r="F815" s="338" t="s">
        <v>3316</v>
      </c>
      <c r="H815" s="339">
        <f>6*2</f>
        <v>12</v>
      </c>
      <c r="I815" s="498"/>
      <c r="L815" s="340"/>
      <c r="M815" s="341"/>
      <c r="N815" s="342"/>
      <c r="O815" s="342"/>
      <c r="P815" s="342"/>
      <c r="Q815" s="342"/>
      <c r="R815" s="342"/>
      <c r="S815" s="342"/>
      <c r="T815" s="343"/>
      <c r="AT815" s="337"/>
      <c r="AU815" s="337"/>
      <c r="AY815" s="337"/>
    </row>
    <row r="816" spans="2:51" s="347" customFormat="1" ht="12">
      <c r="B816" s="348"/>
      <c r="D816" s="328" t="s">
        <v>155</v>
      </c>
      <c r="E816" s="349" t="s">
        <v>1</v>
      </c>
      <c r="F816" s="350" t="s">
        <v>157</v>
      </c>
      <c r="H816" s="351">
        <f>SUM(H812:H815)</f>
        <v>75.75</v>
      </c>
      <c r="I816" s="499"/>
      <c r="L816" s="352"/>
      <c r="M816" s="353"/>
      <c r="N816" s="354"/>
      <c r="O816" s="354"/>
      <c r="P816" s="354"/>
      <c r="Q816" s="354"/>
      <c r="R816" s="354"/>
      <c r="S816" s="354"/>
      <c r="T816" s="355"/>
      <c r="AT816" s="349" t="s">
        <v>155</v>
      </c>
      <c r="AU816" s="349" t="s">
        <v>83</v>
      </c>
      <c r="AV816" s="347" t="s">
        <v>153</v>
      </c>
      <c r="AW816" s="347" t="s">
        <v>34</v>
      </c>
      <c r="AX816" s="347" t="s">
        <v>81</v>
      </c>
      <c r="AY816" s="349" t="s">
        <v>146</v>
      </c>
    </row>
    <row r="817" spans="1:65" s="225" customFormat="1" ht="45" customHeight="1">
      <c r="A817" s="222"/>
      <c r="B817" s="223"/>
      <c r="C817" s="314">
        <v>117</v>
      </c>
      <c r="D817" s="314" t="s">
        <v>148</v>
      </c>
      <c r="E817" s="315"/>
      <c r="F817" s="344" t="s">
        <v>2641</v>
      </c>
      <c r="G817" s="317" t="s">
        <v>158</v>
      </c>
      <c r="H817" s="318">
        <v>6</v>
      </c>
      <c r="I817" s="79"/>
      <c r="J817" s="319">
        <f>ROUND(I817*H817,2)</f>
        <v>0</v>
      </c>
      <c r="K817" s="316"/>
      <c r="L817" s="229"/>
      <c r="M817" s="320" t="s">
        <v>1</v>
      </c>
      <c r="N817" s="321" t="s">
        <v>42</v>
      </c>
      <c r="O817" s="322">
        <v>0.94</v>
      </c>
      <c r="P817" s="322">
        <f>O817*H817</f>
        <v>5.64</v>
      </c>
      <c r="Q817" s="322">
        <v>0.25565</v>
      </c>
      <c r="R817" s="322">
        <f>Q817*H817</f>
        <v>1.5339</v>
      </c>
      <c r="S817" s="322">
        <v>0</v>
      </c>
      <c r="T817" s="323">
        <f>S817*H817</f>
        <v>0</v>
      </c>
      <c r="U817" s="222"/>
      <c r="V817" s="222"/>
      <c r="W817" s="222"/>
      <c r="X817" s="222"/>
      <c r="Y817" s="222"/>
      <c r="Z817" s="222"/>
      <c r="AA817" s="222"/>
      <c r="AB817" s="222"/>
      <c r="AC817" s="222"/>
      <c r="AD817" s="222"/>
      <c r="AE817" s="222"/>
      <c r="AR817" s="324" t="s">
        <v>153</v>
      </c>
      <c r="AT817" s="324" t="s">
        <v>148</v>
      </c>
      <c r="AU817" s="324" t="s">
        <v>83</v>
      </c>
      <c r="AY817" s="214" t="s">
        <v>146</v>
      </c>
      <c r="BE817" s="325">
        <f>IF(N817="základní",J817,0)</f>
        <v>0</v>
      </c>
      <c r="BF817" s="325">
        <f>IF(N817="snížená",J817,0)</f>
        <v>0</v>
      </c>
      <c r="BG817" s="325">
        <f>IF(N817="zákl. přenesená",J817,0)</f>
        <v>0</v>
      </c>
      <c r="BH817" s="325">
        <f>IF(N817="sníž. přenesená",J817,0)</f>
        <v>0</v>
      </c>
      <c r="BI817" s="325">
        <f>IF(N817="nulová",J817,0)</f>
        <v>0</v>
      </c>
      <c r="BJ817" s="214" t="s">
        <v>81</v>
      </c>
      <c r="BK817" s="325">
        <f>ROUND(I817*H817,2)</f>
        <v>0</v>
      </c>
      <c r="BL817" s="214" t="s">
        <v>153</v>
      </c>
      <c r="BM817" s="324" t="s">
        <v>619</v>
      </c>
    </row>
    <row r="818" spans="1:65" s="225" customFormat="1" ht="62.25" customHeight="1">
      <c r="A818" s="222"/>
      <c r="B818" s="223"/>
      <c r="C818" s="314">
        <v>118</v>
      </c>
      <c r="D818" s="314" t="s">
        <v>148</v>
      </c>
      <c r="E818" s="315"/>
      <c r="F818" s="344" t="s">
        <v>2642</v>
      </c>
      <c r="G818" s="317" t="s">
        <v>1361</v>
      </c>
      <c r="H818" s="318">
        <v>1</v>
      </c>
      <c r="I818" s="79"/>
      <c r="J818" s="319">
        <f aca="true" t="shared" si="0" ref="J818">ROUND(I818*H818,2)</f>
        <v>0</v>
      </c>
      <c r="K818" s="316"/>
      <c r="L818" s="229"/>
      <c r="M818" s="320" t="s">
        <v>1</v>
      </c>
      <c r="N818" s="321" t="s">
        <v>42</v>
      </c>
      <c r="O818" s="322">
        <v>0.94</v>
      </c>
      <c r="P818" s="322">
        <f aca="true" t="shared" si="1" ref="P818">O818*H818</f>
        <v>0.94</v>
      </c>
      <c r="Q818" s="322">
        <v>0.25565</v>
      </c>
      <c r="R818" s="322">
        <f aca="true" t="shared" si="2" ref="R818">Q818*H818</f>
        <v>0.25565</v>
      </c>
      <c r="S818" s="322">
        <v>0</v>
      </c>
      <c r="T818" s="323">
        <f aca="true" t="shared" si="3" ref="T818">S818*H818</f>
        <v>0</v>
      </c>
      <c r="U818" s="222"/>
      <c r="V818" s="222"/>
      <c r="W818" s="222"/>
      <c r="X818" s="222"/>
      <c r="Y818" s="222"/>
      <c r="Z818" s="222"/>
      <c r="AA818" s="222"/>
      <c r="AB818" s="222"/>
      <c r="AC818" s="222"/>
      <c r="AD818" s="222"/>
      <c r="AE818" s="222"/>
      <c r="AR818" s="324" t="s">
        <v>153</v>
      </c>
      <c r="AT818" s="324" t="s">
        <v>148</v>
      </c>
      <c r="AU818" s="324" t="s">
        <v>83</v>
      </c>
      <c r="AY818" s="214" t="s">
        <v>146</v>
      </c>
      <c r="BE818" s="325">
        <f aca="true" t="shared" si="4" ref="BE818">IF(N818="základní",J818,0)</f>
        <v>0</v>
      </c>
      <c r="BF818" s="325">
        <f aca="true" t="shared" si="5" ref="BF818">IF(N818="snížená",J818,0)</f>
        <v>0</v>
      </c>
      <c r="BG818" s="325">
        <f aca="true" t="shared" si="6" ref="BG818">IF(N818="zákl. přenesená",J818,0)</f>
        <v>0</v>
      </c>
      <c r="BH818" s="325">
        <f aca="true" t="shared" si="7" ref="BH818">IF(N818="sníž. přenesená",J818,0)</f>
        <v>0</v>
      </c>
      <c r="BI818" s="325">
        <f aca="true" t="shared" si="8" ref="BI818">IF(N818="nulová",J818,0)</f>
        <v>0</v>
      </c>
      <c r="BJ818" s="214" t="s">
        <v>81</v>
      </c>
      <c r="BK818" s="325">
        <f aca="true" t="shared" si="9" ref="BK818">ROUND(I818*H818,2)</f>
        <v>0</v>
      </c>
      <c r="BL818" s="214" t="s">
        <v>153</v>
      </c>
      <c r="BM818" s="324" t="s">
        <v>619</v>
      </c>
    </row>
    <row r="819" spans="1:65" s="225" customFormat="1" ht="33" customHeight="1">
      <c r="A819" s="222"/>
      <c r="B819" s="223"/>
      <c r="C819" s="314">
        <v>119</v>
      </c>
      <c r="D819" s="314" t="s">
        <v>148</v>
      </c>
      <c r="E819" s="315" t="s">
        <v>620</v>
      </c>
      <c r="F819" s="316" t="s">
        <v>621</v>
      </c>
      <c r="G819" s="317" t="s">
        <v>151</v>
      </c>
      <c r="H819" s="318">
        <f>H826</f>
        <v>1040.08</v>
      </c>
      <c r="I819" s="79"/>
      <c r="J819" s="319">
        <f>ROUND(I819*H819,2)</f>
        <v>0</v>
      </c>
      <c r="K819" s="316"/>
      <c r="L819" s="229"/>
      <c r="M819" s="320" t="s">
        <v>1</v>
      </c>
      <c r="N819" s="321" t="s">
        <v>42</v>
      </c>
      <c r="O819" s="322">
        <v>0.125</v>
      </c>
      <c r="P819" s="322">
        <f>O819*H819</f>
        <v>130.01</v>
      </c>
      <c r="Q819" s="322">
        <v>0</v>
      </c>
      <c r="R819" s="322">
        <f>Q819*H819</f>
        <v>0</v>
      </c>
      <c r="S819" s="322">
        <v>0</v>
      </c>
      <c r="T819" s="323">
        <f>S819*H819</f>
        <v>0</v>
      </c>
      <c r="U819" s="222"/>
      <c r="V819" s="222"/>
      <c r="W819" s="222"/>
      <c r="X819" s="222"/>
      <c r="Y819" s="222"/>
      <c r="Z819" s="222"/>
      <c r="AA819" s="222"/>
      <c r="AB819" s="222"/>
      <c r="AC819" s="222"/>
      <c r="AD819" s="222"/>
      <c r="AE819" s="222"/>
      <c r="AR819" s="324" t="s">
        <v>153</v>
      </c>
      <c r="AT819" s="324" t="s">
        <v>148</v>
      </c>
      <c r="AU819" s="324" t="s">
        <v>83</v>
      </c>
      <c r="AY819" s="214" t="s">
        <v>146</v>
      </c>
      <c r="BE819" s="325">
        <f>IF(N819="základní",J819,0)</f>
        <v>0</v>
      </c>
      <c r="BF819" s="325">
        <f>IF(N819="snížená",J819,0)</f>
        <v>0</v>
      </c>
      <c r="BG819" s="325">
        <f>IF(N819="zákl. přenesená",J819,0)</f>
        <v>0</v>
      </c>
      <c r="BH819" s="325">
        <f>IF(N819="sníž. přenesená",J819,0)</f>
        <v>0</v>
      </c>
      <c r="BI819" s="325">
        <f>IF(N819="nulová",J819,0)</f>
        <v>0</v>
      </c>
      <c r="BJ819" s="214" t="s">
        <v>81</v>
      </c>
      <c r="BK819" s="325">
        <f>ROUND(I819*H819,2)</f>
        <v>0</v>
      </c>
      <c r="BL819" s="214" t="s">
        <v>153</v>
      </c>
      <c r="BM819" s="324" t="s">
        <v>622</v>
      </c>
    </row>
    <row r="820" spans="2:51" s="326" customFormat="1" ht="12">
      <c r="B820" s="327"/>
      <c r="D820" s="328" t="s">
        <v>155</v>
      </c>
      <c r="E820" s="329" t="s">
        <v>1</v>
      </c>
      <c r="F820" s="330" t="s">
        <v>164</v>
      </c>
      <c r="H820" s="329" t="s">
        <v>1</v>
      </c>
      <c r="I820" s="497"/>
      <c r="L820" s="331"/>
      <c r="M820" s="332"/>
      <c r="N820" s="333"/>
      <c r="O820" s="333"/>
      <c r="P820" s="333"/>
      <c r="Q820" s="333"/>
      <c r="R820" s="333"/>
      <c r="S820" s="333"/>
      <c r="T820" s="334"/>
      <c r="AT820" s="329" t="s">
        <v>155</v>
      </c>
      <c r="AU820" s="329" t="s">
        <v>83</v>
      </c>
      <c r="AV820" s="326" t="s">
        <v>81</v>
      </c>
      <c r="AW820" s="326" t="s">
        <v>34</v>
      </c>
      <c r="AX820" s="326" t="s">
        <v>76</v>
      </c>
      <c r="AY820" s="329" t="s">
        <v>146</v>
      </c>
    </row>
    <row r="821" spans="2:51" s="326" customFormat="1" ht="12">
      <c r="B821" s="327"/>
      <c r="D821" s="328" t="s">
        <v>155</v>
      </c>
      <c r="E821" s="329" t="s">
        <v>1</v>
      </c>
      <c r="F821" s="330" t="s">
        <v>549</v>
      </c>
      <c r="H821" s="329" t="s">
        <v>1</v>
      </c>
      <c r="I821" s="497"/>
      <c r="L821" s="331"/>
      <c r="M821" s="332"/>
      <c r="N821" s="333"/>
      <c r="O821" s="333"/>
      <c r="P821" s="333"/>
      <c r="Q821" s="333"/>
      <c r="R821" s="333"/>
      <c r="S821" s="333"/>
      <c r="T821" s="334"/>
      <c r="AT821" s="329" t="s">
        <v>155</v>
      </c>
      <c r="AU821" s="329" t="s">
        <v>83</v>
      </c>
      <c r="AV821" s="326" t="s">
        <v>81</v>
      </c>
      <c r="AW821" s="326" t="s">
        <v>34</v>
      </c>
      <c r="AX821" s="326" t="s">
        <v>76</v>
      </c>
      <c r="AY821" s="329" t="s">
        <v>146</v>
      </c>
    </row>
    <row r="822" spans="2:51" s="335" customFormat="1" ht="12">
      <c r="B822" s="336"/>
      <c r="D822" s="328" t="s">
        <v>155</v>
      </c>
      <c r="E822" s="337" t="s">
        <v>1</v>
      </c>
      <c r="F822" s="338" t="s">
        <v>2782</v>
      </c>
      <c r="H822" s="339">
        <f>7*(14.4+1.2+27.86+1.2+13.18+1.2)+8*13.6</f>
        <v>522.08</v>
      </c>
      <c r="I822" s="498"/>
      <c r="L822" s="340"/>
      <c r="M822" s="341"/>
      <c r="N822" s="342"/>
      <c r="O822" s="342"/>
      <c r="P822" s="342"/>
      <c r="Q822" s="342"/>
      <c r="R822" s="342"/>
      <c r="S822" s="342"/>
      <c r="T822" s="343"/>
      <c r="AT822" s="337" t="s">
        <v>155</v>
      </c>
      <c r="AU822" s="337" t="s">
        <v>83</v>
      </c>
      <c r="AV822" s="335" t="s">
        <v>83</v>
      </c>
      <c r="AW822" s="335" t="s">
        <v>34</v>
      </c>
      <c r="AX822" s="335" t="s">
        <v>76</v>
      </c>
      <c r="AY822" s="337" t="s">
        <v>146</v>
      </c>
    </row>
    <row r="823" spans="2:51" s="326" customFormat="1" ht="12">
      <c r="B823" s="327"/>
      <c r="D823" s="328" t="s">
        <v>155</v>
      </c>
      <c r="E823" s="329" t="s">
        <v>1</v>
      </c>
      <c r="F823" s="330" t="s">
        <v>167</v>
      </c>
      <c r="H823" s="329" t="s">
        <v>1</v>
      </c>
      <c r="I823" s="497"/>
      <c r="L823" s="331"/>
      <c r="M823" s="332"/>
      <c r="N823" s="333"/>
      <c r="O823" s="333"/>
      <c r="P823" s="333"/>
      <c r="Q823" s="333"/>
      <c r="R823" s="333"/>
      <c r="S823" s="333"/>
      <c r="T823" s="334"/>
      <c r="AT823" s="329" t="s">
        <v>155</v>
      </c>
      <c r="AU823" s="329" t="s">
        <v>83</v>
      </c>
      <c r="AV823" s="326" t="s">
        <v>81</v>
      </c>
      <c r="AW823" s="326" t="s">
        <v>34</v>
      </c>
      <c r="AX823" s="326" t="s">
        <v>76</v>
      </c>
      <c r="AY823" s="329" t="s">
        <v>146</v>
      </c>
    </row>
    <row r="824" spans="2:51" s="326" customFormat="1" ht="12">
      <c r="B824" s="327"/>
      <c r="D824" s="328" t="s">
        <v>155</v>
      </c>
      <c r="E824" s="329" t="s">
        <v>1</v>
      </c>
      <c r="F824" s="330" t="s">
        <v>546</v>
      </c>
      <c r="H824" s="329" t="s">
        <v>1</v>
      </c>
      <c r="I824" s="497"/>
      <c r="L824" s="331"/>
      <c r="M824" s="332"/>
      <c r="N824" s="333"/>
      <c r="O824" s="333"/>
      <c r="P824" s="333"/>
      <c r="Q824" s="333"/>
      <c r="R824" s="333"/>
      <c r="S824" s="333"/>
      <c r="T824" s="334"/>
      <c r="AT824" s="329" t="s">
        <v>155</v>
      </c>
      <c r="AU824" s="329" t="s">
        <v>83</v>
      </c>
      <c r="AV824" s="326" t="s">
        <v>81</v>
      </c>
      <c r="AW824" s="326" t="s">
        <v>34</v>
      </c>
      <c r="AX824" s="326" t="s">
        <v>76</v>
      </c>
      <c r="AY824" s="329" t="s">
        <v>146</v>
      </c>
    </row>
    <row r="825" spans="2:51" s="335" customFormat="1" ht="12">
      <c r="B825" s="336"/>
      <c r="D825" s="328" t="s">
        <v>155</v>
      </c>
      <c r="E825" s="337" t="s">
        <v>1</v>
      </c>
      <c r="F825" s="338" t="s">
        <v>2783</v>
      </c>
      <c r="H825" s="339">
        <f>8*(23.3+1.2)*2+9*14</f>
        <v>518</v>
      </c>
      <c r="I825" s="498"/>
      <c r="L825" s="340"/>
      <c r="M825" s="341"/>
      <c r="N825" s="342"/>
      <c r="O825" s="342"/>
      <c r="P825" s="342"/>
      <c r="Q825" s="342"/>
      <c r="R825" s="342"/>
      <c r="S825" s="342"/>
      <c r="T825" s="343"/>
      <c r="AT825" s="337" t="s">
        <v>155</v>
      </c>
      <c r="AU825" s="337" t="s">
        <v>83</v>
      </c>
      <c r="AV825" s="335" t="s">
        <v>83</v>
      </c>
      <c r="AW825" s="335" t="s">
        <v>34</v>
      </c>
      <c r="AX825" s="335" t="s">
        <v>76</v>
      </c>
      <c r="AY825" s="337" t="s">
        <v>146</v>
      </c>
    </row>
    <row r="826" spans="2:51" s="347" customFormat="1" ht="12">
      <c r="B826" s="348"/>
      <c r="D826" s="328" t="s">
        <v>155</v>
      </c>
      <c r="E826" s="349" t="s">
        <v>1</v>
      </c>
      <c r="F826" s="356" t="s">
        <v>157</v>
      </c>
      <c r="H826" s="351">
        <f>SUM(H822:H825)</f>
        <v>1040.08</v>
      </c>
      <c r="I826" s="499"/>
      <c r="L826" s="352"/>
      <c r="M826" s="353"/>
      <c r="N826" s="354"/>
      <c r="O826" s="354"/>
      <c r="P826" s="354"/>
      <c r="Q826" s="354"/>
      <c r="R826" s="354"/>
      <c r="S826" s="354"/>
      <c r="T826" s="355"/>
      <c r="AT826" s="349" t="s">
        <v>155</v>
      </c>
      <c r="AU826" s="349" t="s">
        <v>83</v>
      </c>
      <c r="AV826" s="347" t="s">
        <v>153</v>
      </c>
      <c r="AW826" s="347" t="s">
        <v>34</v>
      </c>
      <c r="AX826" s="347" t="s">
        <v>81</v>
      </c>
      <c r="AY826" s="349" t="s">
        <v>146</v>
      </c>
    </row>
    <row r="827" spans="1:65" s="225" customFormat="1" ht="33" customHeight="1">
      <c r="A827" s="222"/>
      <c r="B827" s="223"/>
      <c r="C827" s="314">
        <v>120</v>
      </c>
      <c r="D827" s="314" t="s">
        <v>148</v>
      </c>
      <c r="E827" s="315"/>
      <c r="F827" s="316" t="s">
        <v>3755</v>
      </c>
      <c r="G827" s="317" t="s">
        <v>151</v>
      </c>
      <c r="H827" s="318">
        <f>H819</f>
        <v>1040.08</v>
      </c>
      <c r="I827" s="79"/>
      <c r="J827" s="319">
        <f>ROUND(I827*H827,2)</f>
        <v>0</v>
      </c>
      <c r="K827" s="316"/>
      <c r="L827" s="229"/>
      <c r="M827" s="320" t="s">
        <v>1</v>
      </c>
      <c r="N827" s="321" t="s">
        <v>42</v>
      </c>
      <c r="O827" s="322">
        <v>0</v>
      </c>
      <c r="P827" s="322">
        <f>O827*H827</f>
        <v>0</v>
      </c>
      <c r="Q827" s="322">
        <v>0</v>
      </c>
      <c r="R827" s="322">
        <f>Q827*H827</f>
        <v>0</v>
      </c>
      <c r="S827" s="322">
        <v>0</v>
      </c>
      <c r="T827" s="323">
        <f>S827*H827</f>
        <v>0</v>
      </c>
      <c r="U827" s="222"/>
      <c r="V827" s="222"/>
      <c r="W827" s="222"/>
      <c r="X827" s="222"/>
      <c r="Y827" s="222"/>
      <c r="Z827" s="222"/>
      <c r="AA827" s="222"/>
      <c r="AB827" s="222"/>
      <c r="AC827" s="222"/>
      <c r="AD827" s="222"/>
      <c r="AE827" s="222"/>
      <c r="AR827" s="324" t="s">
        <v>153</v>
      </c>
      <c r="AT827" s="324" t="s">
        <v>148</v>
      </c>
      <c r="AU827" s="324" t="s">
        <v>83</v>
      </c>
      <c r="AY827" s="214" t="s">
        <v>146</v>
      </c>
      <c r="BE827" s="325">
        <f>IF(N827="základní",J827,0)</f>
        <v>0</v>
      </c>
      <c r="BF827" s="325">
        <f>IF(N827="snížená",J827,0)</f>
        <v>0</v>
      </c>
      <c r="BG827" s="325">
        <f>IF(N827="zákl. přenesená",J827,0)</f>
        <v>0</v>
      </c>
      <c r="BH827" s="325">
        <f>IF(N827="sníž. přenesená",J827,0)</f>
        <v>0</v>
      </c>
      <c r="BI827" s="325">
        <f>IF(N827="nulová",J827,0)</f>
        <v>0</v>
      </c>
      <c r="BJ827" s="214" t="s">
        <v>81</v>
      </c>
      <c r="BK827" s="325">
        <f>ROUND(I827*H827,2)</f>
        <v>0</v>
      </c>
      <c r="BL827" s="214" t="s">
        <v>153</v>
      </c>
      <c r="BM827" s="324" t="s">
        <v>623</v>
      </c>
    </row>
    <row r="828" spans="2:51" s="335" customFormat="1" ht="12">
      <c r="B828" s="336"/>
      <c r="D828" s="328"/>
      <c r="F828" s="338"/>
      <c r="H828" s="339"/>
      <c r="I828" s="498"/>
      <c r="L828" s="340"/>
      <c r="M828" s="341"/>
      <c r="N828" s="342"/>
      <c r="O828" s="342"/>
      <c r="P828" s="342"/>
      <c r="Q828" s="342"/>
      <c r="R828" s="342"/>
      <c r="S828" s="342"/>
      <c r="T828" s="343"/>
      <c r="AT828" s="337"/>
      <c r="AU828" s="337"/>
      <c r="AY828" s="337"/>
    </row>
    <row r="829" spans="1:65" s="225" customFormat="1" ht="33" customHeight="1">
      <c r="A829" s="222"/>
      <c r="B829" s="223"/>
      <c r="C829" s="314">
        <v>121</v>
      </c>
      <c r="D829" s="314" t="s">
        <v>148</v>
      </c>
      <c r="E829" s="315" t="s">
        <v>624</v>
      </c>
      <c r="F829" s="316" t="s">
        <v>625</v>
      </c>
      <c r="G829" s="317" t="s">
        <v>151</v>
      </c>
      <c r="H829" s="318">
        <f>H819</f>
        <v>1040.08</v>
      </c>
      <c r="I829" s="79"/>
      <c r="J829" s="319">
        <f>ROUND(I829*H829,2)</f>
        <v>0</v>
      </c>
      <c r="K829" s="316"/>
      <c r="L829" s="229"/>
      <c r="M829" s="320" t="s">
        <v>1</v>
      </c>
      <c r="N829" s="321" t="s">
        <v>42</v>
      </c>
      <c r="O829" s="322">
        <v>0.087</v>
      </c>
      <c r="P829" s="322">
        <f>O829*H829</f>
        <v>90.48695999999998</v>
      </c>
      <c r="Q829" s="322">
        <v>0</v>
      </c>
      <c r="R829" s="322">
        <f>Q829*H829</f>
        <v>0</v>
      </c>
      <c r="S829" s="322">
        <v>0</v>
      </c>
      <c r="T829" s="323">
        <f>S829*H829</f>
        <v>0</v>
      </c>
      <c r="U829" s="222"/>
      <c r="V829" s="222"/>
      <c r="W829" s="222"/>
      <c r="X829" s="222"/>
      <c r="Y829" s="222"/>
      <c r="Z829" s="222"/>
      <c r="AA829" s="222"/>
      <c r="AB829" s="222"/>
      <c r="AC829" s="222"/>
      <c r="AD829" s="222"/>
      <c r="AE829" s="222"/>
      <c r="AR829" s="324" t="s">
        <v>153</v>
      </c>
      <c r="AT829" s="324" t="s">
        <v>148</v>
      </c>
      <c r="AU829" s="324" t="s">
        <v>83</v>
      </c>
      <c r="AY829" s="214" t="s">
        <v>146</v>
      </c>
      <c r="BE829" s="325">
        <f>IF(N829="základní",J829,0)</f>
        <v>0</v>
      </c>
      <c r="BF829" s="325">
        <f>IF(N829="snížená",J829,0)</f>
        <v>0</v>
      </c>
      <c r="BG829" s="325">
        <f>IF(N829="zákl. přenesená",J829,0)</f>
        <v>0</v>
      </c>
      <c r="BH829" s="325">
        <f>IF(N829="sníž. přenesená",J829,0)</f>
        <v>0</v>
      </c>
      <c r="BI829" s="325">
        <f>IF(N829="nulová",J829,0)</f>
        <v>0</v>
      </c>
      <c r="BJ829" s="214" t="s">
        <v>81</v>
      </c>
      <c r="BK829" s="325">
        <f>ROUND(I829*H829,2)</f>
        <v>0</v>
      </c>
      <c r="BL829" s="214" t="s">
        <v>153</v>
      </c>
      <c r="BM829" s="324" t="s">
        <v>626</v>
      </c>
    </row>
    <row r="830" spans="1:65" s="225" customFormat="1" ht="21.75" customHeight="1">
      <c r="A830" s="222"/>
      <c r="B830" s="223"/>
      <c r="C830" s="314">
        <v>122</v>
      </c>
      <c r="D830" s="314" t="s">
        <v>148</v>
      </c>
      <c r="E830" s="315" t="s">
        <v>627</v>
      </c>
      <c r="F830" s="316" t="s">
        <v>628</v>
      </c>
      <c r="G830" s="317" t="s">
        <v>301</v>
      </c>
      <c r="H830" s="318">
        <v>16</v>
      </c>
      <c r="I830" s="79"/>
      <c r="J830" s="319">
        <f>ROUND(I830*H830,2)</f>
        <v>0</v>
      </c>
      <c r="K830" s="316"/>
      <c r="L830" s="229"/>
      <c r="M830" s="320" t="s">
        <v>1</v>
      </c>
      <c r="N830" s="321" t="s">
        <v>42</v>
      </c>
      <c r="O830" s="322">
        <v>0.056</v>
      </c>
      <c r="P830" s="322">
        <f>O830*H830</f>
        <v>0.896</v>
      </c>
      <c r="Q830" s="322">
        <v>0.00017</v>
      </c>
      <c r="R830" s="322">
        <f>Q830*H830</f>
        <v>0.00272</v>
      </c>
      <c r="S830" s="322">
        <v>0</v>
      </c>
      <c r="T830" s="323">
        <f>S830*H830</f>
        <v>0</v>
      </c>
      <c r="U830" s="222"/>
      <c r="V830" s="222"/>
      <c r="W830" s="222"/>
      <c r="X830" s="222"/>
      <c r="Y830" s="222"/>
      <c r="Z830" s="222"/>
      <c r="AA830" s="222"/>
      <c r="AB830" s="222"/>
      <c r="AC830" s="222"/>
      <c r="AD830" s="222"/>
      <c r="AE830" s="222"/>
      <c r="AR830" s="324" t="s">
        <v>153</v>
      </c>
      <c r="AT830" s="324" t="s">
        <v>148</v>
      </c>
      <c r="AU830" s="324" t="s">
        <v>83</v>
      </c>
      <c r="AY830" s="214" t="s">
        <v>146</v>
      </c>
      <c r="BE830" s="325">
        <f>IF(N830="základní",J830,0)</f>
        <v>0</v>
      </c>
      <c r="BF830" s="325">
        <f>IF(N830="snížená",J830,0)</f>
        <v>0</v>
      </c>
      <c r="BG830" s="325">
        <f>IF(N830="zákl. přenesená",J830,0)</f>
        <v>0</v>
      </c>
      <c r="BH830" s="325">
        <f>IF(N830="sníž. přenesená",J830,0)</f>
        <v>0</v>
      </c>
      <c r="BI830" s="325">
        <f>IF(N830="nulová",J830,0)</f>
        <v>0</v>
      </c>
      <c r="BJ830" s="214" t="s">
        <v>81</v>
      </c>
      <c r="BK830" s="325">
        <f>ROUND(I830*H830,2)</f>
        <v>0</v>
      </c>
      <c r="BL830" s="214" t="s">
        <v>153</v>
      </c>
      <c r="BM830" s="324" t="s">
        <v>629</v>
      </c>
    </row>
    <row r="831" spans="2:51" s="326" customFormat="1" ht="12">
      <c r="B831" s="327"/>
      <c r="D831" s="328" t="s">
        <v>155</v>
      </c>
      <c r="E831" s="329" t="s">
        <v>1</v>
      </c>
      <c r="F831" s="330" t="s">
        <v>630</v>
      </c>
      <c r="H831" s="329" t="s">
        <v>1</v>
      </c>
      <c r="I831" s="497"/>
      <c r="L831" s="331"/>
      <c r="M831" s="332"/>
      <c r="N831" s="333"/>
      <c r="O831" s="333"/>
      <c r="P831" s="333"/>
      <c r="Q831" s="333"/>
      <c r="R831" s="333"/>
      <c r="S831" s="333"/>
      <c r="T831" s="334"/>
      <c r="AT831" s="329" t="s">
        <v>155</v>
      </c>
      <c r="AU831" s="329" t="s">
        <v>83</v>
      </c>
      <c r="AV831" s="326" t="s">
        <v>81</v>
      </c>
      <c r="AW831" s="326" t="s">
        <v>34</v>
      </c>
      <c r="AX831" s="326" t="s">
        <v>76</v>
      </c>
      <c r="AY831" s="329" t="s">
        <v>146</v>
      </c>
    </row>
    <row r="832" spans="2:51" s="335" customFormat="1" ht="12">
      <c r="B832" s="336"/>
      <c r="D832" s="328" t="s">
        <v>155</v>
      </c>
      <c r="E832" s="337" t="s">
        <v>1</v>
      </c>
      <c r="F832" s="338" t="s">
        <v>212</v>
      </c>
      <c r="H832" s="339">
        <v>16</v>
      </c>
      <c r="I832" s="498"/>
      <c r="L832" s="340"/>
      <c r="M832" s="341"/>
      <c r="N832" s="342"/>
      <c r="O832" s="342"/>
      <c r="P832" s="342"/>
      <c r="Q832" s="342"/>
      <c r="R832" s="342"/>
      <c r="S832" s="342"/>
      <c r="T832" s="343"/>
      <c r="AT832" s="337" t="s">
        <v>155</v>
      </c>
      <c r="AU832" s="337" t="s">
        <v>83</v>
      </c>
      <c r="AV832" s="335" t="s">
        <v>83</v>
      </c>
      <c r="AW832" s="335" t="s">
        <v>34</v>
      </c>
      <c r="AX832" s="335" t="s">
        <v>81</v>
      </c>
      <c r="AY832" s="337" t="s">
        <v>146</v>
      </c>
    </row>
    <row r="833" spans="1:65" s="225" customFormat="1" ht="16.5" customHeight="1">
      <c r="A833" s="222"/>
      <c r="B833" s="223"/>
      <c r="C833" s="314">
        <v>123</v>
      </c>
      <c r="D833" s="314" t="s">
        <v>148</v>
      </c>
      <c r="E833" s="315" t="s">
        <v>631</v>
      </c>
      <c r="F833" s="316" t="s">
        <v>632</v>
      </c>
      <c r="G833" s="317" t="s">
        <v>162</v>
      </c>
      <c r="H833" s="318">
        <f>H838</f>
        <v>5.8476</v>
      </c>
      <c r="I833" s="79"/>
      <c r="J833" s="319">
        <f>ROUND(I833*H833,2)</f>
        <v>0</v>
      </c>
      <c r="K833" s="316"/>
      <c r="L833" s="229"/>
      <c r="M833" s="320" t="s">
        <v>1</v>
      </c>
      <c r="N833" s="321" t="s">
        <v>42</v>
      </c>
      <c r="O833" s="322">
        <v>6.436</v>
      </c>
      <c r="P833" s="322">
        <f>O833*H833</f>
        <v>37.6351536</v>
      </c>
      <c r="Q833" s="322">
        <v>0</v>
      </c>
      <c r="R833" s="322">
        <f>Q833*H833</f>
        <v>0</v>
      </c>
      <c r="S833" s="322">
        <v>2</v>
      </c>
      <c r="T833" s="417">
        <f>S833*H833</f>
        <v>11.6952</v>
      </c>
      <c r="U833" s="222"/>
      <c r="V833" s="222"/>
      <c r="W833" s="222"/>
      <c r="X833" s="222"/>
      <c r="Y833" s="222"/>
      <c r="Z833" s="222"/>
      <c r="AA833" s="222"/>
      <c r="AB833" s="222"/>
      <c r="AC833" s="222"/>
      <c r="AD833" s="222"/>
      <c r="AE833" s="222"/>
      <c r="AR833" s="324" t="s">
        <v>153</v>
      </c>
      <c r="AT833" s="324" t="s">
        <v>148</v>
      </c>
      <c r="AU833" s="324" t="s">
        <v>83</v>
      </c>
      <c r="AY833" s="214" t="s">
        <v>146</v>
      </c>
      <c r="BE833" s="325">
        <f>IF(N833="základní",J833,0)</f>
        <v>0</v>
      </c>
      <c r="BF833" s="325">
        <f>IF(N833="snížená",J833,0)</f>
        <v>0</v>
      </c>
      <c r="BG833" s="325">
        <f>IF(N833="zákl. přenesená",J833,0)</f>
        <v>0</v>
      </c>
      <c r="BH833" s="325">
        <f>IF(N833="sníž. přenesená",J833,0)</f>
        <v>0</v>
      </c>
      <c r="BI833" s="325">
        <f>IF(N833="nulová",J833,0)</f>
        <v>0</v>
      </c>
      <c r="BJ833" s="214" t="s">
        <v>81</v>
      </c>
      <c r="BK833" s="325">
        <f>ROUND(I833*H833,2)</f>
        <v>0</v>
      </c>
      <c r="BL833" s="214" t="s">
        <v>153</v>
      </c>
      <c r="BM833" s="324" t="s">
        <v>633</v>
      </c>
    </row>
    <row r="834" spans="2:51" s="326" customFormat="1" ht="12">
      <c r="B834" s="327"/>
      <c r="D834" s="328" t="s">
        <v>155</v>
      </c>
      <c r="E834" s="329" t="s">
        <v>1</v>
      </c>
      <c r="F834" s="330" t="s">
        <v>2716</v>
      </c>
      <c r="H834" s="329" t="s">
        <v>1</v>
      </c>
      <c r="I834" s="497"/>
      <c r="L834" s="331"/>
      <c r="M834" s="332"/>
      <c r="N834" s="333"/>
      <c r="O834" s="333"/>
      <c r="P834" s="333"/>
      <c r="Q834" s="333"/>
      <c r="R834" s="333"/>
      <c r="S834" s="333"/>
      <c r="T834" s="334"/>
      <c r="AT834" s="329" t="s">
        <v>155</v>
      </c>
      <c r="AU834" s="329" t="s">
        <v>83</v>
      </c>
      <c r="AV834" s="326" t="s">
        <v>81</v>
      </c>
      <c r="AW834" s="326" t="s">
        <v>34</v>
      </c>
      <c r="AX834" s="326" t="s">
        <v>76</v>
      </c>
      <c r="AY834" s="329" t="s">
        <v>146</v>
      </c>
    </row>
    <row r="835" spans="2:51" s="335" customFormat="1" ht="12">
      <c r="B835" s="336"/>
      <c r="D835" s="328" t="s">
        <v>155</v>
      </c>
      <c r="E835" s="337" t="s">
        <v>1</v>
      </c>
      <c r="F835" s="346" t="s">
        <v>2717</v>
      </c>
      <c r="G835" s="390"/>
      <c r="H835" s="392">
        <f>(1.75*2+1.45*2)*(0.75*0.5+0.3*0.35)</f>
        <v>3.072</v>
      </c>
      <c r="I835" s="498"/>
      <c r="L835" s="340"/>
      <c r="M835" s="341"/>
      <c r="N835" s="342"/>
      <c r="O835" s="342"/>
      <c r="P835" s="342"/>
      <c r="Q835" s="342"/>
      <c r="R835" s="342"/>
      <c r="S835" s="342"/>
      <c r="T835" s="343"/>
      <c r="AT835" s="337" t="s">
        <v>155</v>
      </c>
      <c r="AU835" s="337" t="s">
        <v>83</v>
      </c>
      <c r="AV835" s="335" t="s">
        <v>83</v>
      </c>
      <c r="AW835" s="335" t="s">
        <v>34</v>
      </c>
      <c r="AX835" s="335" t="s">
        <v>76</v>
      </c>
      <c r="AY835" s="337" t="s">
        <v>146</v>
      </c>
    </row>
    <row r="836" spans="2:51" s="335" customFormat="1" ht="12">
      <c r="B836" s="336"/>
      <c r="D836" s="328"/>
      <c r="E836" s="337"/>
      <c r="F836" s="418" t="s">
        <v>2718</v>
      </c>
      <c r="G836" s="390"/>
      <c r="H836" s="392"/>
      <c r="I836" s="498"/>
      <c r="L836" s="340"/>
      <c r="M836" s="341"/>
      <c r="N836" s="342"/>
      <c r="O836" s="342"/>
      <c r="P836" s="342"/>
      <c r="Q836" s="342"/>
      <c r="R836" s="342"/>
      <c r="S836" s="342"/>
      <c r="T836" s="343"/>
      <c r="AT836" s="337"/>
      <c r="AU836" s="337"/>
      <c r="AY836" s="337"/>
    </row>
    <row r="837" spans="2:51" s="335" customFormat="1" ht="12">
      <c r="B837" s="336"/>
      <c r="D837" s="328" t="s">
        <v>155</v>
      </c>
      <c r="E837" s="337" t="s">
        <v>1</v>
      </c>
      <c r="F837" s="346" t="s">
        <v>2719</v>
      </c>
      <c r="G837" s="390"/>
      <c r="H837" s="392">
        <f>1.8*(1.5*0.5+1.2*0.66)</f>
        <v>2.7756000000000003</v>
      </c>
      <c r="I837" s="498"/>
      <c r="L837" s="340"/>
      <c r="M837" s="341"/>
      <c r="N837" s="342"/>
      <c r="O837" s="342"/>
      <c r="P837" s="342"/>
      <c r="Q837" s="342"/>
      <c r="R837" s="342"/>
      <c r="S837" s="342"/>
      <c r="T837" s="343"/>
      <c r="AT837" s="337" t="s">
        <v>155</v>
      </c>
      <c r="AU837" s="337" t="s">
        <v>83</v>
      </c>
      <c r="AV837" s="335" t="s">
        <v>83</v>
      </c>
      <c r="AW837" s="335" t="s">
        <v>34</v>
      </c>
      <c r="AX837" s="335" t="s">
        <v>76</v>
      </c>
      <c r="AY837" s="337" t="s">
        <v>146</v>
      </c>
    </row>
    <row r="838" spans="2:51" s="347" customFormat="1" ht="12">
      <c r="B838" s="348"/>
      <c r="D838" s="328" t="s">
        <v>155</v>
      </c>
      <c r="E838" s="349" t="s">
        <v>1</v>
      </c>
      <c r="F838" s="350" t="s">
        <v>157</v>
      </c>
      <c r="G838" s="374"/>
      <c r="H838" s="378">
        <f>SUM(H835:H837)</f>
        <v>5.8476</v>
      </c>
      <c r="I838" s="499"/>
      <c r="L838" s="352"/>
      <c r="M838" s="353"/>
      <c r="N838" s="354"/>
      <c r="O838" s="354"/>
      <c r="P838" s="354"/>
      <c r="Q838" s="354"/>
      <c r="R838" s="354"/>
      <c r="S838" s="354"/>
      <c r="T838" s="355"/>
      <c r="AT838" s="349" t="s">
        <v>155</v>
      </c>
      <c r="AU838" s="349" t="s">
        <v>83</v>
      </c>
      <c r="AV838" s="347" t="s">
        <v>153</v>
      </c>
      <c r="AW838" s="347" t="s">
        <v>34</v>
      </c>
      <c r="AX838" s="347" t="s">
        <v>81</v>
      </c>
      <c r="AY838" s="349" t="s">
        <v>146</v>
      </c>
    </row>
    <row r="839" spans="1:65" s="225" customFormat="1" ht="21.75" customHeight="1">
      <c r="A839" s="222"/>
      <c r="B839" s="223"/>
      <c r="C839" s="314">
        <v>124</v>
      </c>
      <c r="D839" s="314" t="s">
        <v>148</v>
      </c>
      <c r="E839" s="315" t="s">
        <v>634</v>
      </c>
      <c r="F839" s="316" t="s">
        <v>635</v>
      </c>
      <c r="G839" s="317" t="s">
        <v>151</v>
      </c>
      <c r="H839" s="318">
        <f>H852</f>
        <v>85.515</v>
      </c>
      <c r="I839" s="79"/>
      <c r="J839" s="319">
        <f>ROUND(I839*H839,2)</f>
        <v>0</v>
      </c>
      <c r="K839" s="316"/>
      <c r="L839" s="229"/>
      <c r="M839" s="320" t="s">
        <v>1</v>
      </c>
      <c r="N839" s="321" t="s">
        <v>42</v>
      </c>
      <c r="O839" s="322">
        <v>0.284</v>
      </c>
      <c r="P839" s="322">
        <f>O839*H839</f>
        <v>24.28626</v>
      </c>
      <c r="Q839" s="322">
        <v>0</v>
      </c>
      <c r="R839" s="322">
        <f>Q839*H839</f>
        <v>0</v>
      </c>
      <c r="S839" s="322">
        <v>0.261</v>
      </c>
      <c r="T839" s="419">
        <f>S839*H839</f>
        <v>22.319415</v>
      </c>
      <c r="U839" s="222"/>
      <c r="V839" s="222"/>
      <c r="W839" s="222"/>
      <c r="X839" s="222"/>
      <c r="Y839" s="222"/>
      <c r="Z839" s="222"/>
      <c r="AA839" s="222"/>
      <c r="AB839" s="222"/>
      <c r="AC839" s="222"/>
      <c r="AD839" s="222"/>
      <c r="AE839" s="222"/>
      <c r="AR839" s="324" t="s">
        <v>153</v>
      </c>
      <c r="AT839" s="324" t="s">
        <v>148</v>
      </c>
      <c r="AU839" s="324" t="s">
        <v>83</v>
      </c>
      <c r="AY839" s="214" t="s">
        <v>146</v>
      </c>
      <c r="BE839" s="325">
        <f>IF(N839="základní",J839,0)</f>
        <v>0</v>
      </c>
      <c r="BF839" s="325">
        <f>IF(N839="snížená",J839,0)</f>
        <v>0</v>
      </c>
      <c r="BG839" s="325">
        <f>IF(N839="zákl. přenesená",J839,0)</f>
        <v>0</v>
      </c>
      <c r="BH839" s="325">
        <f>IF(N839="sníž. přenesená",J839,0)</f>
        <v>0</v>
      </c>
      <c r="BI839" s="325">
        <f>IF(N839="nulová",J839,0)</f>
        <v>0</v>
      </c>
      <c r="BJ839" s="214" t="s">
        <v>81</v>
      </c>
      <c r="BK839" s="325">
        <f>ROUND(I839*H839,2)</f>
        <v>0</v>
      </c>
      <c r="BL839" s="214" t="s">
        <v>153</v>
      </c>
      <c r="BM839" s="324" t="s">
        <v>636</v>
      </c>
    </row>
    <row r="840" spans="2:51" s="326" customFormat="1" ht="12">
      <c r="B840" s="327"/>
      <c r="D840" s="328" t="s">
        <v>155</v>
      </c>
      <c r="E840" s="329" t="s">
        <v>1</v>
      </c>
      <c r="F840" s="330" t="s">
        <v>354</v>
      </c>
      <c r="H840" s="329" t="s">
        <v>1</v>
      </c>
      <c r="I840" s="497"/>
      <c r="L840" s="331"/>
      <c r="M840" s="332"/>
      <c r="N840" s="333"/>
      <c r="O840" s="333"/>
      <c r="P840" s="333"/>
      <c r="Q840" s="333"/>
      <c r="R840" s="333"/>
      <c r="S840" s="333"/>
      <c r="T840" s="334"/>
      <c r="AT840" s="329" t="s">
        <v>155</v>
      </c>
      <c r="AU840" s="329" t="s">
        <v>83</v>
      </c>
      <c r="AV840" s="326" t="s">
        <v>81</v>
      </c>
      <c r="AW840" s="326" t="s">
        <v>34</v>
      </c>
      <c r="AX840" s="326" t="s">
        <v>76</v>
      </c>
      <c r="AY840" s="329" t="s">
        <v>146</v>
      </c>
    </row>
    <row r="841" spans="2:51" s="390" customFormat="1" ht="12">
      <c r="B841" s="389"/>
      <c r="D841" s="376" t="s">
        <v>155</v>
      </c>
      <c r="E841" s="391" t="s">
        <v>1</v>
      </c>
      <c r="F841" s="346" t="s">
        <v>2720</v>
      </c>
      <c r="H841" s="392">
        <f>(3.7+1.85+1.1+0.8)*3.3-0.6*2*2-0.8*2</f>
        <v>20.585</v>
      </c>
      <c r="I841" s="503"/>
      <c r="L841" s="393"/>
      <c r="M841" s="394"/>
      <c r="N841" s="395"/>
      <c r="O841" s="395"/>
      <c r="P841" s="395"/>
      <c r="Q841" s="395"/>
      <c r="R841" s="395"/>
      <c r="S841" s="395"/>
      <c r="T841" s="396"/>
      <c r="AT841" s="391" t="s">
        <v>155</v>
      </c>
      <c r="AU841" s="391" t="s">
        <v>83</v>
      </c>
      <c r="AV841" s="390" t="s">
        <v>83</v>
      </c>
      <c r="AW841" s="390" t="s">
        <v>34</v>
      </c>
      <c r="AX841" s="390" t="s">
        <v>76</v>
      </c>
      <c r="AY841" s="391" t="s">
        <v>146</v>
      </c>
    </row>
    <row r="842" spans="2:51" s="326" customFormat="1" ht="12">
      <c r="B842" s="327"/>
      <c r="D842" s="328" t="s">
        <v>155</v>
      </c>
      <c r="E842" s="329" t="s">
        <v>1</v>
      </c>
      <c r="F842" s="330" t="s">
        <v>637</v>
      </c>
      <c r="H842" s="329" t="s">
        <v>1</v>
      </c>
      <c r="I842" s="497"/>
      <c r="L842" s="331"/>
      <c r="M842" s="332"/>
      <c r="N842" s="333"/>
      <c r="O842" s="333"/>
      <c r="P842" s="333"/>
      <c r="Q842" s="333"/>
      <c r="R842" s="333"/>
      <c r="S842" s="333"/>
      <c r="T842" s="334"/>
      <c r="AT842" s="329" t="s">
        <v>155</v>
      </c>
      <c r="AU842" s="329" t="s">
        <v>83</v>
      </c>
      <c r="AV842" s="326" t="s">
        <v>81</v>
      </c>
      <c r="AW842" s="326" t="s">
        <v>34</v>
      </c>
      <c r="AX842" s="326" t="s">
        <v>76</v>
      </c>
      <c r="AY842" s="329" t="s">
        <v>146</v>
      </c>
    </row>
    <row r="843" spans="2:51" s="335" customFormat="1" ht="12">
      <c r="B843" s="336"/>
      <c r="D843" s="328" t="s">
        <v>155</v>
      </c>
      <c r="E843" s="337" t="s">
        <v>1</v>
      </c>
      <c r="F843" s="338" t="s">
        <v>638</v>
      </c>
      <c r="H843" s="339">
        <v>6.405</v>
      </c>
      <c r="I843" s="498"/>
      <c r="L843" s="340"/>
      <c r="M843" s="341"/>
      <c r="N843" s="342"/>
      <c r="O843" s="342"/>
      <c r="P843" s="342"/>
      <c r="Q843" s="342"/>
      <c r="R843" s="342"/>
      <c r="S843" s="342"/>
      <c r="T843" s="343"/>
      <c r="AT843" s="337" t="s">
        <v>155</v>
      </c>
      <c r="AU843" s="337" t="s">
        <v>83</v>
      </c>
      <c r="AV843" s="335" t="s">
        <v>83</v>
      </c>
      <c r="AW843" s="335" t="s">
        <v>34</v>
      </c>
      <c r="AX843" s="335" t="s">
        <v>76</v>
      </c>
      <c r="AY843" s="337" t="s">
        <v>146</v>
      </c>
    </row>
    <row r="844" spans="2:51" s="326" customFormat="1" ht="12">
      <c r="B844" s="327"/>
      <c r="D844" s="328" t="s">
        <v>155</v>
      </c>
      <c r="E844" s="329" t="s">
        <v>1</v>
      </c>
      <c r="F844" s="330" t="s">
        <v>371</v>
      </c>
      <c r="H844" s="329" t="s">
        <v>1</v>
      </c>
      <c r="I844" s="497"/>
      <c r="L844" s="331"/>
      <c r="M844" s="332"/>
      <c r="N844" s="333"/>
      <c r="O844" s="333"/>
      <c r="P844" s="333"/>
      <c r="Q844" s="333"/>
      <c r="R844" s="333"/>
      <c r="S844" s="333"/>
      <c r="T844" s="334"/>
      <c r="AT844" s="329" t="s">
        <v>155</v>
      </c>
      <c r="AU844" s="329" t="s">
        <v>83</v>
      </c>
      <c r="AV844" s="326" t="s">
        <v>81</v>
      </c>
      <c r="AW844" s="326" t="s">
        <v>34</v>
      </c>
      <c r="AX844" s="326" t="s">
        <v>76</v>
      </c>
      <c r="AY844" s="329" t="s">
        <v>146</v>
      </c>
    </row>
    <row r="845" spans="2:51" s="335" customFormat="1" ht="12" customHeight="1">
      <c r="B845" s="336"/>
      <c r="D845" s="328" t="s">
        <v>155</v>
      </c>
      <c r="E845" s="337" t="s">
        <v>1</v>
      </c>
      <c r="F845" s="338" t="s">
        <v>2723</v>
      </c>
      <c r="H845" s="339">
        <f>1.25*3.05+1*2</f>
        <v>5.8125</v>
      </c>
      <c r="I845" s="498"/>
      <c r="L845" s="340"/>
      <c r="M845" s="341"/>
      <c r="N845" s="342"/>
      <c r="O845" s="342"/>
      <c r="P845" s="342"/>
      <c r="Q845" s="342"/>
      <c r="R845" s="342"/>
      <c r="S845" s="342"/>
      <c r="T845" s="343"/>
      <c r="AT845" s="337" t="s">
        <v>155</v>
      </c>
      <c r="AU845" s="337" t="s">
        <v>83</v>
      </c>
      <c r="AV845" s="335" t="s">
        <v>83</v>
      </c>
      <c r="AW845" s="335" t="s">
        <v>34</v>
      </c>
      <c r="AX845" s="335" t="s">
        <v>76</v>
      </c>
      <c r="AY845" s="337" t="s">
        <v>146</v>
      </c>
    </row>
    <row r="846" spans="2:51" s="326" customFormat="1" ht="12">
      <c r="B846" s="327"/>
      <c r="D846" s="328" t="s">
        <v>155</v>
      </c>
      <c r="E846" s="329" t="s">
        <v>1</v>
      </c>
      <c r="F846" s="330" t="s">
        <v>639</v>
      </c>
      <c r="H846" s="329" t="s">
        <v>1</v>
      </c>
      <c r="I846" s="497"/>
      <c r="L846" s="331"/>
      <c r="M846" s="332"/>
      <c r="N846" s="333"/>
      <c r="O846" s="333"/>
      <c r="P846" s="333"/>
      <c r="Q846" s="333"/>
      <c r="R846" s="333"/>
      <c r="S846" s="333"/>
      <c r="T846" s="334"/>
      <c r="AT846" s="329" t="s">
        <v>155</v>
      </c>
      <c r="AU846" s="329" t="s">
        <v>83</v>
      </c>
      <c r="AV846" s="326" t="s">
        <v>81</v>
      </c>
      <c r="AW846" s="326" t="s">
        <v>34</v>
      </c>
      <c r="AX846" s="326" t="s">
        <v>76</v>
      </c>
      <c r="AY846" s="329" t="s">
        <v>146</v>
      </c>
    </row>
    <row r="847" spans="2:51" s="335" customFormat="1" ht="12">
      <c r="B847" s="336"/>
      <c r="D847" s="328" t="s">
        <v>155</v>
      </c>
      <c r="E847" s="337" t="s">
        <v>1</v>
      </c>
      <c r="F847" s="338" t="s">
        <v>2721</v>
      </c>
      <c r="H847" s="339">
        <f>6.25*3.05</f>
        <v>19.0625</v>
      </c>
      <c r="I847" s="498"/>
      <c r="L847" s="340"/>
      <c r="M847" s="341"/>
      <c r="N847" s="342"/>
      <c r="O847" s="342"/>
      <c r="P847" s="342"/>
      <c r="Q847" s="342"/>
      <c r="R847" s="342"/>
      <c r="S847" s="342"/>
      <c r="T847" s="343"/>
      <c r="AT847" s="337" t="s">
        <v>155</v>
      </c>
      <c r="AU847" s="337" t="s">
        <v>83</v>
      </c>
      <c r="AV847" s="335" t="s">
        <v>83</v>
      </c>
      <c r="AW847" s="335" t="s">
        <v>34</v>
      </c>
      <c r="AX847" s="335" t="s">
        <v>76</v>
      </c>
      <c r="AY847" s="337" t="s">
        <v>146</v>
      </c>
    </row>
    <row r="848" spans="2:51" s="326" customFormat="1" ht="12">
      <c r="B848" s="327"/>
      <c r="D848" s="328" t="s">
        <v>155</v>
      </c>
      <c r="E848" s="329" t="s">
        <v>1</v>
      </c>
      <c r="F848" s="330" t="s">
        <v>640</v>
      </c>
      <c r="H848" s="329" t="s">
        <v>1</v>
      </c>
      <c r="I848" s="497"/>
      <c r="L848" s="331"/>
      <c r="M848" s="332"/>
      <c r="N848" s="333"/>
      <c r="O848" s="333"/>
      <c r="P848" s="333"/>
      <c r="Q848" s="333"/>
      <c r="R848" s="333"/>
      <c r="S848" s="333"/>
      <c r="T848" s="334"/>
      <c r="AT848" s="329" t="s">
        <v>155</v>
      </c>
      <c r="AU848" s="329" t="s">
        <v>83</v>
      </c>
      <c r="AV848" s="326" t="s">
        <v>81</v>
      </c>
      <c r="AW848" s="326" t="s">
        <v>34</v>
      </c>
      <c r="AX848" s="326" t="s">
        <v>76</v>
      </c>
      <c r="AY848" s="329" t="s">
        <v>146</v>
      </c>
    </row>
    <row r="849" spans="2:51" s="335" customFormat="1" ht="12">
      <c r="B849" s="336"/>
      <c r="D849" s="328" t="s">
        <v>155</v>
      </c>
      <c r="E849" s="337" t="s">
        <v>1</v>
      </c>
      <c r="F849" s="338" t="s">
        <v>2722</v>
      </c>
      <c r="H849" s="339">
        <f>(1.8+1)*3.05</f>
        <v>8.54</v>
      </c>
      <c r="I849" s="498"/>
      <c r="L849" s="340"/>
      <c r="M849" s="341"/>
      <c r="N849" s="342"/>
      <c r="O849" s="342"/>
      <c r="P849" s="342"/>
      <c r="Q849" s="342"/>
      <c r="R849" s="342"/>
      <c r="S849" s="342"/>
      <c r="T849" s="343"/>
      <c r="AT849" s="337" t="s">
        <v>155</v>
      </c>
      <c r="AU849" s="337" t="s">
        <v>83</v>
      </c>
      <c r="AV849" s="335" t="s">
        <v>83</v>
      </c>
      <c r="AW849" s="335" t="s">
        <v>34</v>
      </c>
      <c r="AX849" s="335" t="s">
        <v>76</v>
      </c>
      <c r="AY849" s="337" t="s">
        <v>146</v>
      </c>
    </row>
    <row r="850" spans="2:51" s="326" customFormat="1" ht="12">
      <c r="B850" s="327"/>
      <c r="D850" s="328" t="s">
        <v>155</v>
      </c>
      <c r="E850" s="329" t="s">
        <v>1</v>
      </c>
      <c r="F850" s="330" t="s">
        <v>641</v>
      </c>
      <c r="H850" s="329" t="s">
        <v>1</v>
      </c>
      <c r="I850" s="497"/>
      <c r="L850" s="331"/>
      <c r="M850" s="332"/>
      <c r="N850" s="333"/>
      <c r="O850" s="333"/>
      <c r="P850" s="333"/>
      <c r="Q850" s="333"/>
      <c r="R850" s="333"/>
      <c r="S850" s="333"/>
      <c r="T850" s="334"/>
      <c r="AT850" s="329" t="s">
        <v>155</v>
      </c>
      <c r="AU850" s="329" t="s">
        <v>83</v>
      </c>
      <c r="AV850" s="326" t="s">
        <v>81</v>
      </c>
      <c r="AW850" s="326" t="s">
        <v>34</v>
      </c>
      <c r="AX850" s="326" t="s">
        <v>76</v>
      </c>
      <c r="AY850" s="329" t="s">
        <v>146</v>
      </c>
    </row>
    <row r="851" spans="2:51" s="335" customFormat="1" ht="22.5">
      <c r="B851" s="336"/>
      <c r="D851" s="328" t="s">
        <v>155</v>
      </c>
      <c r="E851" s="337" t="s">
        <v>1</v>
      </c>
      <c r="F851" s="338" t="s">
        <v>2724</v>
      </c>
      <c r="H851" s="339">
        <f>((1.725*3.05)-(0.7*2))*2+((1.725*3.05)-(0.8*2))*2+(1+1.5+0.8)*3.05</f>
        <v>25.11</v>
      </c>
      <c r="I851" s="498"/>
      <c r="L851" s="340"/>
      <c r="M851" s="341"/>
      <c r="N851" s="342"/>
      <c r="O851" s="342"/>
      <c r="P851" s="342"/>
      <c r="Q851" s="342"/>
      <c r="R851" s="342"/>
      <c r="S851" s="342"/>
      <c r="T851" s="343"/>
      <c r="AT851" s="337" t="s">
        <v>155</v>
      </c>
      <c r="AU851" s="337" t="s">
        <v>83</v>
      </c>
      <c r="AV851" s="335" t="s">
        <v>83</v>
      </c>
      <c r="AW851" s="335" t="s">
        <v>34</v>
      </c>
      <c r="AX851" s="335" t="s">
        <v>76</v>
      </c>
      <c r="AY851" s="337" t="s">
        <v>146</v>
      </c>
    </row>
    <row r="852" spans="2:51" s="347" customFormat="1" ht="12">
      <c r="B852" s="348"/>
      <c r="D852" s="328" t="s">
        <v>155</v>
      </c>
      <c r="E852" s="349" t="s">
        <v>1</v>
      </c>
      <c r="F852" s="356" t="s">
        <v>157</v>
      </c>
      <c r="H852" s="351">
        <f>SUM(H841:H851)</f>
        <v>85.515</v>
      </c>
      <c r="I852" s="499"/>
      <c r="L852" s="352"/>
      <c r="M852" s="353"/>
      <c r="N852" s="354"/>
      <c r="O852" s="354"/>
      <c r="P852" s="354"/>
      <c r="Q852" s="354"/>
      <c r="R852" s="354"/>
      <c r="S852" s="354"/>
      <c r="T852" s="355"/>
      <c r="AT852" s="349" t="s">
        <v>155</v>
      </c>
      <c r="AU852" s="349" t="s">
        <v>83</v>
      </c>
      <c r="AV852" s="347" t="s">
        <v>153</v>
      </c>
      <c r="AW852" s="347" t="s">
        <v>34</v>
      </c>
      <c r="AX852" s="347" t="s">
        <v>81</v>
      </c>
      <c r="AY852" s="349" t="s">
        <v>146</v>
      </c>
    </row>
    <row r="853" spans="1:65" s="225" customFormat="1" ht="24.2" customHeight="1">
      <c r="A853" s="222"/>
      <c r="B853" s="223"/>
      <c r="C853" s="314">
        <v>125</v>
      </c>
      <c r="D853" s="314" t="s">
        <v>148</v>
      </c>
      <c r="E853" s="315" t="s">
        <v>642</v>
      </c>
      <c r="F853" s="316" t="s">
        <v>643</v>
      </c>
      <c r="G853" s="317" t="s">
        <v>162</v>
      </c>
      <c r="H853" s="318">
        <f>H855</f>
        <v>1.2815999999999999</v>
      </c>
      <c r="I853" s="79"/>
      <c r="J853" s="319">
        <f>ROUND(I853*H853,2)</f>
        <v>0</v>
      </c>
      <c r="K853" s="316"/>
      <c r="L853" s="229"/>
      <c r="M853" s="320" t="s">
        <v>1</v>
      </c>
      <c r="N853" s="321" t="s">
        <v>42</v>
      </c>
      <c r="O853" s="322">
        <v>2.713</v>
      </c>
      <c r="P853" s="322">
        <f>O853*H853</f>
        <v>3.4769807999999998</v>
      </c>
      <c r="Q853" s="322">
        <v>0</v>
      </c>
      <c r="R853" s="322">
        <f>Q853*H853</f>
        <v>0</v>
      </c>
      <c r="S853" s="322">
        <v>1.8</v>
      </c>
      <c r="T853" s="419">
        <f>S853*H853</f>
        <v>2.3068799999999996</v>
      </c>
      <c r="U853" s="222"/>
      <c r="V853" s="222"/>
      <c r="W853" s="222"/>
      <c r="X853" s="222"/>
      <c r="Y853" s="222"/>
      <c r="Z853" s="222"/>
      <c r="AA853" s="222"/>
      <c r="AB853" s="222"/>
      <c r="AC853" s="222"/>
      <c r="AD853" s="222"/>
      <c r="AE853" s="222"/>
      <c r="AR853" s="324" t="s">
        <v>153</v>
      </c>
      <c r="AT853" s="324" t="s">
        <v>148</v>
      </c>
      <c r="AU853" s="324" t="s">
        <v>83</v>
      </c>
      <c r="AY853" s="214" t="s">
        <v>146</v>
      </c>
      <c r="BE853" s="325">
        <f>IF(N853="základní",J853,0)</f>
        <v>0</v>
      </c>
      <c r="BF853" s="325">
        <f>IF(N853="snížená",J853,0)</f>
        <v>0</v>
      </c>
      <c r="BG853" s="325">
        <f>IF(N853="zákl. přenesená",J853,0)</f>
        <v>0</v>
      </c>
      <c r="BH853" s="325">
        <f>IF(N853="sníž. přenesená",J853,0)</f>
        <v>0</v>
      </c>
      <c r="BI853" s="325">
        <f>IF(N853="nulová",J853,0)</f>
        <v>0</v>
      </c>
      <c r="BJ853" s="214" t="s">
        <v>81</v>
      </c>
      <c r="BK853" s="325">
        <f>ROUND(I853*H853,2)</f>
        <v>0</v>
      </c>
      <c r="BL853" s="214" t="s">
        <v>153</v>
      </c>
      <c r="BM853" s="324" t="s">
        <v>644</v>
      </c>
    </row>
    <row r="854" spans="2:51" s="326" customFormat="1" ht="12">
      <c r="B854" s="327"/>
      <c r="D854" s="328" t="s">
        <v>155</v>
      </c>
      <c r="E854" s="329" t="s">
        <v>1</v>
      </c>
      <c r="F854" s="330" t="s">
        <v>645</v>
      </c>
      <c r="H854" s="329" t="s">
        <v>1</v>
      </c>
      <c r="I854" s="497"/>
      <c r="L854" s="331"/>
      <c r="M854" s="332"/>
      <c r="N854" s="333"/>
      <c r="O854" s="333"/>
      <c r="P854" s="333"/>
      <c r="Q854" s="333"/>
      <c r="R854" s="333"/>
      <c r="S854" s="333"/>
      <c r="T854" s="334"/>
      <c r="AT854" s="329" t="s">
        <v>155</v>
      </c>
      <c r="AU854" s="329" t="s">
        <v>83</v>
      </c>
      <c r="AV854" s="326" t="s">
        <v>81</v>
      </c>
      <c r="AW854" s="326" t="s">
        <v>34</v>
      </c>
      <c r="AX854" s="326" t="s">
        <v>76</v>
      </c>
      <c r="AY854" s="329" t="s">
        <v>146</v>
      </c>
    </row>
    <row r="855" spans="2:51" s="335" customFormat="1" ht="12">
      <c r="B855" s="336"/>
      <c r="D855" s="328" t="s">
        <v>155</v>
      </c>
      <c r="E855" s="337" t="s">
        <v>1</v>
      </c>
      <c r="F855" s="338" t="s">
        <v>2725</v>
      </c>
      <c r="H855" s="339">
        <f>0.2*1.2*2.67*2</f>
        <v>1.2815999999999999</v>
      </c>
      <c r="I855" s="498"/>
      <c r="L855" s="340"/>
      <c r="M855" s="341"/>
      <c r="N855" s="342"/>
      <c r="O855" s="342"/>
      <c r="P855" s="342"/>
      <c r="Q855" s="342"/>
      <c r="R855" s="342"/>
      <c r="S855" s="342"/>
      <c r="T855" s="343"/>
      <c r="AT855" s="337" t="s">
        <v>155</v>
      </c>
      <c r="AU855" s="337" t="s">
        <v>83</v>
      </c>
      <c r="AV855" s="335" t="s">
        <v>83</v>
      </c>
      <c r="AW855" s="335" t="s">
        <v>34</v>
      </c>
      <c r="AX855" s="335" t="s">
        <v>76</v>
      </c>
      <c r="AY855" s="337" t="s">
        <v>146</v>
      </c>
    </row>
    <row r="856" spans="1:65" s="225" customFormat="1" ht="16.5" customHeight="1">
      <c r="A856" s="222"/>
      <c r="B856" s="223"/>
      <c r="C856" s="314">
        <v>126</v>
      </c>
      <c r="D856" s="314" t="s">
        <v>148</v>
      </c>
      <c r="E856" s="315" t="s">
        <v>646</v>
      </c>
      <c r="F856" s="316" t="s">
        <v>647</v>
      </c>
      <c r="G856" s="317" t="s">
        <v>151</v>
      </c>
      <c r="H856" s="318">
        <f>H858</f>
        <v>17.528</v>
      </c>
      <c r="I856" s="79"/>
      <c r="J856" s="319">
        <f>ROUND(I856*H856,2)</f>
        <v>0</v>
      </c>
      <c r="K856" s="316"/>
      <c r="L856" s="229"/>
      <c r="M856" s="320" t="s">
        <v>1</v>
      </c>
      <c r="N856" s="321" t="s">
        <v>42</v>
      </c>
      <c r="O856" s="322">
        <v>0.6</v>
      </c>
      <c r="P856" s="322">
        <f>O856*H856</f>
        <v>10.516799999999998</v>
      </c>
      <c r="Q856" s="322">
        <v>0</v>
      </c>
      <c r="R856" s="322">
        <f>Q856*H856</f>
        <v>0</v>
      </c>
      <c r="S856" s="322">
        <v>0.082</v>
      </c>
      <c r="T856" s="420">
        <f>S856*H856</f>
        <v>1.437296</v>
      </c>
      <c r="U856" s="222"/>
      <c r="V856" s="222"/>
      <c r="W856" s="222"/>
      <c r="X856" s="222"/>
      <c r="Y856" s="222"/>
      <c r="Z856" s="222"/>
      <c r="AA856" s="222"/>
      <c r="AB856" s="222"/>
      <c r="AC856" s="222"/>
      <c r="AD856" s="222"/>
      <c r="AE856" s="222"/>
      <c r="AR856" s="324" t="s">
        <v>153</v>
      </c>
      <c r="AT856" s="324" t="s">
        <v>148</v>
      </c>
      <c r="AU856" s="324" t="s">
        <v>83</v>
      </c>
      <c r="AY856" s="214" t="s">
        <v>146</v>
      </c>
      <c r="BE856" s="325">
        <f>IF(N856="základní",J856,0)</f>
        <v>0</v>
      </c>
      <c r="BF856" s="325">
        <f>IF(N856="snížená",J856,0)</f>
        <v>0</v>
      </c>
      <c r="BG856" s="325">
        <f>IF(N856="zákl. přenesená",J856,0)</f>
        <v>0</v>
      </c>
      <c r="BH856" s="325">
        <f>IF(N856="sníž. přenesená",J856,0)</f>
        <v>0</v>
      </c>
      <c r="BI856" s="325">
        <f>IF(N856="nulová",J856,0)</f>
        <v>0</v>
      </c>
      <c r="BJ856" s="214" t="s">
        <v>81</v>
      </c>
      <c r="BK856" s="325">
        <f>ROUND(I856*H856,2)</f>
        <v>0</v>
      </c>
      <c r="BL856" s="214" t="s">
        <v>153</v>
      </c>
      <c r="BM856" s="324" t="s">
        <v>648</v>
      </c>
    </row>
    <row r="857" spans="2:51" s="326" customFormat="1" ht="12">
      <c r="B857" s="327"/>
      <c r="D857" s="328" t="s">
        <v>155</v>
      </c>
      <c r="E857" s="329" t="s">
        <v>1</v>
      </c>
      <c r="F857" s="330" t="s">
        <v>167</v>
      </c>
      <c r="H857" s="329" t="s">
        <v>1</v>
      </c>
      <c r="I857" s="497"/>
      <c r="L857" s="331"/>
      <c r="M857" s="332"/>
      <c r="N857" s="333"/>
      <c r="O857" s="333"/>
      <c r="P857" s="333"/>
      <c r="Q857" s="333"/>
      <c r="R857" s="333"/>
      <c r="S857" s="333"/>
      <c r="T857" s="334"/>
      <c r="AT857" s="329" t="s">
        <v>155</v>
      </c>
      <c r="AU857" s="329" t="s">
        <v>83</v>
      </c>
      <c r="AV857" s="326" t="s">
        <v>81</v>
      </c>
      <c r="AW857" s="326" t="s">
        <v>34</v>
      </c>
      <c r="AX857" s="326" t="s">
        <v>76</v>
      </c>
      <c r="AY857" s="329" t="s">
        <v>146</v>
      </c>
    </row>
    <row r="858" spans="2:51" s="335" customFormat="1" ht="12">
      <c r="B858" s="336"/>
      <c r="D858" s="328" t="s">
        <v>155</v>
      </c>
      <c r="E858" s="337" t="s">
        <v>1</v>
      </c>
      <c r="F858" s="338" t="s">
        <v>649</v>
      </c>
      <c r="H858" s="339">
        <f>2.8*6.26</f>
        <v>17.528</v>
      </c>
      <c r="I858" s="498"/>
      <c r="L858" s="340"/>
      <c r="M858" s="341"/>
      <c r="N858" s="342"/>
      <c r="O858" s="342"/>
      <c r="P858" s="342"/>
      <c r="Q858" s="342"/>
      <c r="R858" s="342"/>
      <c r="S858" s="342"/>
      <c r="T858" s="343"/>
      <c r="AT858" s="337" t="s">
        <v>155</v>
      </c>
      <c r="AU858" s="337" t="s">
        <v>83</v>
      </c>
      <c r="AV858" s="335" t="s">
        <v>83</v>
      </c>
      <c r="AW858" s="335" t="s">
        <v>34</v>
      </c>
      <c r="AX858" s="335" t="s">
        <v>81</v>
      </c>
      <c r="AY858" s="337" t="s">
        <v>146</v>
      </c>
    </row>
    <row r="859" spans="1:65" s="225" customFormat="1" ht="24.2" customHeight="1">
      <c r="A859" s="222"/>
      <c r="B859" s="223"/>
      <c r="C859" s="314">
        <v>127</v>
      </c>
      <c r="D859" s="314" t="s">
        <v>148</v>
      </c>
      <c r="E859" s="315" t="s">
        <v>650</v>
      </c>
      <c r="F859" s="316" t="s">
        <v>651</v>
      </c>
      <c r="G859" s="317" t="s">
        <v>162</v>
      </c>
      <c r="H859" s="318">
        <f>H861</f>
        <v>0.42</v>
      </c>
      <c r="I859" s="79"/>
      <c r="J859" s="319">
        <f>ROUND(I859*H859,2)</f>
        <v>0</v>
      </c>
      <c r="K859" s="316"/>
      <c r="L859" s="229"/>
      <c r="M859" s="320" t="s">
        <v>1</v>
      </c>
      <c r="N859" s="321" t="s">
        <v>42</v>
      </c>
      <c r="O859" s="322">
        <v>5.244</v>
      </c>
      <c r="P859" s="322">
        <f>O859*H859</f>
        <v>2.20248</v>
      </c>
      <c r="Q859" s="322">
        <v>0</v>
      </c>
      <c r="R859" s="322">
        <f>Q859*H859</f>
        <v>0</v>
      </c>
      <c r="S859" s="322">
        <v>1.6</v>
      </c>
      <c r="T859" s="421">
        <f>S859*H859</f>
        <v>0.672</v>
      </c>
      <c r="U859" s="222"/>
      <c r="V859" s="222"/>
      <c r="W859" s="222"/>
      <c r="X859" s="222"/>
      <c r="Y859" s="222"/>
      <c r="Z859" s="222"/>
      <c r="AA859" s="222"/>
      <c r="AB859" s="222"/>
      <c r="AC859" s="222"/>
      <c r="AD859" s="222"/>
      <c r="AE859" s="222"/>
      <c r="AR859" s="324" t="s">
        <v>153</v>
      </c>
      <c r="AT859" s="324" t="s">
        <v>148</v>
      </c>
      <c r="AU859" s="324" t="s">
        <v>83</v>
      </c>
      <c r="AY859" s="214" t="s">
        <v>146</v>
      </c>
      <c r="BE859" s="325">
        <f>IF(N859="základní",J859,0)</f>
        <v>0</v>
      </c>
      <c r="BF859" s="325">
        <f>IF(N859="snížená",J859,0)</f>
        <v>0</v>
      </c>
      <c r="BG859" s="325">
        <f>IF(N859="zákl. přenesená",J859,0)</f>
        <v>0</v>
      </c>
      <c r="BH859" s="325">
        <f>IF(N859="sníž. přenesená",J859,0)</f>
        <v>0</v>
      </c>
      <c r="BI859" s="325">
        <f>IF(N859="nulová",J859,0)</f>
        <v>0</v>
      </c>
      <c r="BJ859" s="214" t="s">
        <v>81</v>
      </c>
      <c r="BK859" s="325">
        <f>ROUND(I859*H859,2)</f>
        <v>0</v>
      </c>
      <c r="BL859" s="214" t="s">
        <v>153</v>
      </c>
      <c r="BM859" s="324" t="s">
        <v>652</v>
      </c>
    </row>
    <row r="860" spans="2:51" s="326" customFormat="1" ht="12">
      <c r="B860" s="327"/>
      <c r="D860" s="328" t="s">
        <v>155</v>
      </c>
      <c r="E860" s="329" t="s">
        <v>1</v>
      </c>
      <c r="F860" s="330" t="s">
        <v>653</v>
      </c>
      <c r="H860" s="329" t="s">
        <v>1</v>
      </c>
      <c r="I860" s="497"/>
      <c r="L860" s="331"/>
      <c r="M860" s="332"/>
      <c r="N860" s="333"/>
      <c r="O860" s="333"/>
      <c r="P860" s="333"/>
      <c r="Q860" s="333"/>
      <c r="R860" s="333"/>
      <c r="S860" s="333"/>
      <c r="T860" s="334"/>
      <c r="AT860" s="329" t="s">
        <v>155</v>
      </c>
      <c r="AU860" s="329" t="s">
        <v>83</v>
      </c>
      <c r="AV860" s="326" t="s">
        <v>81</v>
      </c>
      <c r="AW860" s="326" t="s">
        <v>34</v>
      </c>
      <c r="AX860" s="326" t="s">
        <v>76</v>
      </c>
      <c r="AY860" s="329" t="s">
        <v>146</v>
      </c>
    </row>
    <row r="861" spans="2:51" s="335" customFormat="1" ht="12">
      <c r="B861" s="336"/>
      <c r="D861" s="328" t="s">
        <v>155</v>
      </c>
      <c r="E861" s="337" t="s">
        <v>1</v>
      </c>
      <c r="F861" s="338" t="s">
        <v>654</v>
      </c>
      <c r="H861" s="339">
        <f>2*1.2*0.175</f>
        <v>0.42</v>
      </c>
      <c r="I861" s="498"/>
      <c r="L861" s="340"/>
      <c r="M861" s="341"/>
      <c r="N861" s="342"/>
      <c r="O861" s="342"/>
      <c r="P861" s="342"/>
      <c r="Q861" s="342"/>
      <c r="R861" s="342"/>
      <c r="S861" s="342"/>
      <c r="T861" s="343"/>
      <c r="AT861" s="337" t="s">
        <v>155</v>
      </c>
      <c r="AU861" s="337" t="s">
        <v>83</v>
      </c>
      <c r="AV861" s="335" t="s">
        <v>83</v>
      </c>
      <c r="AW861" s="335" t="s">
        <v>34</v>
      </c>
      <c r="AX861" s="335" t="s">
        <v>81</v>
      </c>
      <c r="AY861" s="337" t="s">
        <v>146</v>
      </c>
    </row>
    <row r="862" spans="1:65" s="225" customFormat="1" ht="24.2" customHeight="1">
      <c r="A862" s="222"/>
      <c r="B862" s="223"/>
      <c r="C862" s="314">
        <v>128</v>
      </c>
      <c r="D862" s="314" t="s">
        <v>148</v>
      </c>
      <c r="E862" s="315" t="s">
        <v>655</v>
      </c>
      <c r="F862" s="316" t="s">
        <v>656</v>
      </c>
      <c r="G862" s="317" t="s">
        <v>162</v>
      </c>
      <c r="H862" s="318">
        <f>H865</f>
        <v>0.216</v>
      </c>
      <c r="I862" s="79"/>
      <c r="J862" s="319">
        <f>ROUND(I862*H862,2)</f>
        <v>0</v>
      </c>
      <c r="K862" s="316"/>
      <c r="L862" s="229"/>
      <c r="M862" s="320" t="s">
        <v>1</v>
      </c>
      <c r="N862" s="321" t="s">
        <v>42</v>
      </c>
      <c r="O862" s="322">
        <v>12.817</v>
      </c>
      <c r="P862" s="322">
        <f>O862*H862</f>
        <v>2.768472</v>
      </c>
      <c r="Q862" s="322">
        <v>0</v>
      </c>
      <c r="R862" s="322">
        <f>Q862*H862</f>
        <v>0</v>
      </c>
      <c r="S862" s="322">
        <v>2.4</v>
      </c>
      <c r="T862" s="421">
        <f>S862*H862</f>
        <v>0.5184</v>
      </c>
      <c r="U862" s="222"/>
      <c r="V862" s="222"/>
      <c r="W862" s="222"/>
      <c r="X862" s="222"/>
      <c r="Y862" s="222"/>
      <c r="Z862" s="222"/>
      <c r="AA862" s="222"/>
      <c r="AB862" s="222"/>
      <c r="AC862" s="222"/>
      <c r="AD862" s="222"/>
      <c r="AE862" s="222"/>
      <c r="AR862" s="324" t="s">
        <v>153</v>
      </c>
      <c r="AT862" s="324" t="s">
        <v>148</v>
      </c>
      <c r="AU862" s="324" t="s">
        <v>83</v>
      </c>
      <c r="AY862" s="214" t="s">
        <v>146</v>
      </c>
      <c r="BE862" s="325">
        <f>IF(N862="základní",J862,0)</f>
        <v>0</v>
      </c>
      <c r="BF862" s="325">
        <f>IF(N862="snížená",J862,0)</f>
        <v>0</v>
      </c>
      <c r="BG862" s="325">
        <f>IF(N862="zákl. přenesená",J862,0)</f>
        <v>0</v>
      </c>
      <c r="BH862" s="325">
        <f>IF(N862="sníž. přenesená",J862,0)</f>
        <v>0</v>
      </c>
      <c r="BI862" s="325">
        <f>IF(N862="nulová",J862,0)</f>
        <v>0</v>
      </c>
      <c r="BJ862" s="214" t="s">
        <v>81</v>
      </c>
      <c r="BK862" s="325">
        <f>ROUND(I862*H862,2)</f>
        <v>0</v>
      </c>
      <c r="BL862" s="214" t="s">
        <v>153</v>
      </c>
      <c r="BM862" s="324" t="s">
        <v>657</v>
      </c>
    </row>
    <row r="863" spans="2:51" s="326" customFormat="1" ht="12">
      <c r="B863" s="327"/>
      <c r="D863" s="328" t="s">
        <v>155</v>
      </c>
      <c r="E863" s="329" t="s">
        <v>1</v>
      </c>
      <c r="F863" s="330" t="s">
        <v>658</v>
      </c>
      <c r="H863" s="329" t="s">
        <v>1</v>
      </c>
      <c r="I863" s="497"/>
      <c r="L863" s="331"/>
      <c r="M863" s="332"/>
      <c r="N863" s="333"/>
      <c r="O863" s="333"/>
      <c r="P863" s="333"/>
      <c r="Q863" s="333"/>
      <c r="R863" s="333"/>
      <c r="S863" s="333"/>
      <c r="T863" s="334"/>
      <c r="AT863" s="329" t="s">
        <v>155</v>
      </c>
      <c r="AU863" s="329" t="s">
        <v>83</v>
      </c>
      <c r="AV863" s="326" t="s">
        <v>81</v>
      </c>
      <c r="AW863" s="326" t="s">
        <v>34</v>
      </c>
      <c r="AX863" s="326" t="s">
        <v>76</v>
      </c>
      <c r="AY863" s="329" t="s">
        <v>146</v>
      </c>
    </row>
    <row r="864" spans="2:51" s="326" customFormat="1" ht="12">
      <c r="B864" s="327"/>
      <c r="D864" s="328" t="s">
        <v>155</v>
      </c>
      <c r="E864" s="329" t="s">
        <v>1</v>
      </c>
      <c r="F864" s="330" t="s">
        <v>659</v>
      </c>
      <c r="H864" s="329" t="s">
        <v>1</v>
      </c>
      <c r="I864" s="497"/>
      <c r="L864" s="331"/>
      <c r="M864" s="332"/>
      <c r="N864" s="333"/>
      <c r="O864" s="333"/>
      <c r="P864" s="333"/>
      <c r="Q864" s="333"/>
      <c r="R864" s="333"/>
      <c r="S864" s="333"/>
      <c r="T864" s="334"/>
      <c r="AT864" s="329" t="s">
        <v>155</v>
      </c>
      <c r="AU864" s="329" t="s">
        <v>83</v>
      </c>
      <c r="AV864" s="326" t="s">
        <v>81</v>
      </c>
      <c r="AW864" s="326" t="s">
        <v>34</v>
      </c>
      <c r="AX864" s="326" t="s">
        <v>76</v>
      </c>
      <c r="AY864" s="329" t="s">
        <v>146</v>
      </c>
    </row>
    <row r="865" spans="2:51" s="335" customFormat="1" ht="12">
      <c r="B865" s="336"/>
      <c r="D865" s="328" t="s">
        <v>155</v>
      </c>
      <c r="E865" s="337" t="s">
        <v>1</v>
      </c>
      <c r="F865" s="338" t="s">
        <v>660</v>
      </c>
      <c r="H865" s="339">
        <f>2.4*0.3*0.15*2</f>
        <v>0.216</v>
      </c>
      <c r="I865" s="498"/>
      <c r="L865" s="340"/>
      <c r="M865" s="341"/>
      <c r="N865" s="342"/>
      <c r="O865" s="342"/>
      <c r="P865" s="342"/>
      <c r="Q865" s="342"/>
      <c r="R865" s="342"/>
      <c r="S865" s="342"/>
      <c r="T865" s="343"/>
      <c r="AT865" s="337" t="s">
        <v>155</v>
      </c>
      <c r="AU865" s="337" t="s">
        <v>83</v>
      </c>
      <c r="AV865" s="335" t="s">
        <v>83</v>
      </c>
      <c r="AW865" s="335" t="s">
        <v>34</v>
      </c>
      <c r="AX865" s="335" t="s">
        <v>76</v>
      </c>
      <c r="AY865" s="337" t="s">
        <v>146</v>
      </c>
    </row>
    <row r="866" spans="1:65" s="225" customFormat="1" ht="37.9" customHeight="1">
      <c r="A866" s="222"/>
      <c r="B866" s="223"/>
      <c r="C866" s="314">
        <v>129</v>
      </c>
      <c r="D866" s="314" t="s">
        <v>148</v>
      </c>
      <c r="E866" s="315" t="s">
        <v>661</v>
      </c>
      <c r="F866" s="316" t="s">
        <v>662</v>
      </c>
      <c r="G866" s="317" t="s">
        <v>162</v>
      </c>
      <c r="H866" s="318">
        <f>H877</f>
        <v>26.1839</v>
      </c>
      <c r="I866" s="79"/>
      <c r="J866" s="319">
        <f>ROUND(I866*H866,2)</f>
        <v>0</v>
      </c>
      <c r="K866" s="316"/>
      <c r="L866" s="229"/>
      <c r="M866" s="320" t="s">
        <v>1</v>
      </c>
      <c r="N866" s="321" t="s">
        <v>42</v>
      </c>
      <c r="O866" s="322">
        <v>5.867</v>
      </c>
      <c r="P866" s="322">
        <f>O866*H866</f>
        <v>153.6209413</v>
      </c>
      <c r="Q866" s="322">
        <v>0</v>
      </c>
      <c r="R866" s="322">
        <f>Q866*H866</f>
        <v>0</v>
      </c>
      <c r="S866" s="322">
        <v>2.2</v>
      </c>
      <c r="T866" s="417">
        <f>S866*H866</f>
        <v>57.604580000000006</v>
      </c>
      <c r="U866" s="222"/>
      <c r="V866" s="222"/>
      <c r="W866" s="222"/>
      <c r="X866" s="222"/>
      <c r="Y866" s="222"/>
      <c r="Z866" s="222"/>
      <c r="AA866" s="222"/>
      <c r="AB866" s="222"/>
      <c r="AC866" s="222"/>
      <c r="AD866" s="222"/>
      <c r="AE866" s="222"/>
      <c r="AR866" s="324" t="s">
        <v>153</v>
      </c>
      <c r="AT866" s="324" t="s">
        <v>148</v>
      </c>
      <c r="AU866" s="324" t="s">
        <v>83</v>
      </c>
      <c r="AY866" s="214" t="s">
        <v>146</v>
      </c>
      <c r="BE866" s="325">
        <f>IF(N866="základní",J866,0)</f>
        <v>0</v>
      </c>
      <c r="BF866" s="325">
        <f>IF(N866="snížená",J866,0)</f>
        <v>0</v>
      </c>
      <c r="BG866" s="325">
        <f>IF(N866="zákl. přenesená",J866,0)</f>
        <v>0</v>
      </c>
      <c r="BH866" s="325">
        <f>IF(N866="sníž. přenesená",J866,0)</f>
        <v>0</v>
      </c>
      <c r="BI866" s="325">
        <f>IF(N866="nulová",J866,0)</f>
        <v>0</v>
      </c>
      <c r="BJ866" s="214" t="s">
        <v>81</v>
      </c>
      <c r="BK866" s="325">
        <f>ROUND(I866*H866,2)</f>
        <v>0</v>
      </c>
      <c r="BL866" s="214" t="s">
        <v>153</v>
      </c>
      <c r="BM866" s="324" t="s">
        <v>663</v>
      </c>
    </row>
    <row r="867" spans="2:51" s="326" customFormat="1" ht="12">
      <c r="B867" s="327"/>
      <c r="D867" s="328" t="s">
        <v>155</v>
      </c>
      <c r="E867" s="329" t="s">
        <v>1</v>
      </c>
      <c r="F867" s="330" t="s">
        <v>664</v>
      </c>
      <c r="H867" s="329" t="s">
        <v>1</v>
      </c>
      <c r="I867" s="497"/>
      <c r="L867" s="331"/>
      <c r="M867" s="332"/>
      <c r="N867" s="333"/>
      <c r="O867" s="333"/>
      <c r="P867" s="333"/>
      <c r="Q867" s="333"/>
      <c r="R867" s="333"/>
      <c r="S867" s="333"/>
      <c r="T867" s="334"/>
      <c r="AT867" s="329" t="s">
        <v>155</v>
      </c>
      <c r="AU867" s="329" t="s">
        <v>83</v>
      </c>
      <c r="AV867" s="326" t="s">
        <v>81</v>
      </c>
      <c r="AW867" s="326" t="s">
        <v>34</v>
      </c>
      <c r="AX867" s="326" t="s">
        <v>76</v>
      </c>
      <c r="AY867" s="329" t="s">
        <v>146</v>
      </c>
    </row>
    <row r="868" spans="2:51" s="335" customFormat="1" ht="12">
      <c r="B868" s="336"/>
      <c r="D868" s="328" t="s">
        <v>155</v>
      </c>
      <c r="E868" s="337" t="s">
        <v>1</v>
      </c>
      <c r="F868" s="338" t="s">
        <v>2643</v>
      </c>
      <c r="H868" s="339">
        <f>9.9*0.5*(0.19+0.25)</f>
        <v>2.178</v>
      </c>
      <c r="I868" s="498"/>
      <c r="L868" s="340"/>
      <c r="M868" s="341"/>
      <c r="N868" s="342"/>
      <c r="O868" s="342"/>
      <c r="P868" s="342"/>
      <c r="Q868" s="342"/>
      <c r="R868" s="342"/>
      <c r="S868" s="342"/>
      <c r="T868" s="343"/>
      <c r="AT868" s="337" t="s">
        <v>155</v>
      </c>
      <c r="AU868" s="337" t="s">
        <v>83</v>
      </c>
      <c r="AV868" s="335" t="s">
        <v>83</v>
      </c>
      <c r="AW868" s="335" t="s">
        <v>34</v>
      </c>
      <c r="AX868" s="335" t="s">
        <v>76</v>
      </c>
      <c r="AY868" s="337" t="s">
        <v>146</v>
      </c>
    </row>
    <row r="869" spans="2:51" s="326" customFormat="1" ht="12">
      <c r="B869" s="327"/>
      <c r="D869" s="328" t="s">
        <v>155</v>
      </c>
      <c r="E869" s="329" t="s">
        <v>1</v>
      </c>
      <c r="F869" s="330" t="s">
        <v>2729</v>
      </c>
      <c r="H869" s="329" t="s">
        <v>1</v>
      </c>
      <c r="I869" s="497"/>
      <c r="L869" s="331"/>
      <c r="M869" s="332"/>
      <c r="N869" s="333"/>
      <c r="O869" s="333"/>
      <c r="P869" s="333"/>
      <c r="Q869" s="333"/>
      <c r="R869" s="333"/>
      <c r="S869" s="333"/>
      <c r="T869" s="334"/>
      <c r="AT869" s="329" t="s">
        <v>155</v>
      </c>
      <c r="AU869" s="329" t="s">
        <v>83</v>
      </c>
      <c r="AV869" s="326" t="s">
        <v>81</v>
      </c>
      <c r="AW869" s="326" t="s">
        <v>34</v>
      </c>
      <c r="AX869" s="326" t="s">
        <v>76</v>
      </c>
      <c r="AY869" s="329" t="s">
        <v>146</v>
      </c>
    </row>
    <row r="870" spans="2:51" s="335" customFormat="1" ht="12">
      <c r="B870" s="336"/>
      <c r="D870" s="328"/>
      <c r="E870" s="337"/>
      <c r="F870" s="338" t="s">
        <v>2730</v>
      </c>
      <c r="H870" s="339">
        <f>(3.26*0.8+1.58*0.8+0.5*0.7)*(0.2+0.25)</f>
        <v>1.8999000000000001</v>
      </c>
      <c r="I870" s="498"/>
      <c r="L870" s="340"/>
      <c r="M870" s="341"/>
      <c r="N870" s="342"/>
      <c r="O870" s="342"/>
      <c r="P870" s="342"/>
      <c r="Q870" s="342"/>
      <c r="R870" s="342"/>
      <c r="S870" s="342"/>
      <c r="T870" s="343"/>
      <c r="AT870" s="337"/>
      <c r="AU870" s="337"/>
      <c r="AY870" s="337"/>
    </row>
    <row r="871" spans="2:51" s="326" customFormat="1" ht="12">
      <c r="B871" s="327"/>
      <c r="D871" s="328" t="s">
        <v>155</v>
      </c>
      <c r="E871" s="329" t="s">
        <v>1</v>
      </c>
      <c r="F871" s="330" t="s">
        <v>2644</v>
      </c>
      <c r="H871" s="329" t="s">
        <v>1</v>
      </c>
      <c r="I871" s="497"/>
      <c r="L871" s="331"/>
      <c r="M871" s="332"/>
      <c r="N871" s="333"/>
      <c r="O871" s="333"/>
      <c r="P871" s="333"/>
      <c r="Q871" s="333"/>
      <c r="R871" s="333"/>
      <c r="S871" s="333"/>
      <c r="T871" s="334"/>
      <c r="AT871" s="329" t="s">
        <v>155</v>
      </c>
      <c r="AU871" s="329" t="s">
        <v>83</v>
      </c>
      <c r="AV871" s="326" t="s">
        <v>81</v>
      </c>
      <c r="AW871" s="326" t="s">
        <v>34</v>
      </c>
      <c r="AX871" s="326" t="s">
        <v>76</v>
      </c>
      <c r="AY871" s="329" t="s">
        <v>146</v>
      </c>
    </row>
    <row r="872" spans="2:51" s="335" customFormat="1" ht="12">
      <c r="B872" s="336"/>
      <c r="D872" s="328"/>
      <c r="E872" s="337"/>
      <c r="F872" s="338" t="s">
        <v>2645</v>
      </c>
      <c r="H872" s="339">
        <f>(3.24*1.1+3.05*0.8)*0.25</f>
        <v>1.5010000000000001</v>
      </c>
      <c r="I872" s="498"/>
      <c r="L872" s="340"/>
      <c r="M872" s="341"/>
      <c r="N872" s="342"/>
      <c r="O872" s="342"/>
      <c r="P872" s="342"/>
      <c r="Q872" s="342"/>
      <c r="R872" s="342"/>
      <c r="S872" s="342"/>
      <c r="T872" s="343"/>
      <c r="AT872" s="337"/>
      <c r="AU872" s="337"/>
      <c r="AY872" s="337"/>
    </row>
    <row r="873" spans="2:51" s="326" customFormat="1" ht="12">
      <c r="B873" s="327"/>
      <c r="D873" s="328" t="s">
        <v>155</v>
      </c>
      <c r="E873" s="329" t="s">
        <v>1</v>
      </c>
      <c r="F873" s="330" t="s">
        <v>2726</v>
      </c>
      <c r="H873" s="329" t="s">
        <v>1</v>
      </c>
      <c r="I873" s="497"/>
      <c r="L873" s="331"/>
      <c r="M873" s="332"/>
      <c r="N873" s="333"/>
      <c r="O873" s="333"/>
      <c r="P873" s="333"/>
      <c r="Q873" s="333"/>
      <c r="R873" s="333"/>
      <c r="S873" s="333"/>
      <c r="T873" s="334"/>
      <c r="AT873" s="329" t="s">
        <v>155</v>
      </c>
      <c r="AU873" s="329" t="s">
        <v>83</v>
      </c>
      <c r="AV873" s="326" t="s">
        <v>81</v>
      </c>
      <c r="AW873" s="326" t="s">
        <v>34</v>
      </c>
      <c r="AX873" s="326" t="s">
        <v>76</v>
      </c>
      <c r="AY873" s="329" t="s">
        <v>146</v>
      </c>
    </row>
    <row r="874" spans="2:51" s="335" customFormat="1" ht="22.5">
      <c r="B874" s="336"/>
      <c r="D874" s="328" t="s">
        <v>155</v>
      </c>
      <c r="E874" s="337" t="s">
        <v>1</v>
      </c>
      <c r="F874" s="338" t="s">
        <v>2727</v>
      </c>
      <c r="H874" s="339">
        <f>(15.47+15.16+16.96+26.73+13.16)*0.15</f>
        <v>13.122</v>
      </c>
      <c r="I874" s="498"/>
      <c r="L874" s="340"/>
      <c r="M874" s="341"/>
      <c r="N874" s="342"/>
      <c r="O874" s="342"/>
      <c r="P874" s="342"/>
      <c r="Q874" s="342"/>
      <c r="R874" s="342"/>
      <c r="S874" s="342"/>
      <c r="T874" s="343"/>
      <c r="AT874" s="337" t="s">
        <v>155</v>
      </c>
      <c r="AU874" s="337" t="s">
        <v>83</v>
      </c>
      <c r="AV874" s="335" t="s">
        <v>83</v>
      </c>
      <c r="AW874" s="335" t="s">
        <v>34</v>
      </c>
      <c r="AX874" s="335" t="s">
        <v>76</v>
      </c>
      <c r="AY874" s="337" t="s">
        <v>146</v>
      </c>
    </row>
    <row r="875" spans="2:51" s="326" customFormat="1" ht="12">
      <c r="B875" s="327"/>
      <c r="D875" s="328" t="s">
        <v>155</v>
      </c>
      <c r="E875" s="329" t="s">
        <v>1</v>
      </c>
      <c r="F875" s="330" t="s">
        <v>665</v>
      </c>
      <c r="H875" s="329" t="s">
        <v>1</v>
      </c>
      <c r="I875" s="497"/>
      <c r="L875" s="331"/>
      <c r="M875" s="332"/>
      <c r="N875" s="333"/>
      <c r="O875" s="333"/>
      <c r="P875" s="333"/>
      <c r="Q875" s="333"/>
      <c r="R875" s="333"/>
      <c r="S875" s="333"/>
      <c r="T875" s="334"/>
      <c r="AT875" s="329" t="s">
        <v>155</v>
      </c>
      <c r="AU875" s="329" t="s">
        <v>83</v>
      </c>
      <c r="AV875" s="326" t="s">
        <v>81</v>
      </c>
      <c r="AW875" s="326" t="s">
        <v>34</v>
      </c>
      <c r="AX875" s="326" t="s">
        <v>76</v>
      </c>
      <c r="AY875" s="329" t="s">
        <v>146</v>
      </c>
    </row>
    <row r="876" spans="2:51" s="335" customFormat="1" ht="12">
      <c r="B876" s="336"/>
      <c r="D876" s="328" t="s">
        <v>155</v>
      </c>
      <c r="E876" s="337" t="s">
        <v>1</v>
      </c>
      <c r="F876" s="338" t="s">
        <v>2728</v>
      </c>
      <c r="H876" s="339">
        <f>(18.13+28.29+28.41)*0.1</f>
        <v>7.4830000000000005</v>
      </c>
      <c r="I876" s="498"/>
      <c r="L876" s="340"/>
      <c r="M876" s="341"/>
      <c r="N876" s="342"/>
      <c r="O876" s="342"/>
      <c r="P876" s="342"/>
      <c r="Q876" s="342"/>
      <c r="R876" s="342"/>
      <c r="S876" s="342"/>
      <c r="T876" s="343"/>
      <c r="AT876" s="337" t="s">
        <v>155</v>
      </c>
      <c r="AU876" s="337" t="s">
        <v>83</v>
      </c>
      <c r="AV876" s="335" t="s">
        <v>83</v>
      </c>
      <c r="AW876" s="335" t="s">
        <v>34</v>
      </c>
      <c r="AX876" s="335" t="s">
        <v>76</v>
      </c>
      <c r="AY876" s="337" t="s">
        <v>146</v>
      </c>
    </row>
    <row r="877" spans="2:51" s="347" customFormat="1" ht="12">
      <c r="B877" s="348"/>
      <c r="D877" s="328" t="s">
        <v>155</v>
      </c>
      <c r="E877" s="349" t="s">
        <v>1</v>
      </c>
      <c r="F877" s="356" t="s">
        <v>157</v>
      </c>
      <c r="H877" s="351">
        <f>SUM(H868:H876)</f>
        <v>26.1839</v>
      </c>
      <c r="I877" s="499"/>
      <c r="L877" s="352"/>
      <c r="M877" s="353"/>
      <c r="N877" s="354"/>
      <c r="O877" s="354"/>
      <c r="P877" s="354"/>
      <c r="Q877" s="354"/>
      <c r="R877" s="354"/>
      <c r="S877" s="354"/>
      <c r="T877" s="355"/>
      <c r="AT877" s="349" t="s">
        <v>155</v>
      </c>
      <c r="AU877" s="349" t="s">
        <v>83</v>
      </c>
      <c r="AV877" s="347" t="s">
        <v>153</v>
      </c>
      <c r="AW877" s="347" t="s">
        <v>34</v>
      </c>
      <c r="AX877" s="347" t="s">
        <v>81</v>
      </c>
      <c r="AY877" s="349" t="s">
        <v>146</v>
      </c>
    </row>
    <row r="878" spans="1:65" s="225" customFormat="1" ht="24.2" customHeight="1">
      <c r="A878" s="222"/>
      <c r="B878" s="223"/>
      <c r="C878" s="314">
        <v>130</v>
      </c>
      <c r="D878" s="314" t="s">
        <v>148</v>
      </c>
      <c r="E878" s="315" t="s">
        <v>668</v>
      </c>
      <c r="F878" s="316" t="s">
        <v>669</v>
      </c>
      <c r="G878" s="317" t="s">
        <v>158</v>
      </c>
      <c r="H878" s="318">
        <v>332</v>
      </c>
      <c r="I878" s="79"/>
      <c r="J878" s="319">
        <f>ROUND(I878*H878,2)</f>
        <v>0</v>
      </c>
      <c r="K878" s="316"/>
      <c r="L878" s="229"/>
      <c r="M878" s="320" t="s">
        <v>1</v>
      </c>
      <c r="N878" s="321" t="s">
        <v>42</v>
      </c>
      <c r="O878" s="322">
        <v>0.21</v>
      </c>
      <c r="P878" s="322">
        <f>O878*H878</f>
        <v>69.72</v>
      </c>
      <c r="Q878" s="322">
        <v>0</v>
      </c>
      <c r="R878" s="322">
        <f>Q878*H878</f>
        <v>0</v>
      </c>
      <c r="S878" s="322">
        <v>0.00248</v>
      </c>
      <c r="T878" s="422">
        <f>S878*H878</f>
        <v>0.82336</v>
      </c>
      <c r="U878" s="222"/>
      <c r="V878" s="222"/>
      <c r="W878" s="222"/>
      <c r="X878" s="222"/>
      <c r="Y878" s="222"/>
      <c r="Z878" s="222"/>
      <c r="AA878" s="222"/>
      <c r="AB878" s="222"/>
      <c r="AC878" s="222"/>
      <c r="AD878" s="222"/>
      <c r="AE878" s="222"/>
      <c r="AR878" s="324" t="s">
        <v>153</v>
      </c>
      <c r="AT878" s="324" t="s">
        <v>148</v>
      </c>
      <c r="AU878" s="324" t="s">
        <v>83</v>
      </c>
      <c r="AY878" s="214" t="s">
        <v>146</v>
      </c>
      <c r="BE878" s="325">
        <f>IF(N878="základní",J878,0)</f>
        <v>0</v>
      </c>
      <c r="BF878" s="325">
        <f>IF(N878="snížená",J878,0)</f>
        <v>0</v>
      </c>
      <c r="BG878" s="325">
        <f>IF(N878="zákl. přenesená",J878,0)</f>
        <v>0</v>
      </c>
      <c r="BH878" s="325">
        <f>IF(N878="sníž. přenesená",J878,0)</f>
        <v>0</v>
      </c>
      <c r="BI878" s="325">
        <f>IF(N878="nulová",J878,0)</f>
        <v>0</v>
      </c>
      <c r="BJ878" s="214" t="s">
        <v>81</v>
      </c>
      <c r="BK878" s="325">
        <f>ROUND(I878*H878,2)</f>
        <v>0</v>
      </c>
      <c r="BL878" s="214" t="s">
        <v>153</v>
      </c>
      <c r="BM878" s="324" t="s">
        <v>670</v>
      </c>
    </row>
    <row r="879" spans="2:51" s="326" customFormat="1" ht="12">
      <c r="B879" s="327"/>
      <c r="D879" s="328" t="s">
        <v>155</v>
      </c>
      <c r="E879" s="329" t="s">
        <v>1</v>
      </c>
      <c r="F879" s="330" t="s">
        <v>671</v>
      </c>
      <c r="H879" s="329" t="s">
        <v>1</v>
      </c>
      <c r="I879" s="497"/>
      <c r="L879" s="331"/>
      <c r="M879" s="332"/>
      <c r="N879" s="333"/>
      <c r="O879" s="333"/>
      <c r="P879" s="333"/>
      <c r="Q879" s="333"/>
      <c r="R879" s="333"/>
      <c r="S879" s="333"/>
      <c r="T879" s="334"/>
      <c r="AT879" s="329" t="s">
        <v>155</v>
      </c>
      <c r="AU879" s="329" t="s">
        <v>83</v>
      </c>
      <c r="AV879" s="326" t="s">
        <v>81</v>
      </c>
      <c r="AW879" s="326" t="s">
        <v>34</v>
      </c>
      <c r="AX879" s="326" t="s">
        <v>76</v>
      </c>
      <c r="AY879" s="329" t="s">
        <v>146</v>
      </c>
    </row>
    <row r="880" spans="1:65" s="225" customFormat="1" ht="24.2" customHeight="1">
      <c r="A880" s="222"/>
      <c r="B880" s="223"/>
      <c r="C880" s="314">
        <v>131</v>
      </c>
      <c r="D880" s="314" t="s">
        <v>148</v>
      </c>
      <c r="E880" s="315"/>
      <c r="F880" s="316" t="s">
        <v>2646</v>
      </c>
      <c r="G880" s="317" t="s">
        <v>158</v>
      </c>
      <c r="H880" s="318">
        <f>332*2</f>
        <v>664</v>
      </c>
      <c r="I880" s="79"/>
      <c r="J880" s="319">
        <f>ROUND(I880*H880,2)</f>
        <v>0</v>
      </c>
      <c r="K880" s="316"/>
      <c r="L880" s="229"/>
      <c r="M880" s="320" t="s">
        <v>1</v>
      </c>
      <c r="N880" s="321" t="s">
        <v>42</v>
      </c>
      <c r="O880" s="322">
        <v>0.21</v>
      </c>
      <c r="P880" s="322">
        <f>O880*H880</f>
        <v>139.44</v>
      </c>
      <c r="Q880" s="322">
        <v>0</v>
      </c>
      <c r="R880" s="322">
        <f>Q880*H880</f>
        <v>0</v>
      </c>
      <c r="S880" s="322">
        <v>0.00248</v>
      </c>
      <c r="T880" s="422">
        <f>S880*H880</f>
        <v>1.64672</v>
      </c>
      <c r="U880" s="222"/>
      <c r="V880" s="222"/>
      <c r="W880" s="222"/>
      <c r="X880" s="222"/>
      <c r="Y880" s="222"/>
      <c r="Z880" s="222"/>
      <c r="AA880" s="222"/>
      <c r="AB880" s="222"/>
      <c r="AC880" s="222"/>
      <c r="AD880" s="222"/>
      <c r="AE880" s="222"/>
      <c r="AR880" s="324" t="s">
        <v>153</v>
      </c>
      <c r="AT880" s="324" t="s">
        <v>148</v>
      </c>
      <c r="AU880" s="324" t="s">
        <v>83</v>
      </c>
      <c r="AY880" s="214" t="s">
        <v>146</v>
      </c>
      <c r="BE880" s="325">
        <f>IF(N880="základní",J880,0)</f>
        <v>0</v>
      </c>
      <c r="BF880" s="325">
        <f>IF(N880="snížená",J880,0)</f>
        <v>0</v>
      </c>
      <c r="BG880" s="325">
        <f>IF(N880="zákl. přenesená",J880,0)</f>
        <v>0</v>
      </c>
      <c r="BH880" s="325">
        <f>IF(N880="sníž. přenesená",J880,0)</f>
        <v>0</v>
      </c>
      <c r="BI880" s="325">
        <f>IF(N880="nulová",J880,0)</f>
        <v>0</v>
      </c>
      <c r="BJ880" s="214" t="s">
        <v>81</v>
      </c>
      <c r="BK880" s="325">
        <f>ROUND(I880*H880,2)</f>
        <v>0</v>
      </c>
      <c r="BL880" s="214" t="s">
        <v>153</v>
      </c>
      <c r="BM880" s="324" t="s">
        <v>670</v>
      </c>
    </row>
    <row r="881" spans="1:65" s="225" customFormat="1" ht="24.2" customHeight="1">
      <c r="A881" s="222"/>
      <c r="B881" s="223"/>
      <c r="C881" s="314">
        <v>132</v>
      </c>
      <c r="D881" s="314" t="s">
        <v>148</v>
      </c>
      <c r="E881" s="315" t="s">
        <v>3027</v>
      </c>
      <c r="F881" s="316" t="s">
        <v>3028</v>
      </c>
      <c r="G881" s="317" t="s">
        <v>151</v>
      </c>
      <c r="H881" s="318">
        <f>H882</f>
        <v>38.75</v>
      </c>
      <c r="I881" s="79"/>
      <c r="J881" s="319">
        <f>ROUND(I881*H881,2)</f>
        <v>0</v>
      </c>
      <c r="K881" s="316"/>
      <c r="L881" s="229"/>
      <c r="M881" s="320" t="s">
        <v>1</v>
      </c>
      <c r="N881" s="321" t="s">
        <v>42</v>
      </c>
      <c r="O881" s="322">
        <v>0.21</v>
      </c>
      <c r="P881" s="322">
        <f>O881*H881</f>
        <v>8.1375</v>
      </c>
      <c r="Q881" s="322">
        <v>0</v>
      </c>
      <c r="R881" s="322">
        <f>Q881*H881</f>
        <v>0</v>
      </c>
      <c r="S881" s="322">
        <v>0.055</v>
      </c>
      <c r="T881" s="417">
        <f>S881*H881</f>
        <v>2.13125</v>
      </c>
      <c r="U881" s="222"/>
      <c r="V881" s="222"/>
      <c r="W881" s="222"/>
      <c r="X881" s="222"/>
      <c r="Y881" s="222"/>
      <c r="Z881" s="222"/>
      <c r="AA881" s="222"/>
      <c r="AB881" s="222"/>
      <c r="AC881" s="222"/>
      <c r="AD881" s="222"/>
      <c r="AE881" s="222"/>
      <c r="AR881" s="324" t="s">
        <v>153</v>
      </c>
      <c r="AT881" s="324" t="s">
        <v>148</v>
      </c>
      <c r="AU881" s="324" t="s">
        <v>83</v>
      </c>
      <c r="AY881" s="214" t="s">
        <v>146</v>
      </c>
      <c r="BE881" s="325">
        <f>IF(N881="základní",J881,0)</f>
        <v>0</v>
      </c>
      <c r="BF881" s="325">
        <f>IF(N881="snížená",J881,0)</f>
        <v>0</v>
      </c>
      <c r="BG881" s="325">
        <f>IF(N881="zákl. přenesená",J881,0)</f>
        <v>0</v>
      </c>
      <c r="BH881" s="325">
        <f>IF(N881="sníž. přenesená",J881,0)</f>
        <v>0</v>
      </c>
      <c r="BI881" s="325">
        <f>IF(N881="nulová",J881,0)</f>
        <v>0</v>
      </c>
      <c r="BJ881" s="214" t="s">
        <v>81</v>
      </c>
      <c r="BK881" s="325">
        <f>ROUND(I881*H881,2)</f>
        <v>0</v>
      </c>
      <c r="BL881" s="214" t="s">
        <v>153</v>
      </c>
      <c r="BM881" s="324" t="s">
        <v>670</v>
      </c>
    </row>
    <row r="882" spans="1:65" s="225" customFormat="1" ht="24.2" customHeight="1">
      <c r="A882" s="222"/>
      <c r="B882" s="223"/>
      <c r="C882" s="314"/>
      <c r="D882" s="314"/>
      <c r="E882" s="315"/>
      <c r="F882" s="316" t="s">
        <v>3026</v>
      </c>
      <c r="G882" s="317"/>
      <c r="H882" s="318">
        <f>(36+28.5+13)*0.5</f>
        <v>38.75</v>
      </c>
      <c r="I882" s="79"/>
      <c r="J882" s="319"/>
      <c r="K882" s="316"/>
      <c r="L882" s="229"/>
      <c r="M882" s="320"/>
      <c r="N882" s="321"/>
      <c r="O882" s="322"/>
      <c r="P882" s="322"/>
      <c r="Q882" s="322"/>
      <c r="R882" s="322"/>
      <c r="S882" s="322"/>
      <c r="T882" s="323"/>
      <c r="U882" s="222"/>
      <c r="V882" s="222"/>
      <c r="W882" s="222"/>
      <c r="X882" s="222"/>
      <c r="Y882" s="222"/>
      <c r="Z882" s="222"/>
      <c r="AA882" s="222"/>
      <c r="AB882" s="222"/>
      <c r="AC882" s="222"/>
      <c r="AD882" s="222"/>
      <c r="AE882" s="222"/>
      <c r="AR882" s="324"/>
      <c r="AT882" s="324"/>
      <c r="AU882" s="324"/>
      <c r="AY882" s="214"/>
      <c r="BE882" s="325"/>
      <c r="BF882" s="325"/>
      <c r="BG882" s="325"/>
      <c r="BH882" s="325"/>
      <c r="BI882" s="325"/>
      <c r="BJ882" s="214"/>
      <c r="BK882" s="325"/>
      <c r="BL882" s="214"/>
      <c r="BM882" s="324"/>
    </row>
    <row r="883" spans="1:65" s="225" customFormat="1" ht="24.2" customHeight="1">
      <c r="A883" s="222"/>
      <c r="B883" s="223"/>
      <c r="C883" s="314">
        <v>133</v>
      </c>
      <c r="D883" s="314" t="s">
        <v>148</v>
      </c>
      <c r="E883" s="315" t="s">
        <v>3326</v>
      </c>
      <c r="F883" s="316" t="s">
        <v>3327</v>
      </c>
      <c r="G883" s="317" t="s">
        <v>158</v>
      </c>
      <c r="H883" s="318">
        <f>H884</f>
        <v>88.9</v>
      </c>
      <c r="I883" s="79"/>
      <c r="J883" s="319">
        <f>ROUND(I883*H883,2)</f>
        <v>0</v>
      </c>
      <c r="K883" s="316"/>
      <c r="L883" s="229"/>
      <c r="M883" s="320" t="s">
        <v>1</v>
      </c>
      <c r="N883" s="321" t="s">
        <v>42</v>
      </c>
      <c r="O883" s="322">
        <v>0.21</v>
      </c>
      <c r="P883" s="322">
        <f>O883*H883</f>
        <v>18.669</v>
      </c>
      <c r="Q883" s="322">
        <v>0</v>
      </c>
      <c r="R883" s="322">
        <f>Q883*H883</f>
        <v>0</v>
      </c>
      <c r="S883" s="322">
        <v>0.35</v>
      </c>
      <c r="T883" s="417">
        <f>S883*H883</f>
        <v>31.115</v>
      </c>
      <c r="U883" s="222"/>
      <c r="V883" s="222"/>
      <c r="W883" s="222"/>
      <c r="X883" s="222"/>
      <c r="Y883" s="222"/>
      <c r="Z883" s="222"/>
      <c r="AA883" s="222"/>
      <c r="AB883" s="222"/>
      <c r="AC883" s="222"/>
      <c r="AD883" s="222"/>
      <c r="AE883" s="222"/>
      <c r="AR883" s="324" t="s">
        <v>153</v>
      </c>
      <c r="AT883" s="324" t="s">
        <v>148</v>
      </c>
      <c r="AU883" s="324" t="s">
        <v>83</v>
      </c>
      <c r="AY883" s="214" t="s">
        <v>146</v>
      </c>
      <c r="BE883" s="325">
        <f>IF(N883="základní",J883,0)</f>
        <v>0</v>
      </c>
      <c r="BF883" s="325">
        <f>IF(N883="snížená",J883,0)</f>
        <v>0</v>
      </c>
      <c r="BG883" s="325">
        <f>IF(N883="zákl. přenesená",J883,0)</f>
        <v>0</v>
      </c>
      <c r="BH883" s="325">
        <f>IF(N883="sníž. přenesená",J883,0)</f>
        <v>0</v>
      </c>
      <c r="BI883" s="325">
        <f>IF(N883="nulová",J883,0)</f>
        <v>0</v>
      </c>
      <c r="BJ883" s="214" t="s">
        <v>81</v>
      </c>
      <c r="BK883" s="325">
        <f>ROUND(I883*H883,2)</f>
        <v>0</v>
      </c>
      <c r="BL883" s="214" t="s">
        <v>153</v>
      </c>
      <c r="BM883" s="324" t="s">
        <v>670</v>
      </c>
    </row>
    <row r="884" spans="1:65" s="225" customFormat="1" ht="24.2" customHeight="1">
      <c r="A884" s="222"/>
      <c r="B884" s="223"/>
      <c r="C884" s="314"/>
      <c r="D884" s="314"/>
      <c r="E884" s="315"/>
      <c r="F884" s="316" t="s">
        <v>3935</v>
      </c>
      <c r="G884" s="317"/>
      <c r="H884" s="318">
        <f>12.7+11+28.05+10.45+8.5+8.15+10.05</f>
        <v>88.9</v>
      </c>
      <c r="I884" s="79"/>
      <c r="J884" s="319"/>
      <c r="K884" s="316"/>
      <c r="L884" s="229"/>
      <c r="M884" s="320"/>
      <c r="N884" s="321"/>
      <c r="O884" s="322"/>
      <c r="P884" s="322"/>
      <c r="Q884" s="322"/>
      <c r="R884" s="322"/>
      <c r="S884" s="322"/>
      <c r="T884" s="323"/>
      <c r="U884" s="222"/>
      <c r="V884" s="222"/>
      <c r="W884" s="222"/>
      <c r="X884" s="222"/>
      <c r="Y884" s="222"/>
      <c r="Z884" s="222"/>
      <c r="AA884" s="222"/>
      <c r="AB884" s="222"/>
      <c r="AC884" s="222"/>
      <c r="AD884" s="222"/>
      <c r="AE884" s="222"/>
      <c r="AR884" s="324"/>
      <c r="AT884" s="324"/>
      <c r="AU884" s="324"/>
      <c r="AY884" s="214"/>
      <c r="BE884" s="325"/>
      <c r="BF884" s="325"/>
      <c r="BG884" s="325"/>
      <c r="BH884" s="325"/>
      <c r="BI884" s="325"/>
      <c r="BJ884" s="214"/>
      <c r="BK884" s="325"/>
      <c r="BL884" s="214"/>
      <c r="BM884" s="324"/>
    </row>
    <row r="885" spans="1:65" s="225" customFormat="1" ht="21.75" customHeight="1">
      <c r="A885" s="222"/>
      <c r="B885" s="223"/>
      <c r="C885" s="314">
        <v>134</v>
      </c>
      <c r="D885" s="314" t="s">
        <v>148</v>
      </c>
      <c r="E885" s="315" t="s">
        <v>672</v>
      </c>
      <c r="F885" s="316" t="s">
        <v>673</v>
      </c>
      <c r="G885" s="317" t="s">
        <v>301</v>
      </c>
      <c r="H885" s="318">
        <v>1</v>
      </c>
      <c r="I885" s="79"/>
      <c r="J885" s="319">
        <f>ROUND(I885*H885,2)</f>
        <v>0</v>
      </c>
      <c r="K885" s="316"/>
      <c r="L885" s="229"/>
      <c r="M885" s="320" t="s">
        <v>1</v>
      </c>
      <c r="N885" s="321" t="s">
        <v>42</v>
      </c>
      <c r="O885" s="322">
        <v>0.714</v>
      </c>
      <c r="P885" s="322">
        <f>O885*H885</f>
        <v>0.714</v>
      </c>
      <c r="Q885" s="322">
        <v>0</v>
      </c>
      <c r="R885" s="322">
        <f>Q885*H885</f>
        <v>0</v>
      </c>
      <c r="S885" s="322">
        <v>0.21</v>
      </c>
      <c r="T885" s="422">
        <f>S885*H885</f>
        <v>0.21</v>
      </c>
      <c r="U885" s="222"/>
      <c r="V885" s="222"/>
      <c r="W885" s="222"/>
      <c r="X885" s="222"/>
      <c r="Y885" s="222"/>
      <c r="Z885" s="222"/>
      <c r="AA885" s="222"/>
      <c r="AB885" s="222"/>
      <c r="AC885" s="222"/>
      <c r="AD885" s="222"/>
      <c r="AE885" s="222"/>
      <c r="AR885" s="324" t="s">
        <v>153</v>
      </c>
      <c r="AT885" s="324" t="s">
        <v>148</v>
      </c>
      <c r="AU885" s="324" t="s">
        <v>83</v>
      </c>
      <c r="AY885" s="214" t="s">
        <v>146</v>
      </c>
      <c r="BE885" s="325">
        <f>IF(N885="základní",J885,0)</f>
        <v>0</v>
      </c>
      <c r="BF885" s="325">
        <f>IF(N885="snížená",J885,0)</f>
        <v>0</v>
      </c>
      <c r="BG885" s="325">
        <f>IF(N885="zákl. přenesená",J885,0)</f>
        <v>0</v>
      </c>
      <c r="BH885" s="325">
        <f>IF(N885="sníž. přenesená",J885,0)</f>
        <v>0</v>
      </c>
      <c r="BI885" s="325">
        <f>IF(N885="nulová",J885,0)</f>
        <v>0</v>
      </c>
      <c r="BJ885" s="214" t="s">
        <v>81</v>
      </c>
      <c r="BK885" s="325">
        <f>ROUND(I885*H885,2)</f>
        <v>0</v>
      </c>
      <c r="BL885" s="214" t="s">
        <v>153</v>
      </c>
      <c r="BM885" s="324" t="s">
        <v>674</v>
      </c>
    </row>
    <row r="886" spans="2:51" s="326" customFormat="1" ht="12">
      <c r="B886" s="327"/>
      <c r="D886" s="328" t="s">
        <v>155</v>
      </c>
      <c r="E886" s="329" t="s">
        <v>1</v>
      </c>
      <c r="F886" s="330" t="s">
        <v>675</v>
      </c>
      <c r="H886" s="329" t="s">
        <v>1</v>
      </c>
      <c r="I886" s="497"/>
      <c r="L886" s="331"/>
      <c r="M886" s="332"/>
      <c r="N886" s="333"/>
      <c r="O886" s="333"/>
      <c r="P886" s="333"/>
      <c r="Q886" s="333"/>
      <c r="R886" s="333"/>
      <c r="S886" s="333"/>
      <c r="T886" s="334"/>
      <c r="AT886" s="329" t="s">
        <v>155</v>
      </c>
      <c r="AU886" s="329" t="s">
        <v>83</v>
      </c>
      <c r="AV886" s="326" t="s">
        <v>81</v>
      </c>
      <c r="AW886" s="326" t="s">
        <v>34</v>
      </c>
      <c r="AX886" s="326" t="s">
        <v>76</v>
      </c>
      <c r="AY886" s="329" t="s">
        <v>146</v>
      </c>
    </row>
    <row r="887" spans="2:51" s="335" customFormat="1" ht="12">
      <c r="B887" s="336"/>
      <c r="D887" s="328" t="s">
        <v>155</v>
      </c>
      <c r="E887" s="337" t="s">
        <v>1</v>
      </c>
      <c r="F887" s="338" t="s">
        <v>81</v>
      </c>
      <c r="H887" s="339">
        <v>1</v>
      </c>
      <c r="I887" s="498"/>
      <c r="L887" s="340"/>
      <c r="M887" s="341"/>
      <c r="N887" s="342"/>
      <c r="O887" s="342"/>
      <c r="P887" s="342"/>
      <c r="Q887" s="342"/>
      <c r="R887" s="342"/>
      <c r="S887" s="342"/>
      <c r="T887" s="343"/>
      <c r="AT887" s="337" t="s">
        <v>155</v>
      </c>
      <c r="AU887" s="337" t="s">
        <v>83</v>
      </c>
      <c r="AV887" s="335" t="s">
        <v>83</v>
      </c>
      <c r="AW887" s="335" t="s">
        <v>34</v>
      </c>
      <c r="AX887" s="335" t="s">
        <v>81</v>
      </c>
      <c r="AY887" s="337" t="s">
        <v>146</v>
      </c>
    </row>
    <row r="888" spans="1:65" s="225" customFormat="1" ht="37.9" customHeight="1">
      <c r="A888" s="222"/>
      <c r="B888" s="223"/>
      <c r="C888" s="314">
        <v>135</v>
      </c>
      <c r="D888" s="314" t="s">
        <v>148</v>
      </c>
      <c r="E888" s="315" t="s">
        <v>676</v>
      </c>
      <c r="F888" s="316" t="s">
        <v>677</v>
      </c>
      <c r="G888" s="317" t="s">
        <v>151</v>
      </c>
      <c r="H888" s="318">
        <f>H896</f>
        <v>368.5495</v>
      </c>
      <c r="I888" s="79"/>
      <c r="J888" s="319">
        <f>ROUND(I888*H888,2)</f>
        <v>0</v>
      </c>
      <c r="K888" s="316"/>
      <c r="L888" s="229"/>
      <c r="M888" s="320" t="s">
        <v>1</v>
      </c>
      <c r="N888" s="321" t="s">
        <v>42</v>
      </c>
      <c r="O888" s="322">
        <v>0.224</v>
      </c>
      <c r="P888" s="322">
        <f>O888*H888</f>
        <v>82.55508800000001</v>
      </c>
      <c r="Q888" s="322">
        <v>0</v>
      </c>
      <c r="R888" s="322">
        <f>Q888*H888</f>
        <v>0</v>
      </c>
      <c r="S888" s="322">
        <v>0.033</v>
      </c>
      <c r="T888" s="423">
        <f>S888*H888</f>
        <v>12.162133500000001</v>
      </c>
      <c r="U888" s="222"/>
      <c r="V888" s="222"/>
      <c r="W888" s="222"/>
      <c r="X888" s="222"/>
      <c r="Y888" s="222"/>
      <c r="Z888" s="222"/>
      <c r="AA888" s="222"/>
      <c r="AB888" s="222"/>
      <c r="AC888" s="222"/>
      <c r="AD888" s="222"/>
      <c r="AE888" s="222"/>
      <c r="AR888" s="324" t="s">
        <v>153</v>
      </c>
      <c r="AT888" s="324" t="s">
        <v>148</v>
      </c>
      <c r="AU888" s="324" t="s">
        <v>83</v>
      </c>
      <c r="AY888" s="214" t="s">
        <v>146</v>
      </c>
      <c r="BE888" s="325">
        <f>IF(N888="základní",J888,0)</f>
        <v>0</v>
      </c>
      <c r="BF888" s="325">
        <f>IF(N888="snížená",J888,0)</f>
        <v>0</v>
      </c>
      <c r="BG888" s="325">
        <f>IF(N888="zákl. přenesená",J888,0)</f>
        <v>0</v>
      </c>
      <c r="BH888" s="325">
        <f>IF(N888="sníž. přenesená",J888,0)</f>
        <v>0</v>
      </c>
      <c r="BI888" s="325">
        <f>IF(N888="nulová",J888,0)</f>
        <v>0</v>
      </c>
      <c r="BJ888" s="214" t="s">
        <v>81</v>
      </c>
      <c r="BK888" s="325">
        <f>ROUND(I888*H888,2)</f>
        <v>0</v>
      </c>
      <c r="BL888" s="214" t="s">
        <v>153</v>
      </c>
      <c r="BM888" s="324" t="s">
        <v>678</v>
      </c>
    </row>
    <row r="889" spans="2:51" s="326" customFormat="1" ht="12">
      <c r="B889" s="327"/>
      <c r="D889" s="328" t="s">
        <v>155</v>
      </c>
      <c r="E889" s="329" t="s">
        <v>1</v>
      </c>
      <c r="F889" s="330" t="s">
        <v>167</v>
      </c>
      <c r="H889" s="329" t="s">
        <v>1</v>
      </c>
      <c r="I889" s="497"/>
      <c r="L889" s="331"/>
      <c r="M889" s="332"/>
      <c r="N889" s="333"/>
      <c r="O889" s="333"/>
      <c r="P889" s="333"/>
      <c r="Q889" s="333"/>
      <c r="R889" s="333"/>
      <c r="S889" s="333"/>
      <c r="T889" s="334"/>
      <c r="AT889" s="329" t="s">
        <v>155</v>
      </c>
      <c r="AU889" s="329" t="s">
        <v>83</v>
      </c>
      <c r="AV889" s="326" t="s">
        <v>81</v>
      </c>
      <c r="AW889" s="326" t="s">
        <v>34</v>
      </c>
      <c r="AX889" s="326" t="s">
        <v>76</v>
      </c>
      <c r="AY889" s="329" t="s">
        <v>146</v>
      </c>
    </row>
    <row r="890" spans="2:51" s="335" customFormat="1" ht="12">
      <c r="B890" s="336"/>
      <c r="D890" s="328" t="s">
        <v>155</v>
      </c>
      <c r="E890" s="337" t="s">
        <v>1</v>
      </c>
      <c r="F890" s="338" t="s">
        <v>679</v>
      </c>
      <c r="H890" s="339">
        <f>7.825*(22.925*2+13.25)</f>
        <v>462.45750000000004</v>
      </c>
      <c r="I890" s="498"/>
      <c r="L890" s="340"/>
      <c r="M890" s="341"/>
      <c r="N890" s="342"/>
      <c r="O890" s="342"/>
      <c r="P890" s="342"/>
      <c r="Q890" s="342"/>
      <c r="R890" s="342"/>
      <c r="S890" s="342"/>
      <c r="T890" s="343"/>
      <c r="AT890" s="337" t="s">
        <v>155</v>
      </c>
      <c r="AU890" s="337" t="s">
        <v>83</v>
      </c>
      <c r="AV890" s="335" t="s">
        <v>83</v>
      </c>
      <c r="AW890" s="335" t="s">
        <v>34</v>
      </c>
      <c r="AX890" s="335" t="s">
        <v>76</v>
      </c>
      <c r="AY890" s="337" t="s">
        <v>146</v>
      </c>
    </row>
    <row r="891" spans="2:51" s="326" customFormat="1" ht="12">
      <c r="B891" s="327"/>
      <c r="D891" s="328" t="s">
        <v>155</v>
      </c>
      <c r="E891" s="329" t="s">
        <v>1</v>
      </c>
      <c r="F891" s="330" t="s">
        <v>548</v>
      </c>
      <c r="H891" s="329" t="s">
        <v>1</v>
      </c>
      <c r="I891" s="497"/>
      <c r="L891" s="331"/>
      <c r="M891" s="332"/>
      <c r="N891" s="333"/>
      <c r="O891" s="333"/>
      <c r="P891" s="333"/>
      <c r="Q891" s="333"/>
      <c r="R891" s="333"/>
      <c r="S891" s="333"/>
      <c r="T891" s="334"/>
      <c r="AT891" s="329" t="s">
        <v>155</v>
      </c>
      <c r="AU891" s="329" t="s">
        <v>83</v>
      </c>
      <c r="AV891" s="326" t="s">
        <v>81</v>
      </c>
      <c r="AW891" s="326" t="s">
        <v>34</v>
      </c>
      <c r="AX891" s="326" t="s">
        <v>76</v>
      </c>
      <c r="AY891" s="329" t="s">
        <v>146</v>
      </c>
    </row>
    <row r="892" spans="2:51" s="326" customFormat="1" ht="12">
      <c r="B892" s="327"/>
      <c r="D892" s="328" t="s">
        <v>155</v>
      </c>
      <c r="E892" s="329" t="s">
        <v>1</v>
      </c>
      <c r="F892" s="330" t="s">
        <v>304</v>
      </c>
      <c r="H892" s="329" t="s">
        <v>1</v>
      </c>
      <c r="I892" s="497"/>
      <c r="L892" s="331"/>
      <c r="M892" s="332"/>
      <c r="N892" s="333"/>
      <c r="O892" s="333"/>
      <c r="P892" s="333"/>
      <c r="Q892" s="333"/>
      <c r="R892" s="333"/>
      <c r="S892" s="333"/>
      <c r="T892" s="334"/>
      <c r="AT892" s="329" t="s">
        <v>155</v>
      </c>
      <c r="AU892" s="329" t="s">
        <v>83</v>
      </c>
      <c r="AV892" s="326" t="s">
        <v>81</v>
      </c>
      <c r="AW892" s="326" t="s">
        <v>34</v>
      </c>
      <c r="AX892" s="326" t="s">
        <v>76</v>
      </c>
      <c r="AY892" s="329" t="s">
        <v>146</v>
      </c>
    </row>
    <row r="893" spans="2:51" s="335" customFormat="1" ht="22.5">
      <c r="B893" s="336"/>
      <c r="D893" s="328" t="s">
        <v>155</v>
      </c>
      <c r="E893" s="337" t="s">
        <v>1</v>
      </c>
      <c r="F893" s="424" t="s">
        <v>2776</v>
      </c>
      <c r="H893" s="339">
        <f>-(1.75*2.4*2+0.9*1.5+1.45*2.4*2+2.8*(6.26-2.63)+1.8*2.4+2.1*1.5*6+0.6*0.75*3)</f>
        <v>-51.44400000000001</v>
      </c>
      <c r="I893" s="498"/>
      <c r="L893" s="340"/>
      <c r="M893" s="341"/>
      <c r="N893" s="342"/>
      <c r="O893" s="342"/>
      <c r="P893" s="342"/>
      <c r="Q893" s="342"/>
      <c r="R893" s="342"/>
      <c r="S893" s="342"/>
      <c r="T893" s="343"/>
      <c r="AT893" s="337" t="s">
        <v>155</v>
      </c>
      <c r="AU893" s="337" t="s">
        <v>83</v>
      </c>
      <c r="AV893" s="335" t="s">
        <v>83</v>
      </c>
      <c r="AW893" s="335" t="s">
        <v>34</v>
      </c>
      <c r="AX893" s="335" t="s">
        <v>76</v>
      </c>
      <c r="AY893" s="337" t="s">
        <v>146</v>
      </c>
    </row>
    <row r="894" spans="2:51" s="326" customFormat="1" ht="12">
      <c r="B894" s="327"/>
      <c r="D894" s="328" t="s">
        <v>155</v>
      </c>
      <c r="E894" s="329" t="s">
        <v>1</v>
      </c>
      <c r="F894" s="330" t="s">
        <v>309</v>
      </c>
      <c r="H894" s="329" t="s">
        <v>1</v>
      </c>
      <c r="I894" s="497"/>
      <c r="L894" s="331"/>
      <c r="M894" s="332"/>
      <c r="N894" s="333"/>
      <c r="O894" s="333"/>
      <c r="P894" s="333"/>
      <c r="Q894" s="333"/>
      <c r="R894" s="333"/>
      <c r="S894" s="333"/>
      <c r="T894" s="334"/>
      <c r="AT894" s="329" t="s">
        <v>155</v>
      </c>
      <c r="AU894" s="329" t="s">
        <v>83</v>
      </c>
      <c r="AV894" s="326" t="s">
        <v>81</v>
      </c>
      <c r="AW894" s="326" t="s">
        <v>34</v>
      </c>
      <c r="AX894" s="326" t="s">
        <v>76</v>
      </c>
      <c r="AY894" s="329" t="s">
        <v>146</v>
      </c>
    </row>
    <row r="895" spans="2:51" s="335" customFormat="1" ht="12">
      <c r="B895" s="336"/>
      <c r="D895" s="328" t="s">
        <v>155</v>
      </c>
      <c r="E895" s="337" t="s">
        <v>1</v>
      </c>
      <c r="F895" s="424" t="s">
        <v>2775</v>
      </c>
      <c r="H895" s="339">
        <f>-(2.1*1.5*10+0.6*0.75*3+1.5*1.5+2.8*2.63)</f>
        <v>-42.464</v>
      </c>
      <c r="I895" s="498"/>
      <c r="L895" s="340"/>
      <c r="M895" s="341"/>
      <c r="N895" s="342"/>
      <c r="O895" s="342"/>
      <c r="P895" s="342"/>
      <c r="Q895" s="342"/>
      <c r="R895" s="342"/>
      <c r="S895" s="342"/>
      <c r="T895" s="343"/>
      <c r="AT895" s="337" t="s">
        <v>155</v>
      </c>
      <c r="AU895" s="337" t="s">
        <v>83</v>
      </c>
      <c r="AV895" s="335" t="s">
        <v>83</v>
      </c>
      <c r="AW895" s="335" t="s">
        <v>34</v>
      </c>
      <c r="AX895" s="335" t="s">
        <v>76</v>
      </c>
      <c r="AY895" s="337" t="s">
        <v>146</v>
      </c>
    </row>
    <row r="896" spans="2:51" s="347" customFormat="1" ht="12">
      <c r="B896" s="348"/>
      <c r="D896" s="328" t="s">
        <v>155</v>
      </c>
      <c r="E896" s="349" t="s">
        <v>1</v>
      </c>
      <c r="F896" s="356" t="s">
        <v>157</v>
      </c>
      <c r="H896" s="351">
        <f>SUM(H890:H895)</f>
        <v>368.5495</v>
      </c>
      <c r="I896" s="499"/>
      <c r="L896" s="352"/>
      <c r="M896" s="353"/>
      <c r="N896" s="354"/>
      <c r="O896" s="354"/>
      <c r="P896" s="354"/>
      <c r="Q896" s="354"/>
      <c r="R896" s="354"/>
      <c r="S896" s="354"/>
      <c r="T896" s="355"/>
      <c r="AT896" s="349" t="s">
        <v>155</v>
      </c>
      <c r="AU896" s="349" t="s">
        <v>83</v>
      </c>
      <c r="AV896" s="347" t="s">
        <v>153</v>
      </c>
      <c r="AW896" s="347" t="s">
        <v>34</v>
      </c>
      <c r="AX896" s="347" t="s">
        <v>81</v>
      </c>
      <c r="AY896" s="349" t="s">
        <v>146</v>
      </c>
    </row>
    <row r="897" spans="1:65" s="225" customFormat="1" ht="24.2" customHeight="1">
      <c r="A897" s="222"/>
      <c r="B897" s="223"/>
      <c r="C897" s="314">
        <v>136</v>
      </c>
      <c r="D897" s="314" t="s">
        <v>148</v>
      </c>
      <c r="E897" s="315" t="s">
        <v>2404</v>
      </c>
      <c r="F897" s="316" t="s">
        <v>2405</v>
      </c>
      <c r="G897" s="317" t="s">
        <v>151</v>
      </c>
      <c r="H897" s="318">
        <f>H903</f>
        <v>3.24</v>
      </c>
      <c r="I897" s="79"/>
      <c r="J897" s="319">
        <f>ROUND(I897*H897,2)</f>
        <v>0</v>
      </c>
      <c r="K897" s="316"/>
      <c r="L897" s="229"/>
      <c r="M897" s="320" t="s">
        <v>1</v>
      </c>
      <c r="N897" s="321" t="s">
        <v>42</v>
      </c>
      <c r="O897" s="322">
        <v>1.07</v>
      </c>
      <c r="P897" s="322">
        <f>O897*H897</f>
        <v>3.4668000000000005</v>
      </c>
      <c r="Q897" s="322">
        <v>0</v>
      </c>
      <c r="R897" s="322">
        <f>Q897*H897</f>
        <v>0</v>
      </c>
      <c r="S897" s="322">
        <v>0.075</v>
      </c>
      <c r="T897" s="419">
        <f>S897*H897</f>
        <v>0.243</v>
      </c>
      <c r="U897" s="222"/>
      <c r="V897" s="222"/>
      <c r="W897" s="222"/>
      <c r="X897" s="222"/>
      <c r="Y897" s="222"/>
      <c r="Z897" s="222"/>
      <c r="AA897" s="222"/>
      <c r="AB897" s="222"/>
      <c r="AC897" s="222"/>
      <c r="AD897" s="222"/>
      <c r="AE897" s="222"/>
      <c r="AR897" s="324" t="s">
        <v>153</v>
      </c>
      <c r="AT897" s="324" t="s">
        <v>148</v>
      </c>
      <c r="AU897" s="324" t="s">
        <v>83</v>
      </c>
      <c r="AY897" s="214" t="s">
        <v>146</v>
      </c>
      <c r="BE897" s="325">
        <f>IF(N897="základní",J897,0)</f>
        <v>0</v>
      </c>
      <c r="BF897" s="325">
        <f>IF(N897="snížená",J897,0)</f>
        <v>0</v>
      </c>
      <c r="BG897" s="325">
        <f>IF(N897="zákl. přenesená",J897,0)</f>
        <v>0</v>
      </c>
      <c r="BH897" s="325">
        <f>IF(N897="sníž. přenesená",J897,0)</f>
        <v>0</v>
      </c>
      <c r="BI897" s="325">
        <f>IF(N897="nulová",J897,0)</f>
        <v>0</v>
      </c>
      <c r="BJ897" s="214" t="s">
        <v>81</v>
      </c>
      <c r="BK897" s="325">
        <f>ROUND(I897*H897,2)</f>
        <v>0</v>
      </c>
      <c r="BL897" s="214" t="s">
        <v>153</v>
      </c>
      <c r="BM897" s="324" t="s">
        <v>2406</v>
      </c>
    </row>
    <row r="898" spans="2:51" s="326" customFormat="1" ht="12">
      <c r="B898" s="327"/>
      <c r="D898" s="328" t="s">
        <v>155</v>
      </c>
      <c r="E898" s="329" t="s">
        <v>1</v>
      </c>
      <c r="F898" s="330" t="s">
        <v>167</v>
      </c>
      <c r="H898" s="329" t="s">
        <v>1</v>
      </c>
      <c r="I898" s="497"/>
      <c r="L898" s="331"/>
      <c r="M898" s="332"/>
      <c r="N898" s="333"/>
      <c r="O898" s="333"/>
      <c r="P898" s="333"/>
      <c r="Q898" s="333"/>
      <c r="R898" s="333"/>
      <c r="S898" s="333"/>
      <c r="T898" s="334"/>
      <c r="AT898" s="329" t="s">
        <v>155</v>
      </c>
      <c r="AU898" s="329" t="s">
        <v>83</v>
      </c>
      <c r="AV898" s="326" t="s">
        <v>81</v>
      </c>
      <c r="AW898" s="326" t="s">
        <v>34</v>
      </c>
      <c r="AX898" s="326" t="s">
        <v>76</v>
      </c>
      <c r="AY898" s="329" t="s">
        <v>146</v>
      </c>
    </row>
    <row r="899" spans="2:51" s="326" customFormat="1" ht="12">
      <c r="B899" s="327"/>
      <c r="D899" s="328" t="s">
        <v>155</v>
      </c>
      <c r="E899" s="329" t="s">
        <v>1</v>
      </c>
      <c r="F899" s="330" t="s">
        <v>304</v>
      </c>
      <c r="H899" s="329" t="s">
        <v>1</v>
      </c>
      <c r="I899" s="497"/>
      <c r="L899" s="331"/>
      <c r="M899" s="332"/>
      <c r="N899" s="333"/>
      <c r="O899" s="333"/>
      <c r="P899" s="333"/>
      <c r="Q899" s="333"/>
      <c r="R899" s="333"/>
      <c r="S899" s="333"/>
      <c r="T899" s="334"/>
      <c r="AT899" s="329" t="s">
        <v>155</v>
      </c>
      <c r="AU899" s="329" t="s">
        <v>83</v>
      </c>
      <c r="AV899" s="326" t="s">
        <v>81</v>
      </c>
      <c r="AW899" s="326" t="s">
        <v>34</v>
      </c>
      <c r="AX899" s="326" t="s">
        <v>76</v>
      </c>
      <c r="AY899" s="329" t="s">
        <v>146</v>
      </c>
    </row>
    <row r="900" spans="2:51" s="335" customFormat="1" ht="12">
      <c r="B900" s="336"/>
      <c r="D900" s="328" t="s">
        <v>155</v>
      </c>
      <c r="E900" s="337" t="s">
        <v>1</v>
      </c>
      <c r="F900" s="338" t="s">
        <v>2784</v>
      </c>
      <c r="H900" s="339">
        <f>0.6*0.9*3</f>
        <v>1.62</v>
      </c>
      <c r="I900" s="498"/>
      <c r="L900" s="340"/>
      <c r="M900" s="341"/>
      <c r="N900" s="342"/>
      <c r="O900" s="342"/>
      <c r="P900" s="342"/>
      <c r="Q900" s="342"/>
      <c r="R900" s="342"/>
      <c r="S900" s="342"/>
      <c r="T900" s="343"/>
      <c r="AT900" s="337" t="s">
        <v>155</v>
      </c>
      <c r="AU900" s="337" t="s">
        <v>83</v>
      </c>
      <c r="AV900" s="335" t="s">
        <v>83</v>
      </c>
      <c r="AW900" s="335" t="s">
        <v>34</v>
      </c>
      <c r="AX900" s="335" t="s">
        <v>76</v>
      </c>
      <c r="AY900" s="337" t="s">
        <v>146</v>
      </c>
    </row>
    <row r="901" spans="2:51" s="326" customFormat="1" ht="12">
      <c r="B901" s="327"/>
      <c r="D901" s="328" t="s">
        <v>155</v>
      </c>
      <c r="E901" s="329" t="s">
        <v>1</v>
      </c>
      <c r="F901" s="330" t="s">
        <v>309</v>
      </c>
      <c r="H901" s="329" t="s">
        <v>1</v>
      </c>
      <c r="I901" s="497"/>
      <c r="L901" s="331"/>
      <c r="M901" s="332"/>
      <c r="N901" s="333"/>
      <c r="O901" s="333"/>
      <c r="P901" s="333"/>
      <c r="Q901" s="333"/>
      <c r="R901" s="333"/>
      <c r="S901" s="333"/>
      <c r="T901" s="334"/>
      <c r="AT901" s="329" t="s">
        <v>155</v>
      </c>
      <c r="AU901" s="329" t="s">
        <v>83</v>
      </c>
      <c r="AV901" s="326" t="s">
        <v>81</v>
      </c>
      <c r="AW901" s="326" t="s">
        <v>34</v>
      </c>
      <c r="AX901" s="326" t="s">
        <v>76</v>
      </c>
      <c r="AY901" s="329" t="s">
        <v>146</v>
      </c>
    </row>
    <row r="902" spans="2:51" s="335" customFormat="1" ht="12">
      <c r="B902" s="336"/>
      <c r="D902" s="328" t="s">
        <v>155</v>
      </c>
      <c r="E902" s="337" t="s">
        <v>1</v>
      </c>
      <c r="F902" s="338" t="s">
        <v>2784</v>
      </c>
      <c r="H902" s="339">
        <f>0.6*0.9*3</f>
        <v>1.62</v>
      </c>
      <c r="I902" s="498"/>
      <c r="L902" s="340"/>
      <c r="M902" s="341"/>
      <c r="N902" s="342"/>
      <c r="O902" s="342"/>
      <c r="P902" s="342"/>
      <c r="Q902" s="342"/>
      <c r="R902" s="342"/>
      <c r="S902" s="342"/>
      <c r="T902" s="343"/>
      <c r="AT902" s="337" t="s">
        <v>155</v>
      </c>
      <c r="AU902" s="337" t="s">
        <v>83</v>
      </c>
      <c r="AV902" s="335" t="s">
        <v>83</v>
      </c>
      <c r="AW902" s="335" t="s">
        <v>34</v>
      </c>
      <c r="AX902" s="335" t="s">
        <v>76</v>
      </c>
      <c r="AY902" s="337" t="s">
        <v>146</v>
      </c>
    </row>
    <row r="903" spans="2:51" s="347" customFormat="1" ht="12">
      <c r="B903" s="348"/>
      <c r="D903" s="328" t="s">
        <v>155</v>
      </c>
      <c r="E903" s="349" t="s">
        <v>1</v>
      </c>
      <c r="F903" s="356" t="s">
        <v>157</v>
      </c>
      <c r="H903" s="351">
        <f>SUM(H900:H902)</f>
        <v>3.24</v>
      </c>
      <c r="I903" s="499"/>
      <c r="L903" s="352"/>
      <c r="M903" s="353"/>
      <c r="N903" s="354"/>
      <c r="O903" s="354"/>
      <c r="P903" s="354"/>
      <c r="Q903" s="354"/>
      <c r="R903" s="354"/>
      <c r="S903" s="354"/>
      <c r="T903" s="355"/>
      <c r="AT903" s="349" t="s">
        <v>155</v>
      </c>
      <c r="AU903" s="349" t="s">
        <v>83</v>
      </c>
      <c r="AV903" s="347" t="s">
        <v>153</v>
      </c>
      <c r="AW903" s="347" t="s">
        <v>34</v>
      </c>
      <c r="AX903" s="347" t="s">
        <v>81</v>
      </c>
      <c r="AY903" s="349" t="s">
        <v>146</v>
      </c>
    </row>
    <row r="904" spans="1:65" s="225" customFormat="1" ht="24.2" customHeight="1">
      <c r="A904" s="222"/>
      <c r="B904" s="223"/>
      <c r="C904" s="314">
        <v>137</v>
      </c>
      <c r="D904" s="314" t="s">
        <v>148</v>
      </c>
      <c r="E904" s="315" t="s">
        <v>2407</v>
      </c>
      <c r="F904" s="316" t="s">
        <v>2408</v>
      </c>
      <c r="G904" s="317" t="s">
        <v>151</v>
      </c>
      <c r="H904" s="318">
        <v>1.35</v>
      </c>
      <c r="I904" s="79"/>
      <c r="J904" s="319">
        <f>ROUND(I904*H904,2)</f>
        <v>0</v>
      </c>
      <c r="K904" s="316"/>
      <c r="L904" s="229"/>
      <c r="M904" s="320" t="s">
        <v>1</v>
      </c>
      <c r="N904" s="321" t="s">
        <v>42</v>
      </c>
      <c r="O904" s="322">
        <v>0.612</v>
      </c>
      <c r="P904" s="322">
        <f>O904*H904</f>
        <v>0.8262</v>
      </c>
      <c r="Q904" s="322">
        <v>0</v>
      </c>
      <c r="R904" s="322">
        <f>Q904*H904</f>
        <v>0</v>
      </c>
      <c r="S904" s="322">
        <v>0.062</v>
      </c>
      <c r="T904" s="419">
        <f>S904*H904</f>
        <v>0.08370000000000001</v>
      </c>
      <c r="U904" s="222"/>
      <c r="V904" s="222"/>
      <c r="W904" s="222"/>
      <c r="X904" s="222"/>
      <c r="Y904" s="222"/>
      <c r="Z904" s="222"/>
      <c r="AA904" s="222"/>
      <c r="AB904" s="222"/>
      <c r="AC904" s="222"/>
      <c r="AD904" s="222"/>
      <c r="AE904" s="222"/>
      <c r="AR904" s="324" t="s">
        <v>153</v>
      </c>
      <c r="AT904" s="324" t="s">
        <v>148</v>
      </c>
      <c r="AU904" s="324" t="s">
        <v>83</v>
      </c>
      <c r="AY904" s="214" t="s">
        <v>146</v>
      </c>
      <c r="BE904" s="325">
        <f>IF(N904="základní",J904,0)</f>
        <v>0</v>
      </c>
      <c r="BF904" s="325">
        <f>IF(N904="snížená",J904,0)</f>
        <v>0</v>
      </c>
      <c r="BG904" s="325">
        <f>IF(N904="zákl. přenesená",J904,0)</f>
        <v>0</v>
      </c>
      <c r="BH904" s="325">
        <f>IF(N904="sníž. přenesená",J904,0)</f>
        <v>0</v>
      </c>
      <c r="BI904" s="325">
        <f>IF(N904="nulová",J904,0)</f>
        <v>0</v>
      </c>
      <c r="BJ904" s="214" t="s">
        <v>81</v>
      </c>
      <c r="BK904" s="325">
        <f>ROUND(I904*H904,2)</f>
        <v>0</v>
      </c>
      <c r="BL904" s="214" t="s">
        <v>153</v>
      </c>
      <c r="BM904" s="324" t="s">
        <v>2409</v>
      </c>
    </row>
    <row r="905" spans="2:51" s="326" customFormat="1" ht="12">
      <c r="B905" s="327"/>
      <c r="D905" s="328" t="s">
        <v>155</v>
      </c>
      <c r="E905" s="329" t="s">
        <v>1</v>
      </c>
      <c r="F905" s="330" t="s">
        <v>167</v>
      </c>
      <c r="H905" s="329" t="s">
        <v>1</v>
      </c>
      <c r="I905" s="497"/>
      <c r="L905" s="331"/>
      <c r="M905" s="332"/>
      <c r="N905" s="333"/>
      <c r="O905" s="333"/>
      <c r="P905" s="333"/>
      <c r="Q905" s="333"/>
      <c r="R905" s="333"/>
      <c r="S905" s="333"/>
      <c r="T905" s="334"/>
      <c r="AT905" s="329" t="s">
        <v>155</v>
      </c>
      <c r="AU905" s="329" t="s">
        <v>83</v>
      </c>
      <c r="AV905" s="326" t="s">
        <v>81</v>
      </c>
      <c r="AW905" s="326" t="s">
        <v>34</v>
      </c>
      <c r="AX905" s="326" t="s">
        <v>76</v>
      </c>
      <c r="AY905" s="329" t="s">
        <v>146</v>
      </c>
    </row>
    <row r="906" spans="2:51" s="326" customFormat="1" ht="12">
      <c r="B906" s="327"/>
      <c r="D906" s="328" t="s">
        <v>155</v>
      </c>
      <c r="E906" s="329" t="s">
        <v>1</v>
      </c>
      <c r="F906" s="330" t="s">
        <v>304</v>
      </c>
      <c r="H906" s="329" t="s">
        <v>1</v>
      </c>
      <c r="I906" s="497"/>
      <c r="L906" s="331"/>
      <c r="M906" s="332"/>
      <c r="N906" s="333"/>
      <c r="O906" s="333"/>
      <c r="P906" s="333"/>
      <c r="Q906" s="333"/>
      <c r="R906" s="333"/>
      <c r="S906" s="333"/>
      <c r="T906" s="334"/>
      <c r="AT906" s="329" t="s">
        <v>155</v>
      </c>
      <c r="AU906" s="329" t="s">
        <v>83</v>
      </c>
      <c r="AV906" s="326" t="s">
        <v>81</v>
      </c>
      <c r="AW906" s="326" t="s">
        <v>34</v>
      </c>
      <c r="AX906" s="326" t="s">
        <v>76</v>
      </c>
      <c r="AY906" s="329" t="s">
        <v>146</v>
      </c>
    </row>
    <row r="907" spans="2:51" s="335" customFormat="1" ht="12">
      <c r="B907" s="336"/>
      <c r="D907" s="328" t="s">
        <v>155</v>
      </c>
      <c r="E907" s="337" t="s">
        <v>1</v>
      </c>
      <c r="F907" s="338" t="s">
        <v>2410</v>
      </c>
      <c r="H907" s="339">
        <v>1.35</v>
      </c>
      <c r="I907" s="498"/>
      <c r="L907" s="340"/>
      <c r="M907" s="341"/>
      <c r="N907" s="342"/>
      <c r="O907" s="342"/>
      <c r="P907" s="342"/>
      <c r="Q907" s="342"/>
      <c r="R907" s="342"/>
      <c r="S907" s="342"/>
      <c r="T907" s="343"/>
      <c r="AT907" s="337" t="s">
        <v>155</v>
      </c>
      <c r="AU907" s="337" t="s">
        <v>83</v>
      </c>
      <c r="AV907" s="335" t="s">
        <v>83</v>
      </c>
      <c r="AW907" s="335" t="s">
        <v>34</v>
      </c>
      <c r="AX907" s="335" t="s">
        <v>81</v>
      </c>
      <c r="AY907" s="337" t="s">
        <v>146</v>
      </c>
    </row>
    <row r="908" spans="1:65" s="225" customFormat="1" ht="24.2" customHeight="1">
      <c r="A908" s="222"/>
      <c r="B908" s="223"/>
      <c r="C908" s="314">
        <v>138</v>
      </c>
      <c r="D908" s="314" t="s">
        <v>148</v>
      </c>
      <c r="E908" s="315" t="s">
        <v>680</v>
      </c>
      <c r="F908" s="316" t="s">
        <v>681</v>
      </c>
      <c r="G908" s="317" t="s">
        <v>151</v>
      </c>
      <c r="H908" s="318">
        <f>H913</f>
        <v>70.65</v>
      </c>
      <c r="I908" s="79"/>
      <c r="J908" s="319">
        <f>ROUND(I908*H908,2)</f>
        <v>0</v>
      </c>
      <c r="K908" s="316"/>
      <c r="L908" s="229"/>
      <c r="M908" s="320" t="s">
        <v>1</v>
      </c>
      <c r="N908" s="321" t="s">
        <v>42</v>
      </c>
      <c r="O908" s="322">
        <v>0.503</v>
      </c>
      <c r="P908" s="322">
        <f>O908*H908</f>
        <v>35.536950000000004</v>
      </c>
      <c r="Q908" s="322">
        <v>0</v>
      </c>
      <c r="R908" s="322">
        <f>Q908*H908</f>
        <v>0</v>
      </c>
      <c r="S908" s="322">
        <v>0.054</v>
      </c>
      <c r="T908" s="419">
        <f>S908*H908</f>
        <v>3.8151</v>
      </c>
      <c r="U908" s="222"/>
      <c r="V908" s="222"/>
      <c r="W908" s="222"/>
      <c r="X908" s="222"/>
      <c r="Y908" s="222"/>
      <c r="Z908" s="222"/>
      <c r="AA908" s="222"/>
      <c r="AB908" s="222"/>
      <c r="AC908" s="222"/>
      <c r="AD908" s="222"/>
      <c r="AE908" s="222"/>
      <c r="AR908" s="324" t="s">
        <v>153</v>
      </c>
      <c r="AT908" s="324" t="s">
        <v>148</v>
      </c>
      <c r="AU908" s="324" t="s">
        <v>83</v>
      </c>
      <c r="AY908" s="214" t="s">
        <v>146</v>
      </c>
      <c r="BE908" s="325">
        <f>IF(N908="základní",J908,0)</f>
        <v>0</v>
      </c>
      <c r="BF908" s="325">
        <f>IF(N908="snížená",J908,0)</f>
        <v>0</v>
      </c>
      <c r="BG908" s="325">
        <f>IF(N908="zákl. přenesená",J908,0)</f>
        <v>0</v>
      </c>
      <c r="BH908" s="325">
        <f>IF(N908="sníž. přenesená",J908,0)</f>
        <v>0</v>
      </c>
      <c r="BI908" s="325">
        <f>IF(N908="nulová",J908,0)</f>
        <v>0</v>
      </c>
      <c r="BJ908" s="214" t="s">
        <v>81</v>
      </c>
      <c r="BK908" s="325">
        <f>ROUND(I908*H908,2)</f>
        <v>0</v>
      </c>
      <c r="BL908" s="214" t="s">
        <v>153</v>
      </c>
      <c r="BM908" s="324" t="s">
        <v>682</v>
      </c>
    </row>
    <row r="909" spans="2:51" s="326" customFormat="1" ht="12">
      <c r="B909" s="327"/>
      <c r="D909" s="328" t="s">
        <v>155</v>
      </c>
      <c r="E909" s="329" t="s">
        <v>1</v>
      </c>
      <c r="F909" s="330" t="s">
        <v>304</v>
      </c>
      <c r="H909" s="329" t="s">
        <v>1</v>
      </c>
      <c r="I909" s="497"/>
      <c r="L909" s="331"/>
      <c r="M909" s="332"/>
      <c r="N909" s="333"/>
      <c r="O909" s="333"/>
      <c r="P909" s="333"/>
      <c r="Q909" s="333"/>
      <c r="R909" s="333"/>
      <c r="S909" s="333"/>
      <c r="T909" s="334"/>
      <c r="AT909" s="329" t="s">
        <v>155</v>
      </c>
      <c r="AU909" s="329" t="s">
        <v>83</v>
      </c>
      <c r="AV909" s="326" t="s">
        <v>81</v>
      </c>
      <c r="AW909" s="326" t="s">
        <v>34</v>
      </c>
      <c r="AX909" s="326" t="s">
        <v>76</v>
      </c>
      <c r="AY909" s="329" t="s">
        <v>146</v>
      </c>
    </row>
    <row r="910" spans="2:51" s="335" customFormat="1" ht="12">
      <c r="B910" s="336"/>
      <c r="D910" s="328" t="s">
        <v>155</v>
      </c>
      <c r="E910" s="337" t="s">
        <v>1</v>
      </c>
      <c r="F910" s="338" t="s">
        <v>2785</v>
      </c>
      <c r="H910" s="339">
        <f>1.5*1.5*8+2.1*1.5*6</f>
        <v>36.900000000000006</v>
      </c>
      <c r="I910" s="498"/>
      <c r="L910" s="340"/>
      <c r="M910" s="341"/>
      <c r="N910" s="342"/>
      <c r="O910" s="342"/>
      <c r="P910" s="342"/>
      <c r="Q910" s="342"/>
      <c r="R910" s="342"/>
      <c r="S910" s="342"/>
      <c r="T910" s="343"/>
      <c r="AT910" s="337" t="s">
        <v>155</v>
      </c>
      <c r="AU910" s="337" t="s">
        <v>83</v>
      </c>
      <c r="AV910" s="335" t="s">
        <v>83</v>
      </c>
      <c r="AW910" s="335" t="s">
        <v>34</v>
      </c>
      <c r="AX910" s="335" t="s">
        <v>76</v>
      </c>
      <c r="AY910" s="337" t="s">
        <v>146</v>
      </c>
    </row>
    <row r="911" spans="2:51" s="326" customFormat="1" ht="12">
      <c r="B911" s="327"/>
      <c r="D911" s="328" t="s">
        <v>155</v>
      </c>
      <c r="E911" s="329" t="s">
        <v>1</v>
      </c>
      <c r="F911" s="330" t="s">
        <v>309</v>
      </c>
      <c r="H911" s="329" t="s">
        <v>1</v>
      </c>
      <c r="I911" s="497"/>
      <c r="L911" s="331"/>
      <c r="M911" s="332"/>
      <c r="N911" s="333"/>
      <c r="O911" s="333"/>
      <c r="P911" s="333"/>
      <c r="Q911" s="333"/>
      <c r="R911" s="333"/>
      <c r="S911" s="333"/>
      <c r="T911" s="334"/>
      <c r="AT911" s="329" t="s">
        <v>155</v>
      </c>
      <c r="AU911" s="329" t="s">
        <v>83</v>
      </c>
      <c r="AV911" s="326" t="s">
        <v>81</v>
      </c>
      <c r="AW911" s="326" t="s">
        <v>34</v>
      </c>
      <c r="AX911" s="326" t="s">
        <v>76</v>
      </c>
      <c r="AY911" s="329" t="s">
        <v>146</v>
      </c>
    </row>
    <row r="912" spans="2:51" s="335" customFormat="1" ht="12">
      <c r="B912" s="336"/>
      <c r="D912" s="328" t="s">
        <v>155</v>
      </c>
      <c r="E912" s="337" t="s">
        <v>1</v>
      </c>
      <c r="F912" s="338" t="s">
        <v>2786</v>
      </c>
      <c r="H912" s="339">
        <f>2.1*1.5*10+1.5*1.5</f>
        <v>33.75</v>
      </c>
      <c r="I912" s="498"/>
      <c r="L912" s="340"/>
      <c r="M912" s="341"/>
      <c r="N912" s="342"/>
      <c r="O912" s="342"/>
      <c r="P912" s="342"/>
      <c r="Q912" s="342"/>
      <c r="R912" s="342"/>
      <c r="S912" s="342"/>
      <c r="T912" s="343"/>
      <c r="AT912" s="337" t="s">
        <v>155</v>
      </c>
      <c r="AU912" s="337" t="s">
        <v>83</v>
      </c>
      <c r="AV912" s="335" t="s">
        <v>83</v>
      </c>
      <c r="AW912" s="335" t="s">
        <v>34</v>
      </c>
      <c r="AX912" s="335" t="s">
        <v>76</v>
      </c>
      <c r="AY912" s="337" t="s">
        <v>146</v>
      </c>
    </row>
    <row r="913" spans="2:51" s="347" customFormat="1" ht="12">
      <c r="B913" s="348"/>
      <c r="D913" s="328" t="s">
        <v>155</v>
      </c>
      <c r="E913" s="349" t="s">
        <v>1</v>
      </c>
      <c r="F913" s="356" t="s">
        <v>157</v>
      </c>
      <c r="H913" s="351">
        <f>SUM(H910:H912)</f>
        <v>70.65</v>
      </c>
      <c r="I913" s="499"/>
      <c r="L913" s="352"/>
      <c r="M913" s="353"/>
      <c r="N913" s="354"/>
      <c r="O913" s="354"/>
      <c r="P913" s="354"/>
      <c r="Q913" s="354"/>
      <c r="R913" s="354"/>
      <c r="S913" s="354"/>
      <c r="T913" s="355"/>
      <c r="AT913" s="349" t="s">
        <v>155</v>
      </c>
      <c r="AU913" s="349" t="s">
        <v>83</v>
      </c>
      <c r="AV913" s="347" t="s">
        <v>153</v>
      </c>
      <c r="AW913" s="347" t="s">
        <v>34</v>
      </c>
      <c r="AX913" s="347" t="s">
        <v>81</v>
      </c>
      <c r="AY913" s="349" t="s">
        <v>146</v>
      </c>
    </row>
    <row r="914" spans="1:65" s="225" customFormat="1" ht="21.75" customHeight="1">
      <c r="A914" s="222"/>
      <c r="B914" s="223"/>
      <c r="C914" s="314">
        <v>139</v>
      </c>
      <c r="D914" s="314" t="s">
        <v>148</v>
      </c>
      <c r="E914" s="315" t="s">
        <v>683</v>
      </c>
      <c r="F914" s="316" t="s">
        <v>684</v>
      </c>
      <c r="G914" s="317" t="s">
        <v>151</v>
      </c>
      <c r="H914" s="318">
        <f>H917</f>
        <v>17</v>
      </c>
      <c r="I914" s="79"/>
      <c r="J914" s="319">
        <f>ROUND(I914*H914,2)</f>
        <v>0</v>
      </c>
      <c r="K914" s="316"/>
      <c r="L914" s="229"/>
      <c r="M914" s="320" t="s">
        <v>1</v>
      </c>
      <c r="N914" s="321" t="s">
        <v>42</v>
      </c>
      <c r="O914" s="322">
        <v>0.939</v>
      </c>
      <c r="P914" s="322">
        <f>O914*H914</f>
        <v>15.963</v>
      </c>
      <c r="Q914" s="322">
        <v>0</v>
      </c>
      <c r="R914" s="322">
        <f>Q914*H914</f>
        <v>0</v>
      </c>
      <c r="S914" s="322">
        <v>0.076</v>
      </c>
      <c r="T914" s="419">
        <f>S914*H914</f>
        <v>1.292</v>
      </c>
      <c r="U914" s="222"/>
      <c r="V914" s="222"/>
      <c r="W914" s="222"/>
      <c r="X914" s="222"/>
      <c r="Y914" s="222"/>
      <c r="Z914" s="222"/>
      <c r="AA914" s="222"/>
      <c r="AB914" s="222"/>
      <c r="AC914" s="222"/>
      <c r="AD914" s="222"/>
      <c r="AE914" s="222"/>
      <c r="AR914" s="324" t="s">
        <v>153</v>
      </c>
      <c r="AT914" s="324" t="s">
        <v>148</v>
      </c>
      <c r="AU914" s="324" t="s">
        <v>83</v>
      </c>
      <c r="AY914" s="214" t="s">
        <v>146</v>
      </c>
      <c r="BE914" s="325">
        <f>IF(N914="základní",J914,0)</f>
        <v>0</v>
      </c>
      <c r="BF914" s="325">
        <f>IF(N914="snížená",J914,0)</f>
        <v>0</v>
      </c>
      <c r="BG914" s="325">
        <f>IF(N914="zákl. přenesená",J914,0)</f>
        <v>0</v>
      </c>
      <c r="BH914" s="325">
        <f>IF(N914="sníž. přenesená",J914,0)</f>
        <v>0</v>
      </c>
      <c r="BI914" s="325">
        <f>IF(N914="nulová",J914,0)</f>
        <v>0</v>
      </c>
      <c r="BJ914" s="214" t="s">
        <v>81</v>
      </c>
      <c r="BK914" s="325">
        <f>ROUND(I914*H914,2)</f>
        <v>0</v>
      </c>
      <c r="BL914" s="214" t="s">
        <v>153</v>
      </c>
      <c r="BM914" s="324" t="s">
        <v>685</v>
      </c>
    </row>
    <row r="915" spans="2:51" s="326" customFormat="1" ht="12">
      <c r="B915" s="327"/>
      <c r="D915" s="328" t="s">
        <v>155</v>
      </c>
      <c r="E915" s="329" t="s">
        <v>1</v>
      </c>
      <c r="F915" s="330" t="s">
        <v>2731</v>
      </c>
      <c r="H915" s="339">
        <v>9</v>
      </c>
      <c r="I915" s="497"/>
      <c r="L915" s="331"/>
      <c r="M915" s="332"/>
      <c r="N915" s="333"/>
      <c r="O915" s="333"/>
      <c r="P915" s="333"/>
      <c r="Q915" s="333"/>
      <c r="R915" s="333"/>
      <c r="S915" s="333"/>
      <c r="T915" s="334"/>
      <c r="AT915" s="329" t="s">
        <v>155</v>
      </c>
      <c r="AU915" s="329" t="s">
        <v>83</v>
      </c>
      <c r="AV915" s="326" t="s">
        <v>81</v>
      </c>
      <c r="AW915" s="326" t="s">
        <v>34</v>
      </c>
      <c r="AX915" s="326" t="s">
        <v>76</v>
      </c>
      <c r="AY915" s="329" t="s">
        <v>146</v>
      </c>
    </row>
    <row r="916" spans="2:51" s="326" customFormat="1" ht="12">
      <c r="B916" s="327"/>
      <c r="D916" s="328" t="s">
        <v>155</v>
      </c>
      <c r="E916" s="329" t="s">
        <v>1</v>
      </c>
      <c r="F916" s="330" t="s">
        <v>2732</v>
      </c>
      <c r="H916" s="339">
        <v>8</v>
      </c>
      <c r="I916" s="497"/>
      <c r="L916" s="331"/>
      <c r="M916" s="332"/>
      <c r="N916" s="333"/>
      <c r="O916" s="333"/>
      <c r="P916" s="333"/>
      <c r="Q916" s="333"/>
      <c r="R916" s="333"/>
      <c r="S916" s="333"/>
      <c r="T916" s="334"/>
      <c r="AT916" s="329" t="s">
        <v>155</v>
      </c>
      <c r="AU916" s="329" t="s">
        <v>83</v>
      </c>
      <c r="AV916" s="326" t="s">
        <v>81</v>
      </c>
      <c r="AW916" s="326" t="s">
        <v>34</v>
      </c>
      <c r="AX916" s="326" t="s">
        <v>76</v>
      </c>
      <c r="AY916" s="329" t="s">
        <v>146</v>
      </c>
    </row>
    <row r="917" spans="2:51" s="347" customFormat="1" ht="12">
      <c r="B917" s="348"/>
      <c r="D917" s="328" t="s">
        <v>155</v>
      </c>
      <c r="E917" s="349" t="s">
        <v>1</v>
      </c>
      <c r="F917" s="356" t="s">
        <v>157</v>
      </c>
      <c r="H917" s="351">
        <f>H915+H916</f>
        <v>17</v>
      </c>
      <c r="I917" s="499"/>
      <c r="L917" s="352"/>
      <c r="M917" s="353"/>
      <c r="N917" s="354"/>
      <c r="O917" s="354"/>
      <c r="P917" s="354"/>
      <c r="Q917" s="354"/>
      <c r="R917" s="354"/>
      <c r="S917" s="354"/>
      <c r="T917" s="355"/>
      <c r="AT917" s="349" t="s">
        <v>155</v>
      </c>
      <c r="AU917" s="349" t="s">
        <v>83</v>
      </c>
      <c r="AV917" s="347" t="s">
        <v>153</v>
      </c>
      <c r="AW917" s="347" t="s">
        <v>34</v>
      </c>
      <c r="AX917" s="347" t="s">
        <v>81</v>
      </c>
      <c r="AY917" s="349" t="s">
        <v>146</v>
      </c>
    </row>
    <row r="918" spans="1:65" s="225" customFormat="1" ht="21.75" customHeight="1">
      <c r="A918" s="222"/>
      <c r="B918" s="223"/>
      <c r="C918" s="314">
        <v>140</v>
      </c>
      <c r="D918" s="314" t="s">
        <v>148</v>
      </c>
      <c r="E918" s="315" t="s">
        <v>686</v>
      </c>
      <c r="F918" s="316" t="s">
        <v>687</v>
      </c>
      <c r="G918" s="317" t="s">
        <v>151</v>
      </c>
      <c r="H918" s="318">
        <f>H920</f>
        <v>19.68</v>
      </c>
      <c r="I918" s="79"/>
      <c r="J918" s="319">
        <f>ROUND(I918*H918,2)</f>
        <v>0</v>
      </c>
      <c r="K918" s="316"/>
      <c r="L918" s="229"/>
      <c r="M918" s="320" t="s">
        <v>1</v>
      </c>
      <c r="N918" s="321" t="s">
        <v>42</v>
      </c>
      <c r="O918" s="322">
        <v>0.718</v>
      </c>
      <c r="P918" s="322">
        <f>O918*H918</f>
        <v>14.130239999999999</v>
      </c>
      <c r="Q918" s="322">
        <v>0</v>
      </c>
      <c r="R918" s="322">
        <f>Q918*H918</f>
        <v>0</v>
      </c>
      <c r="S918" s="322">
        <v>0.063</v>
      </c>
      <c r="T918" s="419">
        <f>S918*H918</f>
        <v>1.23984</v>
      </c>
      <c r="U918" s="222"/>
      <c r="V918" s="222"/>
      <c r="W918" s="222"/>
      <c r="X918" s="222"/>
      <c r="Y918" s="222"/>
      <c r="Z918" s="222"/>
      <c r="AA918" s="222"/>
      <c r="AB918" s="222"/>
      <c r="AC918" s="222"/>
      <c r="AD918" s="222"/>
      <c r="AE918" s="222"/>
      <c r="AR918" s="324" t="s">
        <v>153</v>
      </c>
      <c r="AT918" s="324" t="s">
        <v>148</v>
      </c>
      <c r="AU918" s="324" t="s">
        <v>83</v>
      </c>
      <c r="AY918" s="214" t="s">
        <v>146</v>
      </c>
      <c r="BE918" s="325">
        <f>IF(N918="základní",J918,0)</f>
        <v>0</v>
      </c>
      <c r="BF918" s="325">
        <f>IF(N918="snížená",J918,0)</f>
        <v>0</v>
      </c>
      <c r="BG918" s="325">
        <f>IF(N918="zákl. přenesená",J918,0)</f>
        <v>0</v>
      </c>
      <c r="BH918" s="325">
        <f>IF(N918="sníž. přenesená",J918,0)</f>
        <v>0</v>
      </c>
      <c r="BI918" s="325">
        <f>IF(N918="nulová",J918,0)</f>
        <v>0</v>
      </c>
      <c r="BJ918" s="214" t="s">
        <v>81</v>
      </c>
      <c r="BK918" s="325">
        <f>ROUND(I918*H918,2)</f>
        <v>0</v>
      </c>
      <c r="BL918" s="214" t="s">
        <v>153</v>
      </c>
      <c r="BM918" s="324" t="s">
        <v>688</v>
      </c>
    </row>
    <row r="919" spans="2:51" s="326" customFormat="1" ht="12">
      <c r="B919" s="327"/>
      <c r="D919" s="328" t="s">
        <v>155</v>
      </c>
      <c r="E919" s="329" t="s">
        <v>1</v>
      </c>
      <c r="F919" s="330" t="s">
        <v>2731</v>
      </c>
      <c r="H919" s="329" t="s">
        <v>1</v>
      </c>
      <c r="I919" s="497"/>
      <c r="L919" s="331"/>
      <c r="M919" s="332"/>
      <c r="N919" s="333"/>
      <c r="O919" s="333"/>
      <c r="P919" s="333"/>
      <c r="Q919" s="333"/>
      <c r="R919" s="333"/>
      <c r="S919" s="333"/>
      <c r="T919" s="334"/>
      <c r="AT919" s="329" t="s">
        <v>155</v>
      </c>
      <c r="AU919" s="329" t="s">
        <v>83</v>
      </c>
      <c r="AV919" s="326" t="s">
        <v>81</v>
      </c>
      <c r="AW919" s="326" t="s">
        <v>34</v>
      </c>
      <c r="AX919" s="326" t="s">
        <v>76</v>
      </c>
      <c r="AY919" s="329" t="s">
        <v>146</v>
      </c>
    </row>
    <row r="920" spans="2:51" s="335" customFormat="1" ht="12">
      <c r="B920" s="336"/>
      <c r="D920" s="328" t="s">
        <v>155</v>
      </c>
      <c r="E920" s="337" t="s">
        <v>1</v>
      </c>
      <c r="F920" s="338" t="s">
        <v>2790</v>
      </c>
      <c r="H920" s="339">
        <f>1.8*2.4+1.45*2.4*2+1.75*2.4*2</f>
        <v>19.68</v>
      </c>
      <c r="I920" s="498"/>
      <c r="L920" s="340"/>
      <c r="M920" s="341"/>
      <c r="N920" s="342"/>
      <c r="O920" s="342"/>
      <c r="P920" s="342"/>
      <c r="Q920" s="342"/>
      <c r="R920" s="342"/>
      <c r="S920" s="342"/>
      <c r="T920" s="343"/>
      <c r="AT920" s="337" t="s">
        <v>155</v>
      </c>
      <c r="AU920" s="337" t="s">
        <v>83</v>
      </c>
      <c r="AV920" s="335" t="s">
        <v>83</v>
      </c>
      <c r="AW920" s="335" t="s">
        <v>34</v>
      </c>
      <c r="AX920" s="335" t="s">
        <v>76</v>
      </c>
      <c r="AY920" s="337" t="s">
        <v>146</v>
      </c>
    </row>
    <row r="921" spans="1:65" s="225" customFormat="1" ht="21.75" customHeight="1">
      <c r="A921" s="222"/>
      <c r="B921" s="223"/>
      <c r="C921" s="314">
        <v>141</v>
      </c>
      <c r="D921" s="314" t="s">
        <v>148</v>
      </c>
      <c r="E921" s="315" t="s">
        <v>2787</v>
      </c>
      <c r="F921" s="316" t="s">
        <v>2788</v>
      </c>
      <c r="G921" s="317" t="s">
        <v>151</v>
      </c>
      <c r="H921" s="318">
        <f>H923</f>
        <v>31.669199999999996</v>
      </c>
      <c r="I921" s="79"/>
      <c r="J921" s="319">
        <f>ROUND(I921*H921,2)</f>
        <v>0</v>
      </c>
      <c r="K921" s="316"/>
      <c r="L921" s="229"/>
      <c r="M921" s="320" t="s">
        <v>1</v>
      </c>
      <c r="N921" s="321" t="s">
        <v>42</v>
      </c>
      <c r="O921" s="322">
        <v>0.718</v>
      </c>
      <c r="P921" s="322">
        <f>O921*H921</f>
        <v>22.738485599999997</v>
      </c>
      <c r="Q921" s="322">
        <v>0</v>
      </c>
      <c r="R921" s="322">
        <f>Q921*H921</f>
        <v>0</v>
      </c>
      <c r="S921" s="322">
        <v>0.063</v>
      </c>
      <c r="T921" s="419">
        <f>S921*H921</f>
        <v>1.9951595999999998</v>
      </c>
      <c r="U921" s="222"/>
      <c r="V921" s="222"/>
      <c r="W921" s="222"/>
      <c r="X921" s="222"/>
      <c r="Y921" s="222"/>
      <c r="Z921" s="222"/>
      <c r="AA921" s="222"/>
      <c r="AB921" s="222"/>
      <c r="AC921" s="222"/>
      <c r="AD921" s="222"/>
      <c r="AE921" s="222"/>
      <c r="AR921" s="324" t="s">
        <v>153</v>
      </c>
      <c r="AT921" s="324" t="s">
        <v>148</v>
      </c>
      <c r="AU921" s="324" t="s">
        <v>83</v>
      </c>
      <c r="AY921" s="214" t="s">
        <v>146</v>
      </c>
      <c r="BE921" s="325">
        <f>IF(N921="základní",J921,0)</f>
        <v>0</v>
      </c>
      <c r="BF921" s="325">
        <f>IF(N921="snížená",J921,0)</f>
        <v>0</v>
      </c>
      <c r="BG921" s="325">
        <f>IF(N921="zákl. přenesená",J921,0)</f>
        <v>0</v>
      </c>
      <c r="BH921" s="325">
        <f>IF(N921="sníž. přenesená",J921,0)</f>
        <v>0</v>
      </c>
      <c r="BI921" s="325">
        <f>IF(N921="nulová",J921,0)</f>
        <v>0</v>
      </c>
      <c r="BJ921" s="214" t="s">
        <v>81</v>
      </c>
      <c r="BK921" s="325">
        <f>ROUND(I921*H921,2)</f>
        <v>0</v>
      </c>
      <c r="BL921" s="214" t="s">
        <v>153</v>
      </c>
      <c r="BM921" s="324" t="s">
        <v>688</v>
      </c>
    </row>
    <row r="922" spans="2:51" s="326" customFormat="1" ht="12">
      <c r="B922" s="327"/>
      <c r="D922" s="328" t="s">
        <v>155</v>
      </c>
      <c r="E922" s="329" t="s">
        <v>1</v>
      </c>
      <c r="F922" s="330" t="s">
        <v>2731</v>
      </c>
      <c r="H922" s="329" t="s">
        <v>1</v>
      </c>
      <c r="I922" s="497"/>
      <c r="L922" s="331"/>
      <c r="M922" s="332"/>
      <c r="N922" s="333"/>
      <c r="O922" s="333"/>
      <c r="P922" s="333"/>
      <c r="Q922" s="333"/>
      <c r="R922" s="333"/>
      <c r="S922" s="333"/>
      <c r="T922" s="334"/>
      <c r="AT922" s="329" t="s">
        <v>155</v>
      </c>
      <c r="AU922" s="329" t="s">
        <v>83</v>
      </c>
      <c r="AV922" s="326" t="s">
        <v>81</v>
      </c>
      <c r="AW922" s="326" t="s">
        <v>34</v>
      </c>
      <c r="AX922" s="326" t="s">
        <v>76</v>
      </c>
      <c r="AY922" s="329" t="s">
        <v>146</v>
      </c>
    </row>
    <row r="923" spans="2:51" s="335" customFormat="1" ht="12">
      <c r="B923" s="336"/>
      <c r="D923" s="328" t="s">
        <v>155</v>
      </c>
      <c r="E923" s="337" t="s">
        <v>1</v>
      </c>
      <c r="F923" s="338" t="s">
        <v>2789</v>
      </c>
      <c r="H923" s="339">
        <f>3*3.3*2+3.297*3.6</f>
        <v>31.669199999999996</v>
      </c>
      <c r="I923" s="498"/>
      <c r="L923" s="340"/>
      <c r="M923" s="341"/>
      <c r="N923" s="342"/>
      <c r="O923" s="342"/>
      <c r="P923" s="342"/>
      <c r="Q923" s="342"/>
      <c r="R923" s="342"/>
      <c r="S923" s="342"/>
      <c r="T923" s="343"/>
      <c r="AT923" s="337" t="s">
        <v>155</v>
      </c>
      <c r="AU923" s="337" t="s">
        <v>83</v>
      </c>
      <c r="AV923" s="335" t="s">
        <v>83</v>
      </c>
      <c r="AW923" s="335" t="s">
        <v>34</v>
      </c>
      <c r="AX923" s="335" t="s">
        <v>76</v>
      </c>
      <c r="AY923" s="337" t="s">
        <v>146</v>
      </c>
    </row>
    <row r="924" spans="1:65" s="225" customFormat="1" ht="21.75" customHeight="1">
      <c r="A924" s="222"/>
      <c r="B924" s="223"/>
      <c r="C924" s="314">
        <v>142</v>
      </c>
      <c r="D924" s="314" t="s">
        <v>148</v>
      </c>
      <c r="E924" s="315" t="s">
        <v>2753</v>
      </c>
      <c r="F924" s="316" t="s">
        <v>2752</v>
      </c>
      <c r="G924" s="317" t="s">
        <v>301</v>
      </c>
      <c r="H924" s="318">
        <f>H927</f>
        <v>43</v>
      </c>
      <c r="I924" s="79"/>
      <c r="J924" s="319">
        <f>ROUND(I924*H924,2)</f>
        <v>0</v>
      </c>
      <c r="K924" s="316"/>
      <c r="L924" s="229"/>
      <c r="M924" s="320" t="s">
        <v>1</v>
      </c>
      <c r="N924" s="321" t="s">
        <v>42</v>
      </c>
      <c r="O924" s="322">
        <v>0.718</v>
      </c>
      <c r="P924" s="322">
        <f>O924*H924</f>
        <v>30.874</v>
      </c>
      <c r="Q924" s="322">
        <v>0</v>
      </c>
      <c r="R924" s="322">
        <f>Q924*H924</f>
        <v>0</v>
      </c>
      <c r="S924" s="322">
        <v>0.063</v>
      </c>
      <c r="T924" s="425">
        <f>S924*H924</f>
        <v>2.709</v>
      </c>
      <c r="U924" s="222"/>
      <c r="V924" s="222"/>
      <c r="W924" s="222"/>
      <c r="X924" s="222"/>
      <c r="Y924" s="222"/>
      <c r="Z924" s="222"/>
      <c r="AA924" s="222"/>
      <c r="AB924" s="222"/>
      <c r="AC924" s="222"/>
      <c r="AD924" s="222"/>
      <c r="AE924" s="222"/>
      <c r="AR924" s="324" t="s">
        <v>153</v>
      </c>
      <c r="AT924" s="324" t="s">
        <v>148</v>
      </c>
      <c r="AU924" s="324" t="s">
        <v>83</v>
      </c>
      <c r="AY924" s="214" t="s">
        <v>146</v>
      </c>
      <c r="BE924" s="325">
        <f>IF(N924="základní",J924,0)</f>
        <v>0</v>
      </c>
      <c r="BF924" s="325">
        <f>IF(N924="snížená",J924,0)</f>
        <v>0</v>
      </c>
      <c r="BG924" s="325">
        <f>IF(N924="zákl. přenesená",J924,0)</f>
        <v>0</v>
      </c>
      <c r="BH924" s="325">
        <f>IF(N924="sníž. přenesená",J924,0)</f>
        <v>0</v>
      </c>
      <c r="BI924" s="325">
        <f>IF(N924="nulová",J924,0)</f>
        <v>0</v>
      </c>
      <c r="BJ924" s="214" t="s">
        <v>81</v>
      </c>
      <c r="BK924" s="325">
        <f>ROUND(I924*H924,2)</f>
        <v>0</v>
      </c>
      <c r="BL924" s="214" t="s">
        <v>153</v>
      </c>
      <c r="BM924" s="324" t="s">
        <v>688</v>
      </c>
    </row>
    <row r="925" spans="2:51" s="326" customFormat="1" ht="12">
      <c r="B925" s="327"/>
      <c r="D925" s="328" t="s">
        <v>155</v>
      </c>
      <c r="E925" s="329" t="s">
        <v>1</v>
      </c>
      <c r="F925" s="330" t="s">
        <v>2731</v>
      </c>
      <c r="H925" s="339">
        <v>28</v>
      </c>
      <c r="I925" s="497"/>
      <c r="L925" s="331"/>
      <c r="M925" s="332"/>
      <c r="N925" s="333"/>
      <c r="O925" s="333"/>
      <c r="P925" s="333"/>
      <c r="Q925" s="333"/>
      <c r="R925" s="333"/>
      <c r="S925" s="333"/>
      <c r="T925" s="334"/>
      <c r="AT925" s="329" t="s">
        <v>155</v>
      </c>
      <c r="AU925" s="329" t="s">
        <v>83</v>
      </c>
      <c r="AV925" s="326" t="s">
        <v>81</v>
      </c>
      <c r="AW925" s="326" t="s">
        <v>34</v>
      </c>
      <c r="AX925" s="326" t="s">
        <v>76</v>
      </c>
      <c r="AY925" s="329" t="s">
        <v>146</v>
      </c>
    </row>
    <row r="926" spans="2:51" s="326" customFormat="1" ht="12">
      <c r="B926" s="327"/>
      <c r="D926" s="328" t="s">
        <v>155</v>
      </c>
      <c r="E926" s="329" t="s">
        <v>1</v>
      </c>
      <c r="F926" s="330" t="s">
        <v>2732</v>
      </c>
      <c r="H926" s="339">
        <v>15</v>
      </c>
      <c r="I926" s="497"/>
      <c r="L926" s="331"/>
      <c r="M926" s="332"/>
      <c r="N926" s="333"/>
      <c r="O926" s="333"/>
      <c r="P926" s="333"/>
      <c r="Q926" s="333"/>
      <c r="R926" s="333"/>
      <c r="S926" s="333"/>
      <c r="T926" s="334"/>
      <c r="AT926" s="329" t="s">
        <v>155</v>
      </c>
      <c r="AU926" s="329" t="s">
        <v>83</v>
      </c>
      <c r="AV926" s="326" t="s">
        <v>81</v>
      </c>
      <c r="AW926" s="326" t="s">
        <v>34</v>
      </c>
      <c r="AX926" s="326" t="s">
        <v>76</v>
      </c>
      <c r="AY926" s="329" t="s">
        <v>146</v>
      </c>
    </row>
    <row r="927" spans="2:51" s="347" customFormat="1" ht="12">
      <c r="B927" s="348"/>
      <c r="D927" s="328" t="s">
        <v>155</v>
      </c>
      <c r="E927" s="349" t="s">
        <v>1</v>
      </c>
      <c r="F927" s="356" t="s">
        <v>157</v>
      </c>
      <c r="H927" s="351">
        <f>H925+H926</f>
        <v>43</v>
      </c>
      <c r="I927" s="499"/>
      <c r="L927" s="352"/>
      <c r="M927" s="353"/>
      <c r="N927" s="354"/>
      <c r="O927" s="354"/>
      <c r="P927" s="354"/>
      <c r="Q927" s="354"/>
      <c r="R927" s="354"/>
      <c r="S927" s="354"/>
      <c r="T927" s="355"/>
      <c r="AT927" s="349" t="s">
        <v>155</v>
      </c>
      <c r="AU927" s="349" t="s">
        <v>83</v>
      </c>
      <c r="AV927" s="347" t="s">
        <v>153</v>
      </c>
      <c r="AW927" s="347" t="s">
        <v>34</v>
      </c>
      <c r="AX927" s="347" t="s">
        <v>81</v>
      </c>
      <c r="AY927" s="349" t="s">
        <v>146</v>
      </c>
    </row>
    <row r="928" spans="1:65" s="225" customFormat="1" ht="21.75" customHeight="1">
      <c r="A928" s="222"/>
      <c r="B928" s="223"/>
      <c r="C928" s="314">
        <v>143</v>
      </c>
      <c r="D928" s="314" t="s">
        <v>148</v>
      </c>
      <c r="E928" s="315" t="s">
        <v>2756</v>
      </c>
      <c r="F928" s="316" t="s">
        <v>2757</v>
      </c>
      <c r="G928" s="317" t="s">
        <v>301</v>
      </c>
      <c r="H928" s="318">
        <f>H931</f>
        <v>55</v>
      </c>
      <c r="I928" s="79"/>
      <c r="J928" s="319">
        <f>ROUND(I928*H928,2)</f>
        <v>0</v>
      </c>
      <c r="K928" s="316"/>
      <c r="L928" s="229"/>
      <c r="M928" s="320" t="s">
        <v>1</v>
      </c>
      <c r="N928" s="321" t="s">
        <v>42</v>
      </c>
      <c r="O928" s="322">
        <v>0.718</v>
      </c>
      <c r="P928" s="322">
        <f>O928*H928</f>
        <v>39.489999999999995</v>
      </c>
      <c r="Q928" s="322">
        <v>0</v>
      </c>
      <c r="R928" s="322">
        <f>Q928*H928</f>
        <v>0</v>
      </c>
      <c r="S928" s="322">
        <v>0.063</v>
      </c>
      <c r="T928" s="425">
        <f>S928*H928</f>
        <v>3.465</v>
      </c>
      <c r="U928" s="222"/>
      <c r="V928" s="222"/>
      <c r="W928" s="222"/>
      <c r="X928" s="222"/>
      <c r="Y928" s="222"/>
      <c r="Z928" s="222"/>
      <c r="AA928" s="222"/>
      <c r="AB928" s="222"/>
      <c r="AC928" s="222"/>
      <c r="AD928" s="222"/>
      <c r="AE928" s="222"/>
      <c r="AR928" s="324" t="s">
        <v>153</v>
      </c>
      <c r="AT928" s="324" t="s">
        <v>148</v>
      </c>
      <c r="AU928" s="324" t="s">
        <v>83</v>
      </c>
      <c r="AY928" s="214" t="s">
        <v>146</v>
      </c>
      <c r="BE928" s="325">
        <f>IF(N928="základní",J928,0)</f>
        <v>0</v>
      </c>
      <c r="BF928" s="325">
        <f>IF(N928="snížená",J928,0)</f>
        <v>0</v>
      </c>
      <c r="BG928" s="325">
        <f>IF(N928="zákl. přenesená",J928,0)</f>
        <v>0</v>
      </c>
      <c r="BH928" s="325">
        <f>IF(N928="sníž. přenesená",J928,0)</f>
        <v>0</v>
      </c>
      <c r="BI928" s="325">
        <f>IF(N928="nulová",J928,0)</f>
        <v>0</v>
      </c>
      <c r="BJ928" s="214" t="s">
        <v>81</v>
      </c>
      <c r="BK928" s="325">
        <f>ROUND(I928*H928,2)</f>
        <v>0</v>
      </c>
      <c r="BL928" s="214" t="s">
        <v>153</v>
      </c>
      <c r="BM928" s="324" t="s">
        <v>688</v>
      </c>
    </row>
    <row r="929" spans="2:51" s="326" customFormat="1" ht="12">
      <c r="B929" s="327"/>
      <c r="D929" s="328" t="s">
        <v>155</v>
      </c>
      <c r="E929" s="329" t="s">
        <v>1</v>
      </c>
      <c r="F929" s="330" t="s">
        <v>2758</v>
      </c>
      <c r="H929" s="339">
        <f>6*3+4*1</f>
        <v>22</v>
      </c>
      <c r="I929" s="497"/>
      <c r="L929" s="331"/>
      <c r="M929" s="332"/>
      <c r="N929" s="333"/>
      <c r="O929" s="333"/>
      <c r="P929" s="333"/>
      <c r="Q929" s="333"/>
      <c r="R929" s="333"/>
      <c r="S929" s="333"/>
      <c r="T929" s="334"/>
      <c r="AT929" s="329" t="s">
        <v>155</v>
      </c>
      <c r="AU929" s="329" t="s">
        <v>83</v>
      </c>
      <c r="AV929" s="326" t="s">
        <v>81</v>
      </c>
      <c r="AW929" s="326" t="s">
        <v>34</v>
      </c>
      <c r="AX929" s="326" t="s">
        <v>76</v>
      </c>
      <c r="AY929" s="329" t="s">
        <v>146</v>
      </c>
    </row>
    <row r="930" spans="2:51" s="326" customFormat="1" ht="12">
      <c r="B930" s="327"/>
      <c r="D930" s="328" t="s">
        <v>155</v>
      </c>
      <c r="E930" s="329" t="s">
        <v>1</v>
      </c>
      <c r="F930" s="330" t="s">
        <v>2759</v>
      </c>
      <c r="H930" s="339">
        <f>10*3+3</f>
        <v>33</v>
      </c>
      <c r="I930" s="497"/>
      <c r="L930" s="331"/>
      <c r="M930" s="332"/>
      <c r="N930" s="333"/>
      <c r="O930" s="333"/>
      <c r="P930" s="333"/>
      <c r="Q930" s="333"/>
      <c r="R930" s="333"/>
      <c r="S930" s="333"/>
      <c r="T930" s="334"/>
      <c r="AT930" s="329" t="s">
        <v>155</v>
      </c>
      <c r="AU930" s="329" t="s">
        <v>83</v>
      </c>
      <c r="AV930" s="326" t="s">
        <v>81</v>
      </c>
      <c r="AW930" s="326" t="s">
        <v>34</v>
      </c>
      <c r="AX930" s="326" t="s">
        <v>76</v>
      </c>
      <c r="AY930" s="329" t="s">
        <v>146</v>
      </c>
    </row>
    <row r="931" spans="2:51" s="347" customFormat="1" ht="12">
      <c r="B931" s="348"/>
      <c r="D931" s="328" t="s">
        <v>155</v>
      </c>
      <c r="E931" s="349" t="s">
        <v>1</v>
      </c>
      <c r="F931" s="356" t="s">
        <v>157</v>
      </c>
      <c r="H931" s="351">
        <f>H929+H930</f>
        <v>55</v>
      </c>
      <c r="I931" s="499"/>
      <c r="L931" s="352"/>
      <c r="M931" s="353"/>
      <c r="N931" s="354"/>
      <c r="O931" s="354"/>
      <c r="P931" s="354"/>
      <c r="Q931" s="354"/>
      <c r="R931" s="354"/>
      <c r="S931" s="354"/>
      <c r="T931" s="355"/>
      <c r="AT931" s="349" t="s">
        <v>155</v>
      </c>
      <c r="AU931" s="349" t="s">
        <v>83</v>
      </c>
      <c r="AV931" s="347" t="s">
        <v>153</v>
      </c>
      <c r="AW931" s="347" t="s">
        <v>34</v>
      </c>
      <c r="AX931" s="347" t="s">
        <v>81</v>
      </c>
      <c r="AY931" s="349" t="s">
        <v>146</v>
      </c>
    </row>
    <row r="932" spans="1:65" s="225" customFormat="1" ht="21.75" customHeight="1">
      <c r="A932" s="222"/>
      <c r="B932" s="223"/>
      <c r="C932" s="314">
        <v>144</v>
      </c>
      <c r="D932" s="314" t="s">
        <v>148</v>
      </c>
      <c r="E932" s="315"/>
      <c r="F932" s="316" t="s">
        <v>2791</v>
      </c>
      <c r="G932" s="317" t="s">
        <v>301</v>
      </c>
      <c r="H932" s="318">
        <f>H933</f>
        <v>12</v>
      </c>
      <c r="I932" s="79"/>
      <c r="J932" s="319">
        <f>ROUND(I932*H932,2)</f>
        <v>0</v>
      </c>
      <c r="K932" s="316"/>
      <c r="L932" s="229"/>
      <c r="M932" s="320" t="s">
        <v>1</v>
      </c>
      <c r="N932" s="321" t="s">
        <v>42</v>
      </c>
      <c r="O932" s="322">
        <v>0.718</v>
      </c>
      <c r="P932" s="322">
        <f>O932*H932</f>
        <v>8.616</v>
      </c>
      <c r="Q932" s="322">
        <v>0</v>
      </c>
      <c r="R932" s="322">
        <f>Q932*H932</f>
        <v>0</v>
      </c>
      <c r="S932" s="322">
        <v>0.063</v>
      </c>
      <c r="T932" s="422">
        <f>S932*H932</f>
        <v>0.756</v>
      </c>
      <c r="U932" s="222"/>
      <c r="V932" s="222"/>
      <c r="W932" s="222"/>
      <c r="X932" s="222"/>
      <c r="Y932" s="222"/>
      <c r="Z932" s="222"/>
      <c r="AA932" s="222"/>
      <c r="AB932" s="222"/>
      <c r="AC932" s="222"/>
      <c r="AD932" s="222"/>
      <c r="AE932" s="222"/>
      <c r="AR932" s="324" t="s">
        <v>153</v>
      </c>
      <c r="AT932" s="324" t="s">
        <v>148</v>
      </c>
      <c r="AU932" s="324" t="s">
        <v>83</v>
      </c>
      <c r="AY932" s="214" t="s">
        <v>146</v>
      </c>
      <c r="BE932" s="325">
        <f>IF(N932="základní",J932,0)</f>
        <v>0</v>
      </c>
      <c r="BF932" s="325">
        <f>IF(N932="snížená",J932,0)</f>
        <v>0</v>
      </c>
      <c r="BG932" s="325">
        <f>IF(N932="zákl. přenesená",J932,0)</f>
        <v>0</v>
      </c>
      <c r="BH932" s="325">
        <f>IF(N932="sníž. přenesená",J932,0)</f>
        <v>0</v>
      </c>
      <c r="BI932" s="325">
        <f>IF(N932="nulová",J932,0)</f>
        <v>0</v>
      </c>
      <c r="BJ932" s="214" t="s">
        <v>81</v>
      </c>
      <c r="BK932" s="325">
        <f>ROUND(I932*H932,2)</f>
        <v>0</v>
      </c>
      <c r="BL932" s="214" t="s">
        <v>153</v>
      </c>
      <c r="BM932" s="324" t="s">
        <v>688</v>
      </c>
    </row>
    <row r="933" spans="2:51" s="326" customFormat="1" ht="12">
      <c r="B933" s="327"/>
      <c r="D933" s="328" t="s">
        <v>155</v>
      </c>
      <c r="E933" s="329" t="s">
        <v>1</v>
      </c>
      <c r="F933" s="330" t="s">
        <v>2731</v>
      </c>
      <c r="H933" s="339">
        <f>4*3</f>
        <v>12</v>
      </c>
      <c r="I933" s="497"/>
      <c r="L933" s="331"/>
      <c r="M933" s="332"/>
      <c r="N933" s="333"/>
      <c r="O933" s="333"/>
      <c r="P933" s="333"/>
      <c r="Q933" s="333"/>
      <c r="R933" s="333"/>
      <c r="S933" s="333"/>
      <c r="T933" s="334"/>
      <c r="AT933" s="329" t="s">
        <v>155</v>
      </c>
      <c r="AU933" s="329" t="s">
        <v>83</v>
      </c>
      <c r="AV933" s="326" t="s">
        <v>81</v>
      </c>
      <c r="AW933" s="326" t="s">
        <v>34</v>
      </c>
      <c r="AX933" s="326" t="s">
        <v>76</v>
      </c>
      <c r="AY933" s="329" t="s">
        <v>146</v>
      </c>
    </row>
    <row r="934" spans="1:65" s="225" customFormat="1" ht="21.75" customHeight="1">
      <c r="A934" s="222"/>
      <c r="B934" s="223"/>
      <c r="C934" s="314">
        <v>145</v>
      </c>
      <c r="D934" s="314" t="s">
        <v>148</v>
      </c>
      <c r="E934" s="315" t="s">
        <v>2754</v>
      </c>
      <c r="F934" s="316" t="s">
        <v>2755</v>
      </c>
      <c r="G934" s="317" t="s">
        <v>301</v>
      </c>
      <c r="H934" s="318">
        <f>H937</f>
        <v>9</v>
      </c>
      <c r="I934" s="79"/>
      <c r="J934" s="319">
        <f>ROUND(I934*H934,2)</f>
        <v>0</v>
      </c>
      <c r="K934" s="316"/>
      <c r="L934" s="229"/>
      <c r="M934" s="320" t="s">
        <v>1</v>
      </c>
      <c r="N934" s="321" t="s">
        <v>42</v>
      </c>
      <c r="O934" s="322">
        <v>0.718</v>
      </c>
      <c r="P934" s="322">
        <f>O934*H934</f>
        <v>6.462</v>
      </c>
      <c r="Q934" s="322">
        <v>0</v>
      </c>
      <c r="R934" s="322">
        <f>Q934*H934</f>
        <v>0</v>
      </c>
      <c r="S934" s="322">
        <v>0.063</v>
      </c>
      <c r="T934" s="425">
        <f>S934*H934</f>
        <v>0.567</v>
      </c>
      <c r="U934" s="222"/>
      <c r="V934" s="222"/>
      <c r="W934" s="222"/>
      <c r="X934" s="222"/>
      <c r="Y934" s="222"/>
      <c r="Z934" s="222"/>
      <c r="AA934" s="222"/>
      <c r="AB934" s="222"/>
      <c r="AC934" s="222"/>
      <c r="AD934" s="222"/>
      <c r="AE934" s="222"/>
      <c r="AR934" s="324" t="s">
        <v>153</v>
      </c>
      <c r="AT934" s="324" t="s">
        <v>148</v>
      </c>
      <c r="AU934" s="324" t="s">
        <v>83</v>
      </c>
      <c r="AY934" s="214" t="s">
        <v>146</v>
      </c>
      <c r="BE934" s="325">
        <f>IF(N934="základní",J934,0)</f>
        <v>0</v>
      </c>
      <c r="BF934" s="325">
        <f>IF(N934="snížená",J934,0)</f>
        <v>0</v>
      </c>
      <c r="BG934" s="325">
        <f>IF(N934="zákl. přenesená",J934,0)</f>
        <v>0</v>
      </c>
      <c r="BH934" s="325">
        <f>IF(N934="sníž. přenesená",J934,0)</f>
        <v>0</v>
      </c>
      <c r="BI934" s="325">
        <f>IF(N934="nulová",J934,0)</f>
        <v>0</v>
      </c>
      <c r="BJ934" s="214" t="s">
        <v>81</v>
      </c>
      <c r="BK934" s="325">
        <f>ROUND(I934*H934,2)</f>
        <v>0</v>
      </c>
      <c r="BL934" s="214" t="s">
        <v>153</v>
      </c>
      <c r="BM934" s="324" t="s">
        <v>688</v>
      </c>
    </row>
    <row r="935" spans="2:51" s="326" customFormat="1" ht="12">
      <c r="B935" s="327"/>
      <c r="D935" s="328" t="s">
        <v>155</v>
      </c>
      <c r="E935" s="329" t="s">
        <v>1</v>
      </c>
      <c r="F935" s="330" t="s">
        <v>2731</v>
      </c>
      <c r="H935" s="339">
        <v>8</v>
      </c>
      <c r="I935" s="497"/>
      <c r="L935" s="331"/>
      <c r="M935" s="332"/>
      <c r="N935" s="333"/>
      <c r="O935" s="333"/>
      <c r="P935" s="333"/>
      <c r="Q935" s="333"/>
      <c r="R935" s="333"/>
      <c r="S935" s="333"/>
      <c r="T935" s="334"/>
      <c r="AT935" s="329" t="s">
        <v>155</v>
      </c>
      <c r="AU935" s="329" t="s">
        <v>83</v>
      </c>
      <c r="AV935" s="326" t="s">
        <v>81</v>
      </c>
      <c r="AW935" s="326" t="s">
        <v>34</v>
      </c>
      <c r="AX935" s="326" t="s">
        <v>76</v>
      </c>
      <c r="AY935" s="329" t="s">
        <v>146</v>
      </c>
    </row>
    <row r="936" spans="2:51" s="326" customFormat="1" ht="12">
      <c r="B936" s="327"/>
      <c r="D936" s="328" t="s">
        <v>155</v>
      </c>
      <c r="E936" s="329" t="s">
        <v>1</v>
      </c>
      <c r="F936" s="330" t="s">
        <v>2732</v>
      </c>
      <c r="H936" s="339">
        <v>1</v>
      </c>
      <c r="I936" s="497"/>
      <c r="L936" s="331"/>
      <c r="M936" s="332"/>
      <c r="N936" s="333"/>
      <c r="O936" s="333"/>
      <c r="P936" s="333"/>
      <c r="Q936" s="333"/>
      <c r="R936" s="333"/>
      <c r="S936" s="333"/>
      <c r="T936" s="334"/>
      <c r="AT936" s="329" t="s">
        <v>155</v>
      </c>
      <c r="AU936" s="329" t="s">
        <v>83</v>
      </c>
      <c r="AV936" s="326" t="s">
        <v>81</v>
      </c>
      <c r="AW936" s="326" t="s">
        <v>34</v>
      </c>
      <c r="AX936" s="326" t="s">
        <v>76</v>
      </c>
      <c r="AY936" s="329" t="s">
        <v>146</v>
      </c>
    </row>
    <row r="937" spans="2:51" s="347" customFormat="1" ht="12">
      <c r="B937" s="348"/>
      <c r="D937" s="328" t="s">
        <v>155</v>
      </c>
      <c r="E937" s="349" t="s">
        <v>1</v>
      </c>
      <c r="F937" s="356" t="s">
        <v>157</v>
      </c>
      <c r="H937" s="351">
        <f>H935+H936</f>
        <v>9</v>
      </c>
      <c r="I937" s="499"/>
      <c r="L937" s="352"/>
      <c r="M937" s="353"/>
      <c r="N937" s="354"/>
      <c r="O937" s="354"/>
      <c r="P937" s="354"/>
      <c r="Q937" s="354"/>
      <c r="R937" s="354"/>
      <c r="S937" s="354"/>
      <c r="T937" s="355"/>
      <c r="AT937" s="349" t="s">
        <v>155</v>
      </c>
      <c r="AU937" s="349" t="s">
        <v>83</v>
      </c>
      <c r="AV937" s="347" t="s">
        <v>153</v>
      </c>
      <c r="AW937" s="347" t="s">
        <v>34</v>
      </c>
      <c r="AX937" s="347" t="s">
        <v>81</v>
      </c>
      <c r="AY937" s="349" t="s">
        <v>146</v>
      </c>
    </row>
    <row r="938" spans="1:65" s="263" customFormat="1" ht="24.2" customHeight="1">
      <c r="A938" s="258"/>
      <c r="B938" s="259"/>
      <c r="C938" s="357">
        <v>146</v>
      </c>
      <c r="D938" s="357" t="s">
        <v>148</v>
      </c>
      <c r="E938" s="397" t="s">
        <v>689</v>
      </c>
      <c r="F938" s="344" t="s">
        <v>690</v>
      </c>
      <c r="G938" s="399" t="s">
        <v>162</v>
      </c>
      <c r="H938" s="400">
        <f>H948</f>
        <v>1.220625</v>
      </c>
      <c r="I938" s="85"/>
      <c r="J938" s="401">
        <f>ROUND(I938*H938,2)</f>
        <v>0</v>
      </c>
      <c r="K938" s="344"/>
      <c r="L938" s="373"/>
      <c r="M938" s="402" t="s">
        <v>1</v>
      </c>
      <c r="N938" s="403" t="s">
        <v>42</v>
      </c>
      <c r="O938" s="404">
        <v>5.796</v>
      </c>
      <c r="P938" s="404">
        <f>O938*H938</f>
        <v>7.074742500000001</v>
      </c>
      <c r="Q938" s="404">
        <v>0</v>
      </c>
      <c r="R938" s="404">
        <f>Q938*H938</f>
        <v>0</v>
      </c>
      <c r="S938" s="404">
        <v>1.8</v>
      </c>
      <c r="T938" s="419">
        <f>S938*H938</f>
        <v>2.197125</v>
      </c>
      <c r="U938" s="258"/>
      <c r="V938" s="258"/>
      <c r="W938" s="258"/>
      <c r="X938" s="258"/>
      <c r="Y938" s="258"/>
      <c r="Z938" s="258"/>
      <c r="AA938" s="258"/>
      <c r="AB938" s="258"/>
      <c r="AC938" s="258"/>
      <c r="AD938" s="258"/>
      <c r="AE938" s="258"/>
      <c r="AR938" s="260" t="s">
        <v>153</v>
      </c>
      <c r="AT938" s="260" t="s">
        <v>148</v>
      </c>
      <c r="AU938" s="260" t="s">
        <v>83</v>
      </c>
      <c r="AY938" s="406" t="s">
        <v>146</v>
      </c>
      <c r="BE938" s="407">
        <f>IF(N938="základní",J938,0)</f>
        <v>0</v>
      </c>
      <c r="BF938" s="407">
        <f>IF(N938="snížená",J938,0)</f>
        <v>0</v>
      </c>
      <c r="BG938" s="407">
        <f>IF(N938="zákl. přenesená",J938,0)</f>
        <v>0</v>
      </c>
      <c r="BH938" s="407">
        <f>IF(N938="sníž. přenesená",J938,0)</f>
        <v>0</v>
      </c>
      <c r="BI938" s="407">
        <f>IF(N938="nulová",J938,0)</f>
        <v>0</v>
      </c>
      <c r="BJ938" s="406" t="s">
        <v>81</v>
      </c>
      <c r="BK938" s="407">
        <f>ROUND(I938*H938,2)</f>
        <v>0</v>
      </c>
      <c r="BL938" s="406" t="s">
        <v>153</v>
      </c>
      <c r="BM938" s="260" t="s">
        <v>691</v>
      </c>
    </row>
    <row r="939" spans="2:51" s="326" customFormat="1" ht="12">
      <c r="B939" s="327"/>
      <c r="D939" s="328" t="s">
        <v>155</v>
      </c>
      <c r="E939" s="329" t="s">
        <v>1</v>
      </c>
      <c r="F939" s="330" t="s">
        <v>304</v>
      </c>
      <c r="H939" s="329" t="s">
        <v>1</v>
      </c>
      <c r="I939" s="497"/>
      <c r="L939" s="331"/>
      <c r="M939" s="332"/>
      <c r="N939" s="333"/>
      <c r="O939" s="333"/>
      <c r="P939" s="333"/>
      <c r="Q939" s="333"/>
      <c r="R939" s="333"/>
      <c r="S939" s="333"/>
      <c r="T939" s="334"/>
      <c r="AT939" s="329" t="s">
        <v>155</v>
      </c>
      <c r="AU939" s="329" t="s">
        <v>83</v>
      </c>
      <c r="AV939" s="326" t="s">
        <v>81</v>
      </c>
      <c r="AW939" s="326" t="s">
        <v>34</v>
      </c>
      <c r="AX939" s="326" t="s">
        <v>76</v>
      </c>
      <c r="AY939" s="329" t="s">
        <v>146</v>
      </c>
    </row>
    <row r="940" spans="2:51" s="326" customFormat="1" ht="12">
      <c r="B940" s="327"/>
      <c r="D940" s="328" t="s">
        <v>155</v>
      </c>
      <c r="E940" s="329" t="s">
        <v>1</v>
      </c>
      <c r="F940" s="330" t="s">
        <v>692</v>
      </c>
      <c r="H940" s="329" t="s">
        <v>1</v>
      </c>
      <c r="I940" s="497"/>
      <c r="L940" s="331"/>
      <c r="M940" s="332"/>
      <c r="N940" s="333"/>
      <c r="O940" s="333"/>
      <c r="P940" s="333"/>
      <c r="Q940" s="333"/>
      <c r="R940" s="333"/>
      <c r="S940" s="333"/>
      <c r="T940" s="334"/>
      <c r="AT940" s="329" t="s">
        <v>155</v>
      </c>
      <c r="AU940" s="329" t="s">
        <v>83</v>
      </c>
      <c r="AV940" s="326" t="s">
        <v>81</v>
      </c>
      <c r="AW940" s="326" t="s">
        <v>34</v>
      </c>
      <c r="AX940" s="326" t="s">
        <v>76</v>
      </c>
      <c r="AY940" s="329" t="s">
        <v>146</v>
      </c>
    </row>
    <row r="941" spans="2:51" s="335" customFormat="1" ht="12">
      <c r="B941" s="336"/>
      <c r="D941" s="328" t="s">
        <v>155</v>
      </c>
      <c r="E941" s="337" t="s">
        <v>1</v>
      </c>
      <c r="F941" s="338" t="s">
        <v>693</v>
      </c>
      <c r="H941" s="339">
        <v>0.624</v>
      </c>
      <c r="I941" s="498"/>
      <c r="L941" s="340"/>
      <c r="M941" s="341"/>
      <c r="N941" s="342"/>
      <c r="O941" s="342"/>
      <c r="P941" s="342"/>
      <c r="Q941" s="342"/>
      <c r="R941" s="342"/>
      <c r="S941" s="342"/>
      <c r="T941" s="343"/>
      <c r="AT941" s="337" t="s">
        <v>155</v>
      </c>
      <c r="AU941" s="337" t="s">
        <v>83</v>
      </c>
      <c r="AV941" s="335" t="s">
        <v>83</v>
      </c>
      <c r="AW941" s="335" t="s">
        <v>34</v>
      </c>
      <c r="AX941" s="335" t="s">
        <v>76</v>
      </c>
      <c r="AY941" s="337" t="s">
        <v>146</v>
      </c>
    </row>
    <row r="942" spans="2:51" s="326" customFormat="1" ht="12">
      <c r="B942" s="327"/>
      <c r="D942" s="328" t="s">
        <v>155</v>
      </c>
      <c r="E942" s="329" t="s">
        <v>1</v>
      </c>
      <c r="F942" s="330" t="s">
        <v>2734</v>
      </c>
      <c r="H942" s="329" t="s">
        <v>1</v>
      </c>
      <c r="I942" s="497"/>
      <c r="L942" s="331"/>
      <c r="M942" s="332"/>
      <c r="N942" s="333"/>
      <c r="O942" s="333"/>
      <c r="P942" s="333"/>
      <c r="Q942" s="333"/>
      <c r="R942" s="333"/>
      <c r="S942" s="333"/>
      <c r="T942" s="334"/>
      <c r="AT942" s="329" t="s">
        <v>155</v>
      </c>
      <c r="AU942" s="329" t="s">
        <v>83</v>
      </c>
      <c r="AV942" s="326" t="s">
        <v>81</v>
      </c>
      <c r="AW942" s="326" t="s">
        <v>34</v>
      </c>
      <c r="AX942" s="326" t="s">
        <v>76</v>
      </c>
      <c r="AY942" s="329" t="s">
        <v>146</v>
      </c>
    </row>
    <row r="943" spans="2:51" s="335" customFormat="1" ht="12">
      <c r="B943" s="336"/>
      <c r="D943" s="328" t="s">
        <v>155</v>
      </c>
      <c r="E943" s="337" t="s">
        <v>1</v>
      </c>
      <c r="F943" s="338" t="s">
        <v>2733</v>
      </c>
      <c r="H943" s="339">
        <f>1.52*0.65*0.3</f>
        <v>0.2964</v>
      </c>
      <c r="I943" s="498"/>
      <c r="L943" s="340"/>
      <c r="M943" s="341"/>
      <c r="N943" s="342"/>
      <c r="O943" s="342"/>
      <c r="P943" s="342"/>
      <c r="Q943" s="342"/>
      <c r="R943" s="342"/>
      <c r="S943" s="342"/>
      <c r="T943" s="343"/>
      <c r="AT943" s="337" t="s">
        <v>155</v>
      </c>
      <c r="AU943" s="337" t="s">
        <v>83</v>
      </c>
      <c r="AV943" s="335" t="s">
        <v>83</v>
      </c>
      <c r="AW943" s="335" t="s">
        <v>34</v>
      </c>
      <c r="AX943" s="335" t="s">
        <v>76</v>
      </c>
      <c r="AY943" s="337" t="s">
        <v>146</v>
      </c>
    </row>
    <row r="944" spans="2:51" s="326" customFormat="1" ht="12">
      <c r="B944" s="327"/>
      <c r="D944" s="328" t="s">
        <v>155</v>
      </c>
      <c r="E944" s="329" t="s">
        <v>1</v>
      </c>
      <c r="F944" s="330" t="s">
        <v>694</v>
      </c>
      <c r="H944" s="329" t="s">
        <v>1</v>
      </c>
      <c r="I944" s="497"/>
      <c r="L944" s="331"/>
      <c r="M944" s="332"/>
      <c r="N944" s="333"/>
      <c r="O944" s="333"/>
      <c r="P944" s="333"/>
      <c r="Q944" s="333"/>
      <c r="R944" s="333"/>
      <c r="S944" s="333"/>
      <c r="T944" s="334"/>
      <c r="AT944" s="329" t="s">
        <v>155</v>
      </c>
      <c r="AU944" s="329" t="s">
        <v>83</v>
      </c>
      <c r="AV944" s="326" t="s">
        <v>81</v>
      </c>
      <c r="AW944" s="326" t="s">
        <v>34</v>
      </c>
      <c r="AX944" s="326" t="s">
        <v>76</v>
      </c>
      <c r="AY944" s="329" t="s">
        <v>146</v>
      </c>
    </row>
    <row r="945" spans="2:51" s="335" customFormat="1" ht="12">
      <c r="B945" s="336"/>
      <c r="D945" s="328" t="s">
        <v>155</v>
      </c>
      <c r="E945" s="337" t="s">
        <v>1</v>
      </c>
      <c r="F945" s="338" t="s">
        <v>2735</v>
      </c>
      <c r="H945" s="339">
        <f>1.52*0.35*0.3</f>
        <v>0.15959999999999996</v>
      </c>
      <c r="I945" s="498"/>
      <c r="L945" s="340"/>
      <c r="M945" s="341"/>
      <c r="N945" s="342"/>
      <c r="O945" s="342"/>
      <c r="P945" s="342"/>
      <c r="Q945" s="342"/>
      <c r="R945" s="342"/>
      <c r="S945" s="342"/>
      <c r="T945" s="343"/>
      <c r="AT945" s="337" t="s">
        <v>155</v>
      </c>
      <c r="AU945" s="337" t="s">
        <v>83</v>
      </c>
      <c r="AV945" s="335" t="s">
        <v>83</v>
      </c>
      <c r="AW945" s="335" t="s">
        <v>34</v>
      </c>
      <c r="AX945" s="335" t="s">
        <v>76</v>
      </c>
      <c r="AY945" s="337" t="s">
        <v>146</v>
      </c>
    </row>
    <row r="946" spans="2:51" s="326" customFormat="1" ht="12">
      <c r="B946" s="327"/>
      <c r="D946" s="328" t="s">
        <v>155</v>
      </c>
      <c r="E946" s="329" t="s">
        <v>1</v>
      </c>
      <c r="F946" s="330" t="s">
        <v>3014</v>
      </c>
      <c r="H946" s="329" t="s">
        <v>1</v>
      </c>
      <c r="I946" s="497"/>
      <c r="L946" s="331"/>
      <c r="M946" s="332"/>
      <c r="N946" s="333"/>
      <c r="O946" s="333"/>
      <c r="P946" s="333"/>
      <c r="Q946" s="333"/>
      <c r="R946" s="333"/>
      <c r="S946" s="333"/>
      <c r="T946" s="334"/>
      <c r="AT946" s="329" t="s">
        <v>155</v>
      </c>
      <c r="AU946" s="329" t="s">
        <v>83</v>
      </c>
      <c r="AV946" s="326" t="s">
        <v>81</v>
      </c>
      <c r="AW946" s="326" t="s">
        <v>34</v>
      </c>
      <c r="AX946" s="326" t="s">
        <v>76</v>
      </c>
      <c r="AY946" s="329" t="s">
        <v>146</v>
      </c>
    </row>
    <row r="947" spans="2:51" s="335" customFormat="1" ht="12">
      <c r="B947" s="336"/>
      <c r="D947" s="328" t="s">
        <v>155</v>
      </c>
      <c r="E947" s="337" t="s">
        <v>1</v>
      </c>
      <c r="F947" s="338" t="s">
        <v>3015</v>
      </c>
      <c r="H947" s="339">
        <f>0.75*0.75*0.25</f>
        <v>0.140625</v>
      </c>
      <c r="I947" s="498"/>
      <c r="L947" s="340"/>
      <c r="M947" s="341"/>
      <c r="N947" s="342"/>
      <c r="O947" s="342"/>
      <c r="P947" s="342"/>
      <c r="Q947" s="342"/>
      <c r="R947" s="342"/>
      <c r="S947" s="342"/>
      <c r="T947" s="343"/>
      <c r="AT947" s="337" t="s">
        <v>155</v>
      </c>
      <c r="AU947" s="337" t="s">
        <v>83</v>
      </c>
      <c r="AV947" s="335" t="s">
        <v>83</v>
      </c>
      <c r="AW947" s="335" t="s">
        <v>34</v>
      </c>
      <c r="AX947" s="335" t="s">
        <v>76</v>
      </c>
      <c r="AY947" s="337" t="s">
        <v>146</v>
      </c>
    </row>
    <row r="948" spans="2:51" s="347" customFormat="1" ht="12">
      <c r="B948" s="348"/>
      <c r="D948" s="328" t="s">
        <v>155</v>
      </c>
      <c r="E948" s="349" t="s">
        <v>1</v>
      </c>
      <c r="F948" s="356" t="s">
        <v>157</v>
      </c>
      <c r="H948" s="351">
        <f>SUM(H941:H947)</f>
        <v>1.220625</v>
      </c>
      <c r="I948" s="499"/>
      <c r="L948" s="352"/>
      <c r="M948" s="353"/>
      <c r="N948" s="354"/>
      <c r="O948" s="354"/>
      <c r="P948" s="354"/>
      <c r="Q948" s="354"/>
      <c r="R948" s="354"/>
      <c r="S948" s="354"/>
      <c r="T948" s="355"/>
      <c r="AT948" s="349" t="s">
        <v>155</v>
      </c>
      <c r="AU948" s="349" t="s">
        <v>83</v>
      </c>
      <c r="AV948" s="347" t="s">
        <v>153</v>
      </c>
      <c r="AW948" s="347" t="s">
        <v>34</v>
      </c>
      <c r="AX948" s="347" t="s">
        <v>81</v>
      </c>
      <c r="AY948" s="349" t="s">
        <v>146</v>
      </c>
    </row>
    <row r="949" spans="1:65" s="225" customFormat="1" ht="24.2" customHeight="1">
      <c r="A949" s="222"/>
      <c r="B949" s="223"/>
      <c r="C949" s="314">
        <v>147</v>
      </c>
      <c r="D949" s="314" t="s">
        <v>148</v>
      </c>
      <c r="E949" s="315" t="s">
        <v>695</v>
      </c>
      <c r="F949" s="316" t="s">
        <v>696</v>
      </c>
      <c r="G949" s="317" t="s">
        <v>162</v>
      </c>
      <c r="H949" s="318">
        <f>H954</f>
        <v>0.72</v>
      </c>
      <c r="I949" s="79"/>
      <c r="J949" s="319">
        <f>ROUND(I949*H949,2)</f>
        <v>0</v>
      </c>
      <c r="K949" s="316"/>
      <c r="L949" s="229"/>
      <c r="M949" s="320" t="s">
        <v>1</v>
      </c>
      <c r="N949" s="321" t="s">
        <v>42</v>
      </c>
      <c r="O949" s="322">
        <v>3.196</v>
      </c>
      <c r="P949" s="322">
        <f>O949*H949</f>
        <v>2.30112</v>
      </c>
      <c r="Q949" s="322">
        <v>0</v>
      </c>
      <c r="R949" s="322">
        <f>Q949*H949</f>
        <v>0</v>
      </c>
      <c r="S949" s="322">
        <v>1.8</v>
      </c>
      <c r="T949" s="419">
        <f>S949*H949</f>
        <v>1.296</v>
      </c>
      <c r="U949" s="222"/>
      <c r="V949" s="222"/>
      <c r="W949" s="222"/>
      <c r="X949" s="222"/>
      <c r="Y949" s="222"/>
      <c r="Z949" s="222"/>
      <c r="AA949" s="222"/>
      <c r="AB949" s="222"/>
      <c r="AC949" s="222"/>
      <c r="AD949" s="222"/>
      <c r="AE949" s="222"/>
      <c r="AR949" s="324" t="s">
        <v>153</v>
      </c>
      <c r="AT949" s="324" t="s">
        <v>148</v>
      </c>
      <c r="AU949" s="324" t="s">
        <v>83</v>
      </c>
      <c r="AY949" s="214" t="s">
        <v>146</v>
      </c>
      <c r="BE949" s="325">
        <f>IF(N949="základní",J949,0)</f>
        <v>0</v>
      </c>
      <c r="BF949" s="325">
        <f>IF(N949="snížená",J949,0)</f>
        <v>0</v>
      </c>
      <c r="BG949" s="325">
        <f>IF(N949="zákl. přenesená",J949,0)</f>
        <v>0</v>
      </c>
      <c r="BH949" s="325">
        <f>IF(N949="sníž. přenesená",J949,0)</f>
        <v>0</v>
      </c>
      <c r="BI949" s="325">
        <f>IF(N949="nulová",J949,0)</f>
        <v>0</v>
      </c>
      <c r="BJ949" s="214" t="s">
        <v>81</v>
      </c>
      <c r="BK949" s="325">
        <f>ROUND(I949*H949,2)</f>
        <v>0</v>
      </c>
      <c r="BL949" s="214" t="s">
        <v>153</v>
      </c>
      <c r="BM949" s="324" t="s">
        <v>697</v>
      </c>
    </row>
    <row r="950" spans="2:51" s="326" customFormat="1" ht="12">
      <c r="B950" s="327"/>
      <c r="D950" s="328" t="s">
        <v>155</v>
      </c>
      <c r="E950" s="329" t="s">
        <v>1</v>
      </c>
      <c r="F950" s="330" t="s">
        <v>2738</v>
      </c>
      <c r="H950" s="329" t="s">
        <v>1</v>
      </c>
      <c r="I950" s="497"/>
      <c r="L950" s="331"/>
      <c r="M950" s="332"/>
      <c r="N950" s="333"/>
      <c r="O950" s="333"/>
      <c r="P950" s="333"/>
      <c r="Q950" s="333"/>
      <c r="R950" s="333"/>
      <c r="S950" s="333"/>
      <c r="T950" s="334"/>
      <c r="AT950" s="329" t="s">
        <v>155</v>
      </c>
      <c r="AU950" s="329" t="s">
        <v>83</v>
      </c>
      <c r="AV950" s="326" t="s">
        <v>81</v>
      </c>
      <c r="AW950" s="326" t="s">
        <v>34</v>
      </c>
      <c r="AX950" s="326" t="s">
        <v>76</v>
      </c>
      <c r="AY950" s="329" t="s">
        <v>146</v>
      </c>
    </row>
    <row r="951" spans="2:51" s="335" customFormat="1" ht="12">
      <c r="B951" s="336"/>
      <c r="D951" s="328" t="s">
        <v>155</v>
      </c>
      <c r="E951" s="337" t="s">
        <v>1</v>
      </c>
      <c r="F951" s="338" t="s">
        <v>2633</v>
      </c>
      <c r="H951" s="339">
        <f>0.9*2*0.15</f>
        <v>0.27</v>
      </c>
      <c r="I951" s="498"/>
      <c r="L951" s="340"/>
      <c r="M951" s="341"/>
      <c r="N951" s="342"/>
      <c r="O951" s="342"/>
      <c r="P951" s="342"/>
      <c r="Q951" s="342"/>
      <c r="R951" s="342"/>
      <c r="S951" s="342"/>
      <c r="T951" s="343"/>
      <c r="AT951" s="337" t="s">
        <v>155</v>
      </c>
      <c r="AU951" s="337" t="s">
        <v>83</v>
      </c>
      <c r="AV951" s="335" t="s">
        <v>83</v>
      </c>
      <c r="AW951" s="335" t="s">
        <v>34</v>
      </c>
      <c r="AX951" s="335" t="s">
        <v>76</v>
      </c>
      <c r="AY951" s="337" t="s">
        <v>146</v>
      </c>
    </row>
    <row r="952" spans="2:51" s="326" customFormat="1" ht="12">
      <c r="B952" s="327"/>
      <c r="D952" s="328" t="s">
        <v>155</v>
      </c>
      <c r="E952" s="329" t="s">
        <v>1</v>
      </c>
      <c r="F952" s="330" t="s">
        <v>2736</v>
      </c>
      <c r="H952" s="329" t="s">
        <v>1</v>
      </c>
      <c r="I952" s="497"/>
      <c r="L952" s="331"/>
      <c r="M952" s="332"/>
      <c r="N952" s="333"/>
      <c r="O952" s="333"/>
      <c r="P952" s="333"/>
      <c r="Q952" s="333"/>
      <c r="R952" s="333"/>
      <c r="S952" s="333"/>
      <c r="T952" s="334"/>
      <c r="AT952" s="329" t="s">
        <v>155</v>
      </c>
      <c r="AU952" s="329" t="s">
        <v>83</v>
      </c>
      <c r="AV952" s="326" t="s">
        <v>81</v>
      </c>
      <c r="AW952" s="326" t="s">
        <v>34</v>
      </c>
      <c r="AX952" s="326" t="s">
        <v>76</v>
      </c>
      <c r="AY952" s="329" t="s">
        <v>146</v>
      </c>
    </row>
    <row r="953" spans="2:51" s="335" customFormat="1" ht="12">
      <c r="B953" s="336"/>
      <c r="D953" s="328" t="s">
        <v>155</v>
      </c>
      <c r="E953" s="337" t="s">
        <v>1</v>
      </c>
      <c r="F953" s="338" t="s">
        <v>2737</v>
      </c>
      <c r="H953" s="339">
        <f>0.9*2*0.25</f>
        <v>0.45</v>
      </c>
      <c r="I953" s="498"/>
      <c r="L953" s="340"/>
      <c r="M953" s="341"/>
      <c r="N953" s="342"/>
      <c r="O953" s="342"/>
      <c r="P953" s="342"/>
      <c r="Q953" s="342"/>
      <c r="R953" s="342"/>
      <c r="S953" s="342"/>
      <c r="T953" s="343"/>
      <c r="AT953" s="337" t="s">
        <v>155</v>
      </c>
      <c r="AU953" s="337" t="s">
        <v>83</v>
      </c>
      <c r="AV953" s="335" t="s">
        <v>83</v>
      </c>
      <c r="AW953" s="335" t="s">
        <v>34</v>
      </c>
      <c r="AX953" s="335" t="s">
        <v>76</v>
      </c>
      <c r="AY953" s="337" t="s">
        <v>146</v>
      </c>
    </row>
    <row r="954" spans="2:51" s="347" customFormat="1" ht="12">
      <c r="B954" s="348"/>
      <c r="D954" s="328" t="s">
        <v>155</v>
      </c>
      <c r="E954" s="349" t="s">
        <v>1</v>
      </c>
      <c r="F954" s="356" t="s">
        <v>157</v>
      </c>
      <c r="H954" s="351">
        <f>SUM(H951:H953)</f>
        <v>0.72</v>
      </c>
      <c r="I954" s="499"/>
      <c r="L954" s="352"/>
      <c r="M954" s="353"/>
      <c r="N954" s="354"/>
      <c r="O954" s="354"/>
      <c r="P954" s="354"/>
      <c r="Q954" s="354"/>
      <c r="R954" s="354"/>
      <c r="S954" s="354"/>
      <c r="T954" s="355"/>
      <c r="AT954" s="349" t="s">
        <v>155</v>
      </c>
      <c r="AU954" s="349" t="s">
        <v>83</v>
      </c>
      <c r="AV954" s="347" t="s">
        <v>153</v>
      </c>
      <c r="AW954" s="347" t="s">
        <v>34</v>
      </c>
      <c r="AX954" s="347" t="s">
        <v>81</v>
      </c>
      <c r="AY954" s="349" t="s">
        <v>146</v>
      </c>
    </row>
    <row r="955" spans="1:65" s="225" customFormat="1" ht="24.2" customHeight="1">
      <c r="A955" s="222"/>
      <c r="B955" s="223"/>
      <c r="C955" s="314">
        <v>148</v>
      </c>
      <c r="D955" s="314" t="s">
        <v>148</v>
      </c>
      <c r="E955" s="315" t="s">
        <v>698</v>
      </c>
      <c r="F955" s="316" t="s">
        <v>699</v>
      </c>
      <c r="G955" s="317" t="s">
        <v>301</v>
      </c>
      <c r="H955" s="318">
        <f>H957</f>
        <v>18</v>
      </c>
      <c r="I955" s="79"/>
      <c r="J955" s="319">
        <f>ROUND(I955*H955,2)</f>
        <v>0</v>
      </c>
      <c r="K955" s="316"/>
      <c r="L955" s="229"/>
      <c r="M955" s="320" t="s">
        <v>1</v>
      </c>
      <c r="N955" s="321" t="s">
        <v>42</v>
      </c>
      <c r="O955" s="322">
        <v>1.182</v>
      </c>
      <c r="P955" s="322">
        <f>O955*H955</f>
        <v>21.276</v>
      </c>
      <c r="Q955" s="322">
        <v>0</v>
      </c>
      <c r="R955" s="322">
        <f>Q955*H955</f>
        <v>0</v>
      </c>
      <c r="S955" s="322">
        <v>0.097</v>
      </c>
      <c r="T955" s="419">
        <f>S955*H955</f>
        <v>1.746</v>
      </c>
      <c r="U955" s="222"/>
      <c r="V955" s="222"/>
      <c r="W955" s="222"/>
      <c r="X955" s="222"/>
      <c r="Y955" s="222"/>
      <c r="Z955" s="222"/>
      <c r="AA955" s="222"/>
      <c r="AB955" s="222"/>
      <c r="AC955" s="222"/>
      <c r="AD955" s="222"/>
      <c r="AE955" s="222"/>
      <c r="AR955" s="324" t="s">
        <v>153</v>
      </c>
      <c r="AT955" s="324" t="s">
        <v>148</v>
      </c>
      <c r="AU955" s="324" t="s">
        <v>83</v>
      </c>
      <c r="AY955" s="214" t="s">
        <v>146</v>
      </c>
      <c r="BE955" s="325">
        <f>IF(N955="základní",J955,0)</f>
        <v>0</v>
      </c>
      <c r="BF955" s="325">
        <f>IF(N955="snížená",J955,0)</f>
        <v>0</v>
      </c>
      <c r="BG955" s="325">
        <f>IF(N955="zákl. přenesená",J955,0)</f>
        <v>0</v>
      </c>
      <c r="BH955" s="325">
        <f>IF(N955="sníž. přenesená",J955,0)</f>
        <v>0</v>
      </c>
      <c r="BI955" s="325">
        <f>IF(N955="nulová",J955,0)</f>
        <v>0</v>
      </c>
      <c r="BJ955" s="214" t="s">
        <v>81</v>
      </c>
      <c r="BK955" s="325">
        <f>ROUND(I955*H955,2)</f>
        <v>0</v>
      </c>
      <c r="BL955" s="214" t="s">
        <v>153</v>
      </c>
      <c r="BM955" s="324" t="s">
        <v>700</v>
      </c>
    </row>
    <row r="956" spans="2:51" s="326" customFormat="1" ht="12">
      <c r="B956" s="327"/>
      <c r="D956" s="328" t="s">
        <v>155</v>
      </c>
      <c r="E956" s="329" t="s">
        <v>1</v>
      </c>
      <c r="F956" s="330" t="s">
        <v>2741</v>
      </c>
      <c r="H956" s="329" t="s">
        <v>1</v>
      </c>
      <c r="I956" s="497"/>
      <c r="L956" s="331"/>
      <c r="M956" s="332"/>
      <c r="N956" s="333"/>
      <c r="O956" s="333"/>
      <c r="P956" s="333"/>
      <c r="Q956" s="333"/>
      <c r="R956" s="333"/>
      <c r="S956" s="333"/>
      <c r="T956" s="334"/>
      <c r="AT956" s="329" t="s">
        <v>155</v>
      </c>
      <c r="AU956" s="329" t="s">
        <v>83</v>
      </c>
      <c r="AV956" s="326" t="s">
        <v>81</v>
      </c>
      <c r="AW956" s="326" t="s">
        <v>34</v>
      </c>
      <c r="AX956" s="326" t="s">
        <v>76</v>
      </c>
      <c r="AY956" s="329" t="s">
        <v>146</v>
      </c>
    </row>
    <row r="957" spans="2:51" s="335" customFormat="1" ht="12">
      <c r="B957" s="336"/>
      <c r="D957" s="328" t="s">
        <v>155</v>
      </c>
      <c r="E957" s="337" t="s">
        <v>1</v>
      </c>
      <c r="F957" s="338" t="s">
        <v>701</v>
      </c>
      <c r="H957" s="339">
        <v>18</v>
      </c>
      <c r="I957" s="498"/>
      <c r="L957" s="340"/>
      <c r="M957" s="341"/>
      <c r="N957" s="342"/>
      <c r="O957" s="342"/>
      <c r="P957" s="342"/>
      <c r="Q957" s="342"/>
      <c r="R957" s="342"/>
      <c r="S957" s="342"/>
      <c r="T957" s="343"/>
      <c r="AT957" s="337" t="s">
        <v>155</v>
      </c>
      <c r="AU957" s="337" t="s">
        <v>83</v>
      </c>
      <c r="AV957" s="335" t="s">
        <v>83</v>
      </c>
      <c r="AW957" s="335" t="s">
        <v>34</v>
      </c>
      <c r="AX957" s="335" t="s">
        <v>76</v>
      </c>
      <c r="AY957" s="337" t="s">
        <v>146</v>
      </c>
    </row>
    <row r="958" spans="1:65" s="225" customFormat="1" ht="33" customHeight="1">
      <c r="A958" s="222"/>
      <c r="B958" s="223"/>
      <c r="C958" s="314">
        <v>149</v>
      </c>
      <c r="D958" s="314" t="s">
        <v>148</v>
      </c>
      <c r="E958" s="315" t="s">
        <v>702</v>
      </c>
      <c r="F958" s="316" t="s">
        <v>703</v>
      </c>
      <c r="G958" s="317" t="s">
        <v>158</v>
      </c>
      <c r="H958" s="318">
        <v>45</v>
      </c>
      <c r="I958" s="79"/>
      <c r="J958" s="319">
        <f>ROUND(I958*H958,2)</f>
        <v>0</v>
      </c>
      <c r="K958" s="316"/>
      <c r="L958" s="229"/>
      <c r="M958" s="320" t="s">
        <v>1</v>
      </c>
      <c r="N958" s="321" t="s">
        <v>42</v>
      </c>
      <c r="O958" s="322">
        <v>0.405</v>
      </c>
      <c r="P958" s="322">
        <f>O958*H958</f>
        <v>18.225</v>
      </c>
      <c r="Q958" s="322">
        <v>0</v>
      </c>
      <c r="R958" s="322">
        <f>Q958*H958</f>
        <v>0</v>
      </c>
      <c r="S958" s="322">
        <v>0.006</v>
      </c>
      <c r="T958" s="419">
        <f>S958*H958</f>
        <v>0.27</v>
      </c>
      <c r="U958" s="222"/>
      <c r="V958" s="222"/>
      <c r="W958" s="222"/>
      <c r="X958" s="222"/>
      <c r="Y958" s="222"/>
      <c r="Z958" s="222"/>
      <c r="AA958" s="222"/>
      <c r="AB958" s="222"/>
      <c r="AC958" s="222"/>
      <c r="AD958" s="222"/>
      <c r="AE958" s="222"/>
      <c r="AR958" s="324" t="s">
        <v>153</v>
      </c>
      <c r="AT958" s="324" t="s">
        <v>148</v>
      </c>
      <c r="AU958" s="324" t="s">
        <v>83</v>
      </c>
      <c r="AY958" s="214" t="s">
        <v>146</v>
      </c>
      <c r="BE958" s="325">
        <f>IF(N958="základní",J958,0)</f>
        <v>0</v>
      </c>
      <c r="BF958" s="325">
        <f>IF(N958="snížená",J958,0)</f>
        <v>0</v>
      </c>
      <c r="BG958" s="325">
        <f>IF(N958="zákl. přenesená",J958,0)</f>
        <v>0</v>
      </c>
      <c r="BH958" s="325">
        <f>IF(N958="sníž. přenesená",J958,0)</f>
        <v>0</v>
      </c>
      <c r="BI958" s="325">
        <f>IF(N958="nulová",J958,0)</f>
        <v>0</v>
      </c>
      <c r="BJ958" s="214" t="s">
        <v>81</v>
      </c>
      <c r="BK958" s="325">
        <f>ROUND(I958*H958,2)</f>
        <v>0</v>
      </c>
      <c r="BL958" s="214" t="s">
        <v>153</v>
      </c>
      <c r="BM958" s="324" t="s">
        <v>704</v>
      </c>
    </row>
    <row r="959" spans="2:51" s="326" customFormat="1" ht="12">
      <c r="B959" s="327"/>
      <c r="D959" s="328" t="s">
        <v>155</v>
      </c>
      <c r="E959" s="329" t="s">
        <v>1</v>
      </c>
      <c r="F959" s="330" t="s">
        <v>492</v>
      </c>
      <c r="H959" s="329" t="s">
        <v>1</v>
      </c>
      <c r="I959" s="497"/>
      <c r="L959" s="331"/>
      <c r="M959" s="332"/>
      <c r="N959" s="333"/>
      <c r="O959" s="333"/>
      <c r="P959" s="333"/>
      <c r="Q959" s="333"/>
      <c r="R959" s="333"/>
      <c r="S959" s="333"/>
      <c r="T959" s="334"/>
      <c r="AT959" s="329" t="s">
        <v>155</v>
      </c>
      <c r="AU959" s="329" t="s">
        <v>83</v>
      </c>
      <c r="AV959" s="326" t="s">
        <v>81</v>
      </c>
      <c r="AW959" s="326" t="s">
        <v>34</v>
      </c>
      <c r="AX959" s="326" t="s">
        <v>76</v>
      </c>
      <c r="AY959" s="329" t="s">
        <v>146</v>
      </c>
    </row>
    <row r="960" spans="2:51" s="335" customFormat="1" ht="12">
      <c r="B960" s="336"/>
      <c r="D960" s="328" t="s">
        <v>155</v>
      </c>
      <c r="E960" s="337" t="s">
        <v>1</v>
      </c>
      <c r="F960" s="338" t="s">
        <v>705</v>
      </c>
      <c r="H960" s="339">
        <v>15</v>
      </c>
      <c r="I960" s="498"/>
      <c r="L960" s="340"/>
      <c r="M960" s="341"/>
      <c r="N960" s="342"/>
      <c r="O960" s="342"/>
      <c r="P960" s="342"/>
      <c r="Q960" s="342"/>
      <c r="R960" s="342"/>
      <c r="S960" s="342"/>
      <c r="T960" s="343"/>
      <c r="AT960" s="337" t="s">
        <v>155</v>
      </c>
      <c r="AU960" s="337" t="s">
        <v>83</v>
      </c>
      <c r="AV960" s="335" t="s">
        <v>83</v>
      </c>
      <c r="AW960" s="335" t="s">
        <v>34</v>
      </c>
      <c r="AX960" s="335" t="s">
        <v>76</v>
      </c>
      <c r="AY960" s="337" t="s">
        <v>146</v>
      </c>
    </row>
    <row r="961" spans="2:51" s="335" customFormat="1" ht="12">
      <c r="B961" s="336"/>
      <c r="D961" s="328" t="s">
        <v>155</v>
      </c>
      <c r="E961" s="337" t="s">
        <v>1</v>
      </c>
      <c r="F961" s="338" t="s">
        <v>705</v>
      </c>
      <c r="H961" s="339">
        <v>15</v>
      </c>
      <c r="I961" s="498"/>
      <c r="L961" s="340"/>
      <c r="M961" s="341"/>
      <c r="N961" s="342"/>
      <c r="O961" s="342"/>
      <c r="P961" s="342"/>
      <c r="Q961" s="342"/>
      <c r="R961" s="342"/>
      <c r="S961" s="342"/>
      <c r="T961" s="343"/>
      <c r="AT961" s="337" t="s">
        <v>155</v>
      </c>
      <c r="AU961" s="337" t="s">
        <v>83</v>
      </c>
      <c r="AV961" s="335" t="s">
        <v>83</v>
      </c>
      <c r="AW961" s="335" t="s">
        <v>34</v>
      </c>
      <c r="AX961" s="335" t="s">
        <v>76</v>
      </c>
      <c r="AY961" s="337" t="s">
        <v>146</v>
      </c>
    </row>
    <row r="962" spans="2:51" s="326" customFormat="1" ht="12">
      <c r="B962" s="327"/>
      <c r="D962" s="328" t="s">
        <v>155</v>
      </c>
      <c r="E962" s="329" t="s">
        <v>1</v>
      </c>
      <c r="F962" s="330" t="s">
        <v>665</v>
      </c>
      <c r="H962" s="329" t="s">
        <v>1</v>
      </c>
      <c r="I962" s="497"/>
      <c r="L962" s="331"/>
      <c r="M962" s="332"/>
      <c r="N962" s="333"/>
      <c r="O962" s="333"/>
      <c r="P962" s="333"/>
      <c r="Q962" s="333"/>
      <c r="R962" s="333"/>
      <c r="S962" s="333"/>
      <c r="T962" s="334"/>
      <c r="AT962" s="329" t="s">
        <v>155</v>
      </c>
      <c r="AU962" s="329" t="s">
        <v>83</v>
      </c>
      <c r="AV962" s="326" t="s">
        <v>81</v>
      </c>
      <c r="AW962" s="326" t="s">
        <v>34</v>
      </c>
      <c r="AX962" s="326" t="s">
        <v>76</v>
      </c>
      <c r="AY962" s="329" t="s">
        <v>146</v>
      </c>
    </row>
    <row r="963" spans="2:51" s="335" customFormat="1" ht="12">
      <c r="B963" s="336"/>
      <c r="D963" s="328" t="s">
        <v>155</v>
      </c>
      <c r="E963" s="337" t="s">
        <v>1</v>
      </c>
      <c r="F963" s="338" t="s">
        <v>705</v>
      </c>
      <c r="H963" s="339">
        <v>15</v>
      </c>
      <c r="I963" s="498"/>
      <c r="L963" s="340"/>
      <c r="M963" s="341"/>
      <c r="N963" s="342"/>
      <c r="O963" s="342"/>
      <c r="P963" s="342"/>
      <c r="Q963" s="342"/>
      <c r="R963" s="342"/>
      <c r="S963" s="342"/>
      <c r="T963" s="343"/>
      <c r="AT963" s="337" t="s">
        <v>155</v>
      </c>
      <c r="AU963" s="337" t="s">
        <v>83</v>
      </c>
      <c r="AV963" s="335" t="s">
        <v>83</v>
      </c>
      <c r="AW963" s="335" t="s">
        <v>34</v>
      </c>
      <c r="AX963" s="335" t="s">
        <v>76</v>
      </c>
      <c r="AY963" s="337" t="s">
        <v>146</v>
      </c>
    </row>
    <row r="964" spans="2:51" s="347" customFormat="1" ht="12">
      <c r="B964" s="348"/>
      <c r="D964" s="328" t="s">
        <v>155</v>
      </c>
      <c r="E964" s="349" t="s">
        <v>1</v>
      </c>
      <c r="F964" s="356" t="s">
        <v>157</v>
      </c>
      <c r="H964" s="351">
        <v>45</v>
      </c>
      <c r="I964" s="499"/>
      <c r="L964" s="352"/>
      <c r="M964" s="353"/>
      <c r="N964" s="354"/>
      <c r="O964" s="354"/>
      <c r="P964" s="354"/>
      <c r="Q964" s="354"/>
      <c r="R964" s="354"/>
      <c r="S964" s="354"/>
      <c r="T964" s="355"/>
      <c r="AT964" s="349" t="s">
        <v>155</v>
      </c>
      <c r="AU964" s="349" t="s">
        <v>83</v>
      </c>
      <c r="AV964" s="347" t="s">
        <v>153</v>
      </c>
      <c r="AW964" s="347" t="s">
        <v>34</v>
      </c>
      <c r="AX964" s="347" t="s">
        <v>81</v>
      </c>
      <c r="AY964" s="349" t="s">
        <v>146</v>
      </c>
    </row>
    <row r="965" spans="1:65" s="225" customFormat="1" ht="33" customHeight="1">
      <c r="A965" s="222"/>
      <c r="B965" s="223"/>
      <c r="C965" s="314">
        <v>150</v>
      </c>
      <c r="D965" s="314" t="s">
        <v>148</v>
      </c>
      <c r="E965" s="315" t="s">
        <v>2739</v>
      </c>
      <c r="F965" s="316" t="s">
        <v>2740</v>
      </c>
      <c r="G965" s="317" t="s">
        <v>158</v>
      </c>
      <c r="H965" s="318">
        <f>H976</f>
        <v>30.850000000000005</v>
      </c>
      <c r="I965" s="79"/>
      <c r="J965" s="319">
        <f>ROUND(I965*H965,2)</f>
        <v>0</v>
      </c>
      <c r="K965" s="316"/>
      <c r="L965" s="229"/>
      <c r="M965" s="320" t="s">
        <v>1</v>
      </c>
      <c r="N965" s="321" t="s">
        <v>42</v>
      </c>
      <c r="O965" s="322">
        <v>0.405</v>
      </c>
      <c r="P965" s="322">
        <f>O965*H965</f>
        <v>12.494250000000003</v>
      </c>
      <c r="Q965" s="322">
        <v>0</v>
      </c>
      <c r="R965" s="322">
        <f>Q965*H965</f>
        <v>0</v>
      </c>
      <c r="S965" s="322">
        <v>0.065</v>
      </c>
      <c r="T965" s="419">
        <f>S965*H965</f>
        <v>2.00525</v>
      </c>
      <c r="U965" s="222"/>
      <c r="V965" s="222"/>
      <c r="W965" s="222"/>
      <c r="X965" s="222"/>
      <c r="Y965" s="222"/>
      <c r="Z965" s="222"/>
      <c r="AA965" s="222"/>
      <c r="AB965" s="222"/>
      <c r="AC965" s="222"/>
      <c r="AD965" s="222"/>
      <c r="AE965" s="222"/>
      <c r="AR965" s="324" t="s">
        <v>153</v>
      </c>
      <c r="AT965" s="324" t="s">
        <v>148</v>
      </c>
      <c r="AU965" s="324" t="s">
        <v>83</v>
      </c>
      <c r="AY965" s="214" t="s">
        <v>146</v>
      </c>
      <c r="BE965" s="325">
        <f>IF(N965="základní",J965,0)</f>
        <v>0</v>
      </c>
      <c r="BF965" s="325">
        <f>IF(N965="snížená",J965,0)</f>
        <v>0</v>
      </c>
      <c r="BG965" s="325">
        <f>IF(N965="zákl. přenesená",J965,0)</f>
        <v>0</v>
      </c>
      <c r="BH965" s="325">
        <f>IF(N965="sníž. přenesená",J965,0)</f>
        <v>0</v>
      </c>
      <c r="BI965" s="325">
        <f>IF(N965="nulová",J965,0)</f>
        <v>0</v>
      </c>
      <c r="BJ965" s="214" t="s">
        <v>81</v>
      </c>
      <c r="BK965" s="325">
        <f>ROUND(I965*H965,2)</f>
        <v>0</v>
      </c>
      <c r="BL965" s="214" t="s">
        <v>153</v>
      </c>
      <c r="BM965" s="324" t="s">
        <v>704</v>
      </c>
    </row>
    <row r="966" spans="2:51" s="326" customFormat="1" ht="12">
      <c r="B966" s="327"/>
      <c r="D966" s="328" t="s">
        <v>155</v>
      </c>
      <c r="E966" s="329" t="s">
        <v>1</v>
      </c>
      <c r="F966" s="330" t="s">
        <v>2743</v>
      </c>
      <c r="H966" s="329" t="s">
        <v>1</v>
      </c>
      <c r="I966" s="497"/>
      <c r="L966" s="331"/>
      <c r="M966" s="332"/>
      <c r="N966" s="333"/>
      <c r="O966" s="333"/>
      <c r="P966" s="333"/>
      <c r="Q966" s="333"/>
      <c r="R966" s="333"/>
      <c r="S966" s="333"/>
      <c r="T966" s="334"/>
      <c r="AT966" s="329" t="s">
        <v>155</v>
      </c>
      <c r="AU966" s="329" t="s">
        <v>83</v>
      </c>
      <c r="AV966" s="326" t="s">
        <v>81</v>
      </c>
      <c r="AW966" s="326" t="s">
        <v>34</v>
      </c>
      <c r="AX966" s="326" t="s">
        <v>76</v>
      </c>
      <c r="AY966" s="329" t="s">
        <v>146</v>
      </c>
    </row>
    <row r="967" spans="2:51" s="335" customFormat="1" ht="12">
      <c r="B967" s="336"/>
      <c r="D967" s="328" t="s">
        <v>155</v>
      </c>
      <c r="E967" s="337" t="s">
        <v>1</v>
      </c>
      <c r="F967" s="338" t="s">
        <v>2745</v>
      </c>
      <c r="H967" s="339">
        <f>1.3*2</f>
        <v>2.6</v>
      </c>
      <c r="I967" s="498"/>
      <c r="L967" s="340"/>
      <c r="M967" s="341"/>
      <c r="N967" s="342"/>
      <c r="O967" s="342"/>
      <c r="P967" s="342"/>
      <c r="Q967" s="342"/>
      <c r="R967" s="342"/>
      <c r="S967" s="342"/>
      <c r="T967" s="343"/>
      <c r="AT967" s="337" t="s">
        <v>155</v>
      </c>
      <c r="AU967" s="337" t="s">
        <v>83</v>
      </c>
      <c r="AV967" s="335" t="s">
        <v>83</v>
      </c>
      <c r="AW967" s="335" t="s">
        <v>34</v>
      </c>
      <c r="AX967" s="335" t="s">
        <v>76</v>
      </c>
      <c r="AY967" s="337" t="s">
        <v>146</v>
      </c>
    </row>
    <row r="968" spans="2:51" s="326" customFormat="1" ht="12">
      <c r="B968" s="327"/>
      <c r="D968" s="328" t="s">
        <v>155</v>
      </c>
      <c r="E968" s="329" t="s">
        <v>1</v>
      </c>
      <c r="F968" s="330" t="s">
        <v>3016</v>
      </c>
      <c r="H968" s="329" t="s">
        <v>1</v>
      </c>
      <c r="I968" s="497"/>
      <c r="L968" s="331"/>
      <c r="M968" s="332"/>
      <c r="N968" s="333"/>
      <c r="O968" s="333"/>
      <c r="P968" s="333"/>
      <c r="Q968" s="333"/>
      <c r="R968" s="333"/>
      <c r="S968" s="333"/>
      <c r="T968" s="334"/>
      <c r="AT968" s="329" t="s">
        <v>155</v>
      </c>
      <c r="AU968" s="329" t="s">
        <v>83</v>
      </c>
      <c r="AV968" s="326" t="s">
        <v>81</v>
      </c>
      <c r="AW968" s="326" t="s">
        <v>34</v>
      </c>
      <c r="AX968" s="326" t="s">
        <v>76</v>
      </c>
      <c r="AY968" s="329" t="s">
        <v>146</v>
      </c>
    </row>
    <row r="969" spans="2:51" s="335" customFormat="1" ht="12">
      <c r="B969" s="336"/>
      <c r="D969" s="328" t="s">
        <v>155</v>
      </c>
      <c r="E969" s="337" t="s">
        <v>1</v>
      </c>
      <c r="F969" s="338" t="s">
        <v>3017</v>
      </c>
      <c r="H969" s="339">
        <f>1.05*2</f>
        <v>2.1</v>
      </c>
      <c r="I969" s="498"/>
      <c r="L969" s="340"/>
      <c r="M969" s="341"/>
      <c r="N969" s="342"/>
      <c r="O969" s="342"/>
      <c r="P969" s="342"/>
      <c r="Q969" s="342"/>
      <c r="R969" s="342"/>
      <c r="S969" s="342"/>
      <c r="T969" s="343"/>
      <c r="AT969" s="337" t="s">
        <v>155</v>
      </c>
      <c r="AU969" s="337" t="s">
        <v>83</v>
      </c>
      <c r="AV969" s="335" t="s">
        <v>83</v>
      </c>
      <c r="AW969" s="335" t="s">
        <v>34</v>
      </c>
      <c r="AX969" s="335" t="s">
        <v>76</v>
      </c>
      <c r="AY969" s="337" t="s">
        <v>146</v>
      </c>
    </row>
    <row r="970" spans="2:51" s="326" customFormat="1" ht="12">
      <c r="B970" s="327"/>
      <c r="D970" s="328" t="s">
        <v>155</v>
      </c>
      <c r="E970" s="329" t="s">
        <v>1</v>
      </c>
      <c r="F970" s="330" t="s">
        <v>2744</v>
      </c>
      <c r="H970" s="329"/>
      <c r="I970" s="497"/>
      <c r="L970" s="331"/>
      <c r="M970" s="332"/>
      <c r="N970" s="333"/>
      <c r="O970" s="333"/>
      <c r="P970" s="333"/>
      <c r="Q970" s="333"/>
      <c r="R970" s="333"/>
      <c r="S970" s="333"/>
      <c r="T970" s="334"/>
      <c r="AT970" s="329" t="s">
        <v>155</v>
      </c>
      <c r="AU970" s="329" t="s">
        <v>83</v>
      </c>
      <c r="AV970" s="326" t="s">
        <v>81</v>
      </c>
      <c r="AW970" s="326" t="s">
        <v>34</v>
      </c>
      <c r="AX970" s="326" t="s">
        <v>76</v>
      </c>
      <c r="AY970" s="329" t="s">
        <v>146</v>
      </c>
    </row>
    <row r="971" spans="2:51" s="335" customFormat="1" ht="12">
      <c r="B971" s="336"/>
      <c r="D971" s="328" t="s">
        <v>155</v>
      </c>
      <c r="E971" s="337" t="s">
        <v>1</v>
      </c>
      <c r="F971" s="338" t="s">
        <v>2746</v>
      </c>
      <c r="H971" s="339">
        <f>1.3*3</f>
        <v>3.9000000000000004</v>
      </c>
      <c r="I971" s="498"/>
      <c r="L971" s="340"/>
      <c r="M971" s="341"/>
      <c r="N971" s="342"/>
      <c r="O971" s="342"/>
      <c r="P971" s="342"/>
      <c r="Q971" s="342"/>
      <c r="R971" s="342"/>
      <c r="S971" s="342"/>
      <c r="T971" s="343"/>
      <c r="AT971" s="337" t="s">
        <v>155</v>
      </c>
      <c r="AU971" s="337" t="s">
        <v>83</v>
      </c>
      <c r="AV971" s="335" t="s">
        <v>83</v>
      </c>
      <c r="AW971" s="335" t="s">
        <v>34</v>
      </c>
      <c r="AX971" s="335" t="s">
        <v>76</v>
      </c>
      <c r="AY971" s="337" t="s">
        <v>146</v>
      </c>
    </row>
    <row r="972" spans="2:51" s="326" customFormat="1" ht="12">
      <c r="B972" s="327"/>
      <c r="D972" s="328" t="s">
        <v>155</v>
      </c>
      <c r="E972" s="329" t="s">
        <v>1</v>
      </c>
      <c r="F972" s="330" t="s">
        <v>692</v>
      </c>
      <c r="H972" s="329" t="s">
        <v>1</v>
      </c>
      <c r="I972" s="497"/>
      <c r="L972" s="331"/>
      <c r="M972" s="332"/>
      <c r="N972" s="333"/>
      <c r="O972" s="333"/>
      <c r="P972" s="333"/>
      <c r="Q972" s="333"/>
      <c r="R972" s="333"/>
      <c r="S972" s="333"/>
      <c r="T972" s="334"/>
      <c r="AT972" s="329" t="s">
        <v>155</v>
      </c>
      <c r="AU972" s="329" t="s">
        <v>83</v>
      </c>
      <c r="AV972" s="326" t="s">
        <v>81</v>
      </c>
      <c r="AW972" s="326" t="s">
        <v>34</v>
      </c>
      <c r="AX972" s="326" t="s">
        <v>76</v>
      </c>
      <c r="AY972" s="329" t="s">
        <v>146</v>
      </c>
    </row>
    <row r="973" spans="2:51" s="335" customFormat="1" ht="12">
      <c r="B973" s="336"/>
      <c r="D973" s="328" t="s">
        <v>155</v>
      </c>
      <c r="E973" s="337" t="s">
        <v>1</v>
      </c>
      <c r="F973" s="338" t="s">
        <v>2742</v>
      </c>
      <c r="H973" s="339">
        <f>1.05*3*3</f>
        <v>9.450000000000001</v>
      </c>
      <c r="I973" s="498"/>
      <c r="L973" s="340"/>
      <c r="M973" s="341"/>
      <c r="N973" s="342"/>
      <c r="O973" s="342"/>
      <c r="P973" s="342"/>
      <c r="Q973" s="342"/>
      <c r="R973" s="342"/>
      <c r="S973" s="342"/>
      <c r="T973" s="343"/>
      <c r="AT973" s="337" t="s">
        <v>155</v>
      </c>
      <c r="AU973" s="337" t="s">
        <v>83</v>
      </c>
      <c r="AV973" s="335" t="s">
        <v>83</v>
      </c>
      <c r="AW973" s="335" t="s">
        <v>34</v>
      </c>
      <c r="AX973" s="335" t="s">
        <v>76</v>
      </c>
      <c r="AY973" s="337" t="s">
        <v>146</v>
      </c>
    </row>
    <row r="974" spans="2:51" s="326" customFormat="1" ht="12">
      <c r="B974" s="327"/>
      <c r="D974" s="328" t="s">
        <v>155</v>
      </c>
      <c r="E974" s="329" t="s">
        <v>1</v>
      </c>
      <c r="F974" s="330" t="s">
        <v>2747</v>
      </c>
      <c r="H974" s="329" t="s">
        <v>1</v>
      </c>
      <c r="I974" s="497"/>
      <c r="L974" s="331"/>
      <c r="M974" s="332"/>
      <c r="N974" s="333"/>
      <c r="O974" s="333"/>
      <c r="P974" s="333"/>
      <c r="Q974" s="333"/>
      <c r="R974" s="333"/>
      <c r="S974" s="333"/>
      <c r="T974" s="334"/>
      <c r="AT974" s="329" t="s">
        <v>155</v>
      </c>
      <c r="AU974" s="329" t="s">
        <v>83</v>
      </c>
      <c r="AV974" s="326" t="s">
        <v>81</v>
      </c>
      <c r="AW974" s="326" t="s">
        <v>34</v>
      </c>
      <c r="AX974" s="326" t="s">
        <v>76</v>
      </c>
      <c r="AY974" s="329" t="s">
        <v>146</v>
      </c>
    </row>
    <row r="975" spans="2:51" s="335" customFormat="1" ht="12">
      <c r="B975" s="336"/>
      <c r="D975" s="328" t="s">
        <v>155</v>
      </c>
      <c r="E975" s="337" t="s">
        <v>1</v>
      </c>
      <c r="F975" s="338" t="s">
        <v>2748</v>
      </c>
      <c r="H975" s="339">
        <f>3.2*4</f>
        <v>12.8</v>
      </c>
      <c r="I975" s="498"/>
      <c r="L975" s="340"/>
      <c r="M975" s="341"/>
      <c r="N975" s="342"/>
      <c r="O975" s="342"/>
      <c r="P975" s="342"/>
      <c r="Q975" s="342"/>
      <c r="R975" s="342"/>
      <c r="S975" s="342"/>
      <c r="T975" s="343"/>
      <c r="AT975" s="337" t="s">
        <v>155</v>
      </c>
      <c r="AU975" s="337" t="s">
        <v>83</v>
      </c>
      <c r="AV975" s="335" t="s">
        <v>83</v>
      </c>
      <c r="AW975" s="335" t="s">
        <v>34</v>
      </c>
      <c r="AX975" s="335" t="s">
        <v>76</v>
      </c>
      <c r="AY975" s="337" t="s">
        <v>146</v>
      </c>
    </row>
    <row r="976" spans="2:51" s="347" customFormat="1" ht="12">
      <c r="B976" s="348"/>
      <c r="D976" s="328" t="s">
        <v>155</v>
      </c>
      <c r="E976" s="349" t="s">
        <v>1</v>
      </c>
      <c r="F976" s="356" t="s">
        <v>157</v>
      </c>
      <c r="H976" s="351">
        <f>SUM(H967:H975)</f>
        <v>30.850000000000005</v>
      </c>
      <c r="I976" s="499"/>
      <c r="L976" s="352"/>
      <c r="M976" s="353"/>
      <c r="N976" s="354"/>
      <c r="O976" s="354"/>
      <c r="P976" s="354"/>
      <c r="Q976" s="354"/>
      <c r="R976" s="354"/>
      <c r="S976" s="354"/>
      <c r="T976" s="355"/>
      <c r="AT976" s="349" t="s">
        <v>155</v>
      </c>
      <c r="AU976" s="349" t="s">
        <v>83</v>
      </c>
      <c r="AV976" s="347" t="s">
        <v>153</v>
      </c>
      <c r="AW976" s="347" t="s">
        <v>34</v>
      </c>
      <c r="AX976" s="347" t="s">
        <v>81</v>
      </c>
      <c r="AY976" s="349" t="s">
        <v>146</v>
      </c>
    </row>
    <row r="977" spans="1:65" s="225" customFormat="1" ht="24.2" customHeight="1">
      <c r="A977" s="222"/>
      <c r="B977" s="223"/>
      <c r="C977" s="314">
        <v>151</v>
      </c>
      <c r="D977" s="314" t="s">
        <v>148</v>
      </c>
      <c r="E977" s="315" t="s">
        <v>706</v>
      </c>
      <c r="F977" s="344" t="s">
        <v>707</v>
      </c>
      <c r="G977" s="399" t="s">
        <v>158</v>
      </c>
      <c r="H977" s="400">
        <f>H987</f>
        <v>4.3</v>
      </c>
      <c r="I977" s="79"/>
      <c r="J977" s="319">
        <f>ROUND(I977*H977,2)</f>
        <v>0</v>
      </c>
      <c r="K977" s="316"/>
      <c r="L977" s="229"/>
      <c r="M977" s="320" t="s">
        <v>1</v>
      </c>
      <c r="N977" s="321" t="s">
        <v>42</v>
      </c>
      <c r="O977" s="322">
        <v>3.2</v>
      </c>
      <c r="P977" s="322">
        <f>O977*H977</f>
        <v>13.76</v>
      </c>
      <c r="Q977" s="322">
        <v>0.00316</v>
      </c>
      <c r="R977" s="322">
        <f>Q977*H977</f>
        <v>0.013588</v>
      </c>
      <c r="S977" s="322">
        <v>0.069</v>
      </c>
      <c r="T977" s="421">
        <f>S977*H977</f>
        <v>0.2967</v>
      </c>
      <c r="U977" s="222"/>
      <c r="V977" s="222"/>
      <c r="W977" s="222"/>
      <c r="X977" s="222"/>
      <c r="Y977" s="222"/>
      <c r="Z977" s="222"/>
      <c r="AA977" s="222"/>
      <c r="AB977" s="222"/>
      <c r="AC977" s="222"/>
      <c r="AD977" s="222"/>
      <c r="AE977" s="222"/>
      <c r="AR977" s="324" t="s">
        <v>153</v>
      </c>
      <c r="AT977" s="324" t="s">
        <v>148</v>
      </c>
      <c r="AU977" s="324" t="s">
        <v>83</v>
      </c>
      <c r="AY977" s="214" t="s">
        <v>146</v>
      </c>
      <c r="BE977" s="325">
        <f>IF(N977="základní",J977,0)</f>
        <v>0</v>
      </c>
      <c r="BF977" s="325">
        <f>IF(N977="snížená",J977,0)</f>
        <v>0</v>
      </c>
      <c r="BG977" s="325">
        <f>IF(N977="zákl. přenesená",J977,0)</f>
        <v>0</v>
      </c>
      <c r="BH977" s="325">
        <f>IF(N977="sníž. přenesená",J977,0)</f>
        <v>0</v>
      </c>
      <c r="BI977" s="325">
        <f>IF(N977="nulová",J977,0)</f>
        <v>0</v>
      </c>
      <c r="BJ977" s="214" t="s">
        <v>81</v>
      </c>
      <c r="BK977" s="325">
        <f>ROUND(I977*H977,2)</f>
        <v>0</v>
      </c>
      <c r="BL977" s="214" t="s">
        <v>153</v>
      </c>
      <c r="BM977" s="324" t="s">
        <v>708</v>
      </c>
    </row>
    <row r="978" spans="2:51" s="326" customFormat="1" ht="12">
      <c r="B978" s="327"/>
      <c r="D978" s="328" t="s">
        <v>155</v>
      </c>
      <c r="E978" s="329" t="s">
        <v>1</v>
      </c>
      <c r="F978" s="345" t="s">
        <v>3821</v>
      </c>
      <c r="G978" s="426"/>
      <c r="H978" s="427" t="s">
        <v>1</v>
      </c>
      <c r="I978" s="497"/>
      <c r="L978" s="331"/>
      <c r="M978" s="332"/>
      <c r="N978" s="333"/>
      <c r="O978" s="333"/>
      <c r="P978" s="333"/>
      <c r="Q978" s="333"/>
      <c r="R978" s="333"/>
      <c r="S978" s="333"/>
      <c r="T978" s="334"/>
      <c r="AT978" s="329" t="s">
        <v>155</v>
      </c>
      <c r="AU978" s="329" t="s">
        <v>83</v>
      </c>
      <c r="AV978" s="326" t="s">
        <v>81</v>
      </c>
      <c r="AW978" s="326" t="s">
        <v>34</v>
      </c>
      <c r="AX978" s="326" t="s">
        <v>76</v>
      </c>
      <c r="AY978" s="329" t="s">
        <v>146</v>
      </c>
    </row>
    <row r="979" spans="2:51" s="326" customFormat="1" ht="12">
      <c r="B979" s="327"/>
      <c r="D979" s="328" t="s">
        <v>155</v>
      </c>
      <c r="E979" s="329" t="s">
        <v>1</v>
      </c>
      <c r="F979" s="345" t="s">
        <v>3333</v>
      </c>
      <c r="G979" s="426"/>
      <c r="H979" s="427" t="s">
        <v>1</v>
      </c>
      <c r="I979" s="497"/>
      <c r="L979" s="331"/>
      <c r="M979" s="332"/>
      <c r="N979" s="333"/>
      <c r="O979" s="333"/>
      <c r="P979" s="333"/>
      <c r="Q979" s="333"/>
      <c r="R979" s="333"/>
      <c r="S979" s="333"/>
      <c r="T979" s="334"/>
      <c r="AT979" s="329" t="s">
        <v>155</v>
      </c>
      <c r="AU979" s="329" t="s">
        <v>83</v>
      </c>
      <c r="AV979" s="326" t="s">
        <v>81</v>
      </c>
      <c r="AW979" s="326" t="s">
        <v>34</v>
      </c>
      <c r="AX979" s="326" t="s">
        <v>76</v>
      </c>
      <c r="AY979" s="329" t="s">
        <v>146</v>
      </c>
    </row>
    <row r="980" spans="2:51" s="335" customFormat="1" ht="12">
      <c r="B980" s="336"/>
      <c r="D980" s="328" t="s">
        <v>155</v>
      </c>
      <c r="E980" s="337" t="s">
        <v>1</v>
      </c>
      <c r="F980" s="346" t="s">
        <v>3334</v>
      </c>
      <c r="G980" s="390"/>
      <c r="H980" s="392">
        <f>0.35*3</f>
        <v>1.0499999999999998</v>
      </c>
      <c r="I980" s="498"/>
      <c r="L980" s="340"/>
      <c r="M980" s="341"/>
      <c r="N980" s="342"/>
      <c r="O980" s="342"/>
      <c r="P980" s="342"/>
      <c r="Q980" s="342"/>
      <c r="R980" s="342"/>
      <c r="S980" s="342"/>
      <c r="T980" s="343"/>
      <c r="AT980" s="337" t="s">
        <v>155</v>
      </c>
      <c r="AU980" s="337" t="s">
        <v>83</v>
      </c>
      <c r="AV980" s="335" t="s">
        <v>83</v>
      </c>
      <c r="AW980" s="335" t="s">
        <v>34</v>
      </c>
      <c r="AX980" s="335" t="s">
        <v>76</v>
      </c>
      <c r="AY980" s="337" t="s">
        <v>146</v>
      </c>
    </row>
    <row r="981" spans="2:51" s="326" customFormat="1" ht="12">
      <c r="B981" s="327"/>
      <c r="D981" s="328" t="s">
        <v>155</v>
      </c>
      <c r="E981" s="329" t="s">
        <v>1</v>
      </c>
      <c r="F981" s="345" t="s">
        <v>3823</v>
      </c>
      <c r="G981" s="426"/>
      <c r="H981" s="427" t="s">
        <v>1</v>
      </c>
      <c r="I981" s="497"/>
      <c r="L981" s="331"/>
      <c r="M981" s="332"/>
      <c r="N981" s="333"/>
      <c r="O981" s="333"/>
      <c r="P981" s="333"/>
      <c r="Q981" s="333"/>
      <c r="R981" s="333"/>
      <c r="S981" s="333"/>
      <c r="T981" s="334"/>
      <c r="AT981" s="329" t="s">
        <v>155</v>
      </c>
      <c r="AU981" s="329" t="s">
        <v>83</v>
      </c>
      <c r="AV981" s="326" t="s">
        <v>81</v>
      </c>
      <c r="AW981" s="326" t="s">
        <v>34</v>
      </c>
      <c r="AX981" s="326" t="s">
        <v>76</v>
      </c>
      <c r="AY981" s="329" t="s">
        <v>146</v>
      </c>
    </row>
    <row r="982" spans="2:51" s="326" customFormat="1" ht="12">
      <c r="B982" s="327"/>
      <c r="D982" s="328" t="s">
        <v>155</v>
      </c>
      <c r="E982" s="329" t="s">
        <v>1</v>
      </c>
      <c r="F982" s="345" t="s">
        <v>3824</v>
      </c>
      <c r="G982" s="426"/>
      <c r="H982" s="427" t="s">
        <v>1</v>
      </c>
      <c r="I982" s="497"/>
      <c r="L982" s="331"/>
      <c r="M982" s="332"/>
      <c r="N982" s="333"/>
      <c r="O982" s="333"/>
      <c r="P982" s="333"/>
      <c r="Q982" s="333"/>
      <c r="R982" s="333"/>
      <c r="S982" s="333"/>
      <c r="T982" s="334"/>
      <c r="AT982" s="329" t="s">
        <v>155</v>
      </c>
      <c r="AU982" s="329" t="s">
        <v>83</v>
      </c>
      <c r="AV982" s="326" t="s">
        <v>81</v>
      </c>
      <c r="AW982" s="326" t="s">
        <v>34</v>
      </c>
      <c r="AX982" s="326" t="s">
        <v>76</v>
      </c>
      <c r="AY982" s="329" t="s">
        <v>146</v>
      </c>
    </row>
    <row r="983" spans="2:51" s="335" customFormat="1" ht="12">
      <c r="B983" s="336"/>
      <c r="D983" s="328" t="s">
        <v>155</v>
      </c>
      <c r="E983" s="337" t="s">
        <v>1</v>
      </c>
      <c r="F983" s="346" t="s">
        <v>3825</v>
      </c>
      <c r="G983" s="390"/>
      <c r="H983" s="392">
        <f>0.5*5</f>
        <v>2.5</v>
      </c>
      <c r="I983" s="498"/>
      <c r="L983" s="340"/>
      <c r="M983" s="341"/>
      <c r="N983" s="342"/>
      <c r="O983" s="342"/>
      <c r="P983" s="342"/>
      <c r="Q983" s="342"/>
      <c r="R983" s="342"/>
      <c r="S983" s="342"/>
      <c r="T983" s="343"/>
      <c r="AT983" s="337" t="s">
        <v>155</v>
      </c>
      <c r="AU983" s="337" t="s">
        <v>83</v>
      </c>
      <c r="AV983" s="335" t="s">
        <v>83</v>
      </c>
      <c r="AW983" s="335" t="s">
        <v>34</v>
      </c>
      <c r="AX983" s="335" t="s">
        <v>76</v>
      </c>
      <c r="AY983" s="337" t="s">
        <v>146</v>
      </c>
    </row>
    <row r="984" spans="2:51" s="326" customFormat="1" ht="12">
      <c r="B984" s="327"/>
      <c r="D984" s="328" t="s">
        <v>155</v>
      </c>
      <c r="E984" s="329" t="s">
        <v>1</v>
      </c>
      <c r="F984" s="345" t="s">
        <v>3822</v>
      </c>
      <c r="G984" s="426"/>
      <c r="H984" s="427" t="s">
        <v>1</v>
      </c>
      <c r="I984" s="497"/>
      <c r="L984" s="331"/>
      <c r="M984" s="332"/>
      <c r="N984" s="333"/>
      <c r="O984" s="333"/>
      <c r="P984" s="333"/>
      <c r="Q984" s="333"/>
      <c r="R984" s="333"/>
      <c r="S984" s="333"/>
      <c r="T984" s="334"/>
      <c r="AT984" s="329" t="s">
        <v>155</v>
      </c>
      <c r="AU984" s="329" t="s">
        <v>83</v>
      </c>
      <c r="AV984" s="326" t="s">
        <v>81</v>
      </c>
      <c r="AW984" s="326" t="s">
        <v>34</v>
      </c>
      <c r="AX984" s="326" t="s">
        <v>76</v>
      </c>
      <c r="AY984" s="329" t="s">
        <v>146</v>
      </c>
    </row>
    <row r="985" spans="2:51" s="326" customFormat="1" ht="12">
      <c r="B985" s="327"/>
      <c r="D985" s="328" t="s">
        <v>155</v>
      </c>
      <c r="E985" s="329" t="s">
        <v>1</v>
      </c>
      <c r="F985" s="345" t="s">
        <v>3329</v>
      </c>
      <c r="G985" s="426"/>
      <c r="H985" s="427" t="s">
        <v>1</v>
      </c>
      <c r="I985" s="497"/>
      <c r="L985" s="331"/>
      <c r="M985" s="332"/>
      <c r="N985" s="333"/>
      <c r="O985" s="333"/>
      <c r="P985" s="333"/>
      <c r="Q985" s="333"/>
      <c r="R985" s="333"/>
      <c r="S985" s="333"/>
      <c r="T985" s="334"/>
      <c r="AT985" s="329" t="s">
        <v>155</v>
      </c>
      <c r="AU985" s="329" t="s">
        <v>83</v>
      </c>
      <c r="AV985" s="326" t="s">
        <v>81</v>
      </c>
      <c r="AW985" s="326" t="s">
        <v>34</v>
      </c>
      <c r="AX985" s="326" t="s">
        <v>76</v>
      </c>
      <c r="AY985" s="329" t="s">
        <v>146</v>
      </c>
    </row>
    <row r="986" spans="2:51" s="335" customFormat="1" ht="12">
      <c r="B986" s="336"/>
      <c r="D986" s="328" t="s">
        <v>155</v>
      </c>
      <c r="E986" s="337" t="s">
        <v>1</v>
      </c>
      <c r="F986" s="346" t="s">
        <v>3328</v>
      </c>
      <c r="G986" s="390"/>
      <c r="H986" s="392">
        <f>0.25*3</f>
        <v>0.75</v>
      </c>
      <c r="I986" s="498"/>
      <c r="L986" s="340"/>
      <c r="M986" s="341"/>
      <c r="N986" s="342"/>
      <c r="O986" s="342"/>
      <c r="P986" s="342"/>
      <c r="Q986" s="342"/>
      <c r="R986" s="342"/>
      <c r="S986" s="342"/>
      <c r="T986" s="343"/>
      <c r="AT986" s="337" t="s">
        <v>155</v>
      </c>
      <c r="AU986" s="337" t="s">
        <v>83</v>
      </c>
      <c r="AV986" s="335" t="s">
        <v>83</v>
      </c>
      <c r="AW986" s="335" t="s">
        <v>34</v>
      </c>
      <c r="AX986" s="335" t="s">
        <v>76</v>
      </c>
      <c r="AY986" s="337" t="s">
        <v>146</v>
      </c>
    </row>
    <row r="987" spans="2:51" s="347" customFormat="1" ht="12">
      <c r="B987" s="348"/>
      <c r="D987" s="328" t="s">
        <v>155</v>
      </c>
      <c r="E987" s="349" t="s">
        <v>1</v>
      </c>
      <c r="F987" s="350" t="s">
        <v>157</v>
      </c>
      <c r="G987" s="374"/>
      <c r="H987" s="378">
        <f>SUM(H980:H986)</f>
        <v>4.3</v>
      </c>
      <c r="I987" s="499"/>
      <c r="L987" s="352"/>
      <c r="M987" s="353"/>
      <c r="N987" s="354"/>
      <c r="O987" s="354"/>
      <c r="P987" s="354"/>
      <c r="Q987" s="354"/>
      <c r="R987" s="354"/>
      <c r="S987" s="354"/>
      <c r="T987" s="355"/>
      <c r="AT987" s="349" t="s">
        <v>155</v>
      </c>
      <c r="AU987" s="349" t="s">
        <v>83</v>
      </c>
      <c r="AV987" s="347" t="s">
        <v>153</v>
      </c>
      <c r="AW987" s="347" t="s">
        <v>34</v>
      </c>
      <c r="AX987" s="347" t="s">
        <v>81</v>
      </c>
      <c r="AY987" s="349" t="s">
        <v>146</v>
      </c>
    </row>
    <row r="988" spans="1:65" s="225" customFormat="1" ht="24.2" customHeight="1">
      <c r="A988" s="222"/>
      <c r="B988" s="223"/>
      <c r="C988" s="314">
        <v>152</v>
      </c>
      <c r="D988" s="314" t="s">
        <v>148</v>
      </c>
      <c r="E988" s="315"/>
      <c r="F988" s="344" t="s">
        <v>3330</v>
      </c>
      <c r="G988" s="399" t="s">
        <v>158</v>
      </c>
      <c r="H988" s="400">
        <f>H991</f>
        <v>3.15</v>
      </c>
      <c r="I988" s="79"/>
      <c r="J988" s="319">
        <f>ROUND(I988*H988,2)</f>
        <v>0</v>
      </c>
      <c r="K988" s="316"/>
      <c r="L988" s="229"/>
      <c r="M988" s="320" t="s">
        <v>1</v>
      </c>
      <c r="N988" s="321" t="s">
        <v>42</v>
      </c>
      <c r="O988" s="322">
        <v>3.2</v>
      </c>
      <c r="P988" s="322">
        <f>O988*H988</f>
        <v>10.08</v>
      </c>
      <c r="Q988" s="322">
        <v>0.00316</v>
      </c>
      <c r="R988" s="322">
        <f>Q988*H988</f>
        <v>0.009954</v>
      </c>
      <c r="S988" s="322">
        <v>0.069</v>
      </c>
      <c r="T988" s="421">
        <f>S988*H988</f>
        <v>0.21735000000000002</v>
      </c>
      <c r="U988" s="222"/>
      <c r="V988" s="222"/>
      <c r="W988" s="222"/>
      <c r="X988" s="222"/>
      <c r="Y988" s="222"/>
      <c r="Z988" s="222"/>
      <c r="AA988" s="222"/>
      <c r="AB988" s="222"/>
      <c r="AC988" s="222"/>
      <c r="AD988" s="222"/>
      <c r="AE988" s="222"/>
      <c r="AR988" s="324" t="s">
        <v>153</v>
      </c>
      <c r="AT988" s="324" t="s">
        <v>148</v>
      </c>
      <c r="AU988" s="324" t="s">
        <v>83</v>
      </c>
      <c r="AY988" s="214" t="s">
        <v>146</v>
      </c>
      <c r="BE988" s="325">
        <f>IF(N988="základní",J988,0)</f>
        <v>0</v>
      </c>
      <c r="BF988" s="325">
        <f>IF(N988="snížená",J988,0)</f>
        <v>0</v>
      </c>
      <c r="BG988" s="325">
        <f>IF(N988="zákl. přenesená",J988,0)</f>
        <v>0</v>
      </c>
      <c r="BH988" s="325">
        <f>IF(N988="sníž. přenesená",J988,0)</f>
        <v>0</v>
      </c>
      <c r="BI988" s="325">
        <f>IF(N988="nulová",J988,0)</f>
        <v>0</v>
      </c>
      <c r="BJ988" s="214" t="s">
        <v>81</v>
      </c>
      <c r="BK988" s="325">
        <f>ROUND(I988*H988,2)</f>
        <v>0</v>
      </c>
      <c r="BL988" s="214" t="s">
        <v>153</v>
      </c>
      <c r="BM988" s="324" t="s">
        <v>708</v>
      </c>
    </row>
    <row r="989" spans="2:51" s="326" customFormat="1" ht="12">
      <c r="B989" s="327"/>
      <c r="D989" s="328" t="s">
        <v>155</v>
      </c>
      <c r="E989" s="329" t="s">
        <v>1</v>
      </c>
      <c r="F989" s="345" t="s">
        <v>3821</v>
      </c>
      <c r="G989" s="426"/>
      <c r="H989" s="427" t="s">
        <v>1</v>
      </c>
      <c r="I989" s="497"/>
      <c r="L989" s="331"/>
      <c r="M989" s="332"/>
      <c r="N989" s="333"/>
      <c r="O989" s="333"/>
      <c r="P989" s="333"/>
      <c r="Q989" s="333"/>
      <c r="R989" s="333"/>
      <c r="S989" s="333"/>
      <c r="T989" s="334"/>
      <c r="AT989" s="329" t="s">
        <v>155</v>
      </c>
      <c r="AU989" s="329" t="s">
        <v>83</v>
      </c>
      <c r="AV989" s="326" t="s">
        <v>81</v>
      </c>
      <c r="AW989" s="326" t="s">
        <v>34</v>
      </c>
      <c r="AX989" s="326" t="s">
        <v>76</v>
      </c>
      <c r="AY989" s="329" t="s">
        <v>146</v>
      </c>
    </row>
    <row r="990" spans="2:51" s="326" customFormat="1" ht="12">
      <c r="B990" s="327"/>
      <c r="D990" s="328" t="s">
        <v>155</v>
      </c>
      <c r="E990" s="329" t="s">
        <v>1</v>
      </c>
      <c r="F990" s="345" t="s">
        <v>3331</v>
      </c>
      <c r="G990" s="426"/>
      <c r="H990" s="427" t="s">
        <v>1</v>
      </c>
      <c r="I990" s="497"/>
      <c r="L990" s="331"/>
      <c r="M990" s="332"/>
      <c r="N990" s="333"/>
      <c r="O990" s="333"/>
      <c r="P990" s="333"/>
      <c r="Q990" s="333"/>
      <c r="R990" s="333"/>
      <c r="S990" s="333"/>
      <c r="T990" s="334"/>
      <c r="AT990" s="329" t="s">
        <v>155</v>
      </c>
      <c r="AU990" s="329" t="s">
        <v>83</v>
      </c>
      <c r="AV990" s="326" t="s">
        <v>81</v>
      </c>
      <c r="AW990" s="326" t="s">
        <v>34</v>
      </c>
      <c r="AX990" s="326" t="s">
        <v>76</v>
      </c>
      <c r="AY990" s="329" t="s">
        <v>146</v>
      </c>
    </row>
    <row r="991" spans="2:51" s="335" customFormat="1" ht="12">
      <c r="B991" s="336"/>
      <c r="D991" s="328" t="s">
        <v>155</v>
      </c>
      <c r="E991" s="337" t="s">
        <v>1</v>
      </c>
      <c r="F991" s="346" t="s">
        <v>3332</v>
      </c>
      <c r="G991" s="390"/>
      <c r="H991" s="392">
        <f>0.35*9</f>
        <v>3.15</v>
      </c>
      <c r="I991" s="498"/>
      <c r="L991" s="340"/>
      <c r="M991" s="341"/>
      <c r="N991" s="342"/>
      <c r="O991" s="342"/>
      <c r="P991" s="342"/>
      <c r="Q991" s="342"/>
      <c r="R991" s="342"/>
      <c r="S991" s="342"/>
      <c r="T991" s="343"/>
      <c r="AT991" s="337" t="s">
        <v>155</v>
      </c>
      <c r="AU991" s="337" t="s">
        <v>83</v>
      </c>
      <c r="AV991" s="335" t="s">
        <v>83</v>
      </c>
      <c r="AW991" s="335" t="s">
        <v>34</v>
      </c>
      <c r="AX991" s="335" t="s">
        <v>76</v>
      </c>
      <c r="AY991" s="337" t="s">
        <v>146</v>
      </c>
    </row>
    <row r="992" spans="1:65" s="225" customFormat="1" ht="24.2" customHeight="1">
      <c r="A992" s="222"/>
      <c r="B992" s="223"/>
      <c r="C992" s="314">
        <v>153</v>
      </c>
      <c r="D992" s="314" t="s">
        <v>148</v>
      </c>
      <c r="E992" s="315"/>
      <c r="F992" s="316" t="s">
        <v>2749</v>
      </c>
      <c r="G992" s="317" t="s">
        <v>158</v>
      </c>
      <c r="H992" s="318">
        <f>H994</f>
        <v>29.6</v>
      </c>
      <c r="I992" s="79"/>
      <c r="J992" s="319">
        <f>ROUND(I992*H992,2)</f>
        <v>0</v>
      </c>
      <c r="K992" s="316"/>
      <c r="L992" s="229"/>
      <c r="M992" s="320" t="s">
        <v>1</v>
      </c>
      <c r="N992" s="321" t="s">
        <v>42</v>
      </c>
      <c r="O992" s="322">
        <v>0.765</v>
      </c>
      <c r="P992" s="322">
        <f>O992*H992</f>
        <v>22.644000000000002</v>
      </c>
      <c r="Q992" s="322">
        <v>4.935E-06</v>
      </c>
      <c r="R992" s="322">
        <f>Q992*H992</f>
        <v>0.000146076</v>
      </c>
      <c r="S992" s="322">
        <v>0</v>
      </c>
      <c r="T992" s="323">
        <f>S992*H992</f>
        <v>0</v>
      </c>
      <c r="U992" s="222"/>
      <c r="V992" s="222"/>
      <c r="W992" s="222"/>
      <c r="X992" s="222"/>
      <c r="Y992" s="222"/>
      <c r="Z992" s="222"/>
      <c r="AA992" s="222"/>
      <c r="AB992" s="222"/>
      <c r="AC992" s="222"/>
      <c r="AD992" s="222"/>
      <c r="AE992" s="222"/>
      <c r="AR992" s="324" t="s">
        <v>153</v>
      </c>
      <c r="AT992" s="324" t="s">
        <v>148</v>
      </c>
      <c r="AU992" s="324" t="s">
        <v>83</v>
      </c>
      <c r="AY992" s="214" t="s">
        <v>146</v>
      </c>
      <c r="BE992" s="325">
        <f>IF(N992="základní",J992,0)</f>
        <v>0</v>
      </c>
      <c r="BF992" s="325">
        <f>IF(N992="snížená",J992,0)</f>
        <v>0</v>
      </c>
      <c r="BG992" s="325">
        <f>IF(N992="zákl. přenesená",J992,0)</f>
        <v>0</v>
      </c>
      <c r="BH992" s="325">
        <f>IF(N992="sníž. přenesená",J992,0)</f>
        <v>0</v>
      </c>
      <c r="BI992" s="325">
        <f>IF(N992="nulová",J992,0)</f>
        <v>0</v>
      </c>
      <c r="BJ992" s="214" t="s">
        <v>81</v>
      </c>
      <c r="BK992" s="325">
        <f>ROUND(I992*H992,2)</f>
        <v>0</v>
      </c>
      <c r="BL992" s="214" t="s">
        <v>153</v>
      </c>
      <c r="BM992" s="324" t="s">
        <v>709</v>
      </c>
    </row>
    <row r="993" spans="2:51" s="326" customFormat="1" ht="12">
      <c r="B993" s="327"/>
      <c r="D993" s="328" t="s">
        <v>155</v>
      </c>
      <c r="E993" s="329" t="s">
        <v>1</v>
      </c>
      <c r="F993" s="330" t="s">
        <v>585</v>
      </c>
      <c r="H993" s="329" t="s">
        <v>1</v>
      </c>
      <c r="I993" s="497"/>
      <c r="L993" s="331"/>
      <c r="M993" s="332"/>
      <c r="N993" s="333"/>
      <c r="O993" s="333"/>
      <c r="P993" s="333"/>
      <c r="Q993" s="333"/>
      <c r="R993" s="333"/>
      <c r="S993" s="333"/>
      <c r="T993" s="334"/>
      <c r="AT993" s="329" t="s">
        <v>155</v>
      </c>
      <c r="AU993" s="329" t="s">
        <v>83</v>
      </c>
      <c r="AV993" s="326" t="s">
        <v>81</v>
      </c>
      <c r="AW993" s="326" t="s">
        <v>34</v>
      </c>
      <c r="AX993" s="326" t="s">
        <v>76</v>
      </c>
      <c r="AY993" s="329" t="s">
        <v>146</v>
      </c>
    </row>
    <row r="994" spans="2:51" s="335" customFormat="1" ht="22.5">
      <c r="B994" s="336"/>
      <c r="D994" s="328" t="s">
        <v>155</v>
      </c>
      <c r="E994" s="337" t="s">
        <v>1</v>
      </c>
      <c r="F994" s="338" t="s">
        <v>2750</v>
      </c>
      <c r="H994" s="339">
        <f>3+1.5+3.5+2.5+1.1+(0.77+1.1+0.8+1.58+2.25+0.8+0.7+0.5*2)*2</f>
        <v>29.6</v>
      </c>
      <c r="I994" s="498"/>
      <c r="L994" s="340"/>
      <c r="M994" s="341"/>
      <c r="N994" s="342"/>
      <c r="O994" s="342"/>
      <c r="P994" s="342"/>
      <c r="Q994" s="342"/>
      <c r="R994" s="342"/>
      <c r="S994" s="342"/>
      <c r="T994" s="343"/>
      <c r="AT994" s="337" t="s">
        <v>155</v>
      </c>
      <c r="AU994" s="337" t="s">
        <v>83</v>
      </c>
      <c r="AV994" s="335" t="s">
        <v>83</v>
      </c>
      <c r="AW994" s="335" t="s">
        <v>34</v>
      </c>
      <c r="AX994" s="335" t="s">
        <v>76</v>
      </c>
      <c r="AY994" s="337" t="s">
        <v>146</v>
      </c>
    </row>
    <row r="995" spans="1:65" s="225" customFormat="1" ht="42.75" customHeight="1">
      <c r="A995" s="222"/>
      <c r="B995" s="223"/>
      <c r="C995" s="314">
        <v>154</v>
      </c>
      <c r="D995" s="314" t="s">
        <v>148</v>
      </c>
      <c r="E995" s="315"/>
      <c r="F995" s="316" t="s">
        <v>3335</v>
      </c>
      <c r="G995" s="317" t="s">
        <v>1361</v>
      </c>
      <c r="H995" s="318">
        <v>15</v>
      </c>
      <c r="I995" s="79"/>
      <c r="J995" s="319">
        <f>ROUND(I995*H995,2)</f>
        <v>0</v>
      </c>
      <c r="K995" s="316"/>
      <c r="L995" s="229"/>
      <c r="M995" s="320" t="s">
        <v>1</v>
      </c>
      <c r="N995" s="321" t="s">
        <v>42</v>
      </c>
      <c r="O995" s="322">
        <v>0.765</v>
      </c>
      <c r="P995" s="322">
        <f>O995*H995</f>
        <v>11.475</v>
      </c>
      <c r="Q995" s="322">
        <v>4.935E-06</v>
      </c>
      <c r="R995" s="322">
        <f>Q995*H995</f>
        <v>7.4025E-05</v>
      </c>
      <c r="S995" s="322">
        <v>0</v>
      </c>
      <c r="T995" s="323">
        <f>S995*H995</f>
        <v>0</v>
      </c>
      <c r="U995" s="222"/>
      <c r="V995" s="222"/>
      <c r="W995" s="222"/>
      <c r="X995" s="222"/>
      <c r="Y995" s="222"/>
      <c r="Z995" s="222"/>
      <c r="AA995" s="222"/>
      <c r="AB995" s="222"/>
      <c r="AC995" s="222"/>
      <c r="AD995" s="222"/>
      <c r="AE995" s="222"/>
      <c r="AR995" s="324" t="s">
        <v>153</v>
      </c>
      <c r="AT995" s="324" t="s">
        <v>148</v>
      </c>
      <c r="AU995" s="324" t="s">
        <v>83</v>
      </c>
      <c r="AY995" s="214" t="s">
        <v>146</v>
      </c>
      <c r="BE995" s="325">
        <f>IF(N995="základní",J995,0)</f>
        <v>0</v>
      </c>
      <c r="BF995" s="325">
        <f>IF(N995="snížená",J995,0)</f>
        <v>0</v>
      </c>
      <c r="BG995" s="325">
        <f>IF(N995="zákl. přenesená",J995,0)</f>
        <v>0</v>
      </c>
      <c r="BH995" s="325">
        <f>IF(N995="sníž. přenesená",J995,0)</f>
        <v>0</v>
      </c>
      <c r="BI995" s="325">
        <f>IF(N995="nulová",J995,0)</f>
        <v>0</v>
      </c>
      <c r="BJ995" s="214" t="s">
        <v>81</v>
      </c>
      <c r="BK995" s="325">
        <f>ROUND(I995*H995,2)</f>
        <v>0</v>
      </c>
      <c r="BL995" s="214" t="s">
        <v>153</v>
      </c>
      <c r="BM995" s="324" t="s">
        <v>709</v>
      </c>
    </row>
    <row r="996" spans="1:65" s="225" customFormat="1" ht="24.2" customHeight="1">
      <c r="A996" s="222"/>
      <c r="B996" s="223"/>
      <c r="C996" s="314">
        <v>155</v>
      </c>
      <c r="D996" s="314" t="s">
        <v>148</v>
      </c>
      <c r="E996" s="315"/>
      <c r="F996" s="316" t="s">
        <v>3336</v>
      </c>
      <c r="G996" s="317" t="s">
        <v>1361</v>
      </c>
      <c r="H996" s="318">
        <v>4</v>
      </c>
      <c r="I996" s="79"/>
      <c r="J996" s="319">
        <f aca="true" t="shared" si="10" ref="J996:J997">ROUND(I996*H996,2)</f>
        <v>0</v>
      </c>
      <c r="K996" s="316"/>
      <c r="L996" s="229"/>
      <c r="M996" s="320" t="s">
        <v>1</v>
      </c>
      <c r="N996" s="321" t="s">
        <v>42</v>
      </c>
      <c r="O996" s="322">
        <v>0.765</v>
      </c>
      <c r="P996" s="322">
        <f aca="true" t="shared" si="11" ref="P996:P997">O996*H996</f>
        <v>3.06</v>
      </c>
      <c r="Q996" s="322">
        <v>4.935E-06</v>
      </c>
      <c r="R996" s="322">
        <f aca="true" t="shared" si="12" ref="R996:R997">Q996*H996</f>
        <v>1.974E-05</v>
      </c>
      <c r="S996" s="322">
        <v>0</v>
      </c>
      <c r="T996" s="323">
        <f aca="true" t="shared" si="13" ref="T996:T997">S996*H996</f>
        <v>0</v>
      </c>
      <c r="U996" s="222"/>
      <c r="V996" s="222"/>
      <c r="W996" s="222"/>
      <c r="X996" s="222"/>
      <c r="Y996" s="222"/>
      <c r="Z996" s="222"/>
      <c r="AA996" s="222"/>
      <c r="AB996" s="222"/>
      <c r="AC996" s="222"/>
      <c r="AD996" s="222"/>
      <c r="AE996" s="222"/>
      <c r="AR996" s="324" t="s">
        <v>153</v>
      </c>
      <c r="AT996" s="324" t="s">
        <v>148</v>
      </c>
      <c r="AU996" s="324" t="s">
        <v>83</v>
      </c>
      <c r="AY996" s="214" t="s">
        <v>146</v>
      </c>
      <c r="BE996" s="325">
        <f aca="true" t="shared" si="14" ref="BE996:BE997">IF(N996="základní",J996,0)</f>
        <v>0</v>
      </c>
      <c r="BF996" s="325">
        <f aca="true" t="shared" si="15" ref="BF996:BF997">IF(N996="snížená",J996,0)</f>
        <v>0</v>
      </c>
      <c r="BG996" s="325">
        <f aca="true" t="shared" si="16" ref="BG996:BG997">IF(N996="zákl. přenesená",J996,0)</f>
        <v>0</v>
      </c>
      <c r="BH996" s="325">
        <f aca="true" t="shared" si="17" ref="BH996:BH997">IF(N996="sníž. přenesená",J996,0)</f>
        <v>0</v>
      </c>
      <c r="BI996" s="325">
        <f aca="true" t="shared" si="18" ref="BI996:BI997">IF(N996="nulová",J996,0)</f>
        <v>0</v>
      </c>
      <c r="BJ996" s="214" t="s">
        <v>81</v>
      </c>
      <c r="BK996" s="325">
        <f aca="true" t="shared" si="19" ref="BK996:BK997">ROUND(I996*H996,2)</f>
        <v>0</v>
      </c>
      <c r="BL996" s="214" t="s">
        <v>153</v>
      </c>
      <c r="BM996" s="324" t="s">
        <v>709</v>
      </c>
    </row>
    <row r="997" spans="1:65" s="225" customFormat="1" ht="24.2" customHeight="1">
      <c r="A997" s="222"/>
      <c r="B997" s="223"/>
      <c r="C997" s="314">
        <v>156</v>
      </c>
      <c r="D997" s="314" t="s">
        <v>148</v>
      </c>
      <c r="E997" s="315"/>
      <c r="F997" s="316" t="s">
        <v>3337</v>
      </c>
      <c r="G997" s="317" t="s">
        <v>1361</v>
      </c>
      <c r="H997" s="318">
        <v>2</v>
      </c>
      <c r="I997" s="79"/>
      <c r="J997" s="319">
        <f t="shared" si="10"/>
        <v>0</v>
      </c>
      <c r="K997" s="316"/>
      <c r="L997" s="229"/>
      <c r="M997" s="320" t="s">
        <v>1</v>
      </c>
      <c r="N997" s="321" t="s">
        <v>42</v>
      </c>
      <c r="O997" s="322">
        <v>0.765</v>
      </c>
      <c r="P997" s="322">
        <f t="shared" si="11"/>
        <v>1.53</v>
      </c>
      <c r="Q997" s="322">
        <v>4.935E-06</v>
      </c>
      <c r="R997" s="322">
        <f t="shared" si="12"/>
        <v>9.87E-06</v>
      </c>
      <c r="S997" s="322">
        <v>0</v>
      </c>
      <c r="T997" s="323">
        <f t="shared" si="13"/>
        <v>0</v>
      </c>
      <c r="U997" s="222"/>
      <c r="V997" s="222"/>
      <c r="W997" s="222"/>
      <c r="X997" s="222"/>
      <c r="Y997" s="222"/>
      <c r="Z997" s="222"/>
      <c r="AA997" s="222"/>
      <c r="AB997" s="222"/>
      <c r="AC997" s="222"/>
      <c r="AD997" s="222"/>
      <c r="AE997" s="222"/>
      <c r="AR997" s="324" t="s">
        <v>153</v>
      </c>
      <c r="AT997" s="324" t="s">
        <v>148</v>
      </c>
      <c r="AU997" s="324" t="s">
        <v>83</v>
      </c>
      <c r="AY997" s="214" t="s">
        <v>146</v>
      </c>
      <c r="BE997" s="325">
        <f t="shared" si="14"/>
        <v>0</v>
      </c>
      <c r="BF997" s="325">
        <f t="shared" si="15"/>
        <v>0</v>
      </c>
      <c r="BG997" s="325">
        <f t="shared" si="16"/>
        <v>0</v>
      </c>
      <c r="BH997" s="325">
        <f t="shared" si="17"/>
        <v>0</v>
      </c>
      <c r="BI997" s="325">
        <f t="shared" si="18"/>
        <v>0</v>
      </c>
      <c r="BJ997" s="214" t="s">
        <v>81</v>
      </c>
      <c r="BK997" s="325">
        <f t="shared" si="19"/>
        <v>0</v>
      </c>
      <c r="BL997" s="214" t="s">
        <v>153</v>
      </c>
      <c r="BM997" s="324" t="s">
        <v>709</v>
      </c>
    </row>
    <row r="998" spans="1:65" s="225" customFormat="1" ht="65.25" customHeight="1">
      <c r="A998" s="222"/>
      <c r="B998" s="223"/>
      <c r="C998" s="314">
        <v>157</v>
      </c>
      <c r="D998" s="314" t="s">
        <v>148</v>
      </c>
      <c r="E998" s="315"/>
      <c r="F998" s="316" t="s">
        <v>3338</v>
      </c>
      <c r="G998" s="317" t="s">
        <v>1361</v>
      </c>
      <c r="H998" s="318">
        <v>10</v>
      </c>
      <c r="I998" s="79"/>
      <c r="J998" s="319">
        <f>ROUND(I998*H998,2)</f>
        <v>0</v>
      </c>
      <c r="K998" s="316"/>
      <c r="L998" s="229"/>
      <c r="M998" s="320" t="s">
        <v>1</v>
      </c>
      <c r="N998" s="321" t="s">
        <v>42</v>
      </c>
      <c r="O998" s="322">
        <v>0.765</v>
      </c>
      <c r="P998" s="322">
        <f>O998*H998</f>
        <v>7.65</v>
      </c>
      <c r="Q998" s="322">
        <v>4.935E-06</v>
      </c>
      <c r="R998" s="322">
        <f>Q998*H998</f>
        <v>4.935E-05</v>
      </c>
      <c r="S998" s="322">
        <v>0</v>
      </c>
      <c r="T998" s="323">
        <f>S998*H998</f>
        <v>0</v>
      </c>
      <c r="U998" s="222"/>
      <c r="V998" s="222"/>
      <c r="W998" s="222"/>
      <c r="X998" s="222"/>
      <c r="Y998" s="222"/>
      <c r="Z998" s="222"/>
      <c r="AA998" s="222"/>
      <c r="AB998" s="222"/>
      <c r="AC998" s="222"/>
      <c r="AD998" s="222"/>
      <c r="AE998" s="222"/>
      <c r="AR998" s="324" t="s">
        <v>153</v>
      </c>
      <c r="AT998" s="324" t="s">
        <v>148</v>
      </c>
      <c r="AU998" s="324" t="s">
        <v>83</v>
      </c>
      <c r="AY998" s="214" t="s">
        <v>146</v>
      </c>
      <c r="BE998" s="325">
        <f>IF(N998="základní",J998,0)</f>
        <v>0</v>
      </c>
      <c r="BF998" s="325">
        <f>IF(N998="snížená",J998,0)</f>
        <v>0</v>
      </c>
      <c r="BG998" s="325">
        <f>IF(N998="zákl. přenesená",J998,0)</f>
        <v>0</v>
      </c>
      <c r="BH998" s="325">
        <f>IF(N998="sníž. přenesená",J998,0)</f>
        <v>0</v>
      </c>
      <c r="BI998" s="325">
        <f>IF(N998="nulová",J998,0)</f>
        <v>0</v>
      </c>
      <c r="BJ998" s="214" t="s">
        <v>81</v>
      </c>
      <c r="BK998" s="325">
        <f>ROUND(I998*H998,2)</f>
        <v>0</v>
      </c>
      <c r="BL998" s="214" t="s">
        <v>153</v>
      </c>
      <c r="BM998" s="324" t="s">
        <v>709</v>
      </c>
    </row>
    <row r="999" spans="1:65" s="225" customFormat="1" ht="65.25" customHeight="1">
      <c r="A999" s="222"/>
      <c r="B999" s="223"/>
      <c r="C999" s="314">
        <v>158</v>
      </c>
      <c r="D999" s="314" t="s">
        <v>148</v>
      </c>
      <c r="E999" s="315"/>
      <c r="F999" s="316" t="s">
        <v>3339</v>
      </c>
      <c r="G999" s="317" t="s">
        <v>1361</v>
      </c>
      <c r="H999" s="318">
        <v>16</v>
      </c>
      <c r="I999" s="79"/>
      <c r="J999" s="319">
        <f>ROUND(I999*H999,2)</f>
        <v>0</v>
      </c>
      <c r="K999" s="316"/>
      <c r="L999" s="229"/>
      <c r="M999" s="320" t="s">
        <v>1</v>
      </c>
      <c r="N999" s="321" t="s">
        <v>42</v>
      </c>
      <c r="O999" s="322">
        <v>0.765</v>
      </c>
      <c r="P999" s="322">
        <f>O999*H999</f>
        <v>12.24</v>
      </c>
      <c r="Q999" s="322">
        <v>4.935E-06</v>
      </c>
      <c r="R999" s="322">
        <f>Q999*H999</f>
        <v>7.896E-05</v>
      </c>
      <c r="S999" s="322">
        <v>0</v>
      </c>
      <c r="T999" s="323">
        <f>S999*H999</f>
        <v>0</v>
      </c>
      <c r="U999" s="222"/>
      <c r="V999" s="222"/>
      <c r="W999" s="222"/>
      <c r="X999" s="222"/>
      <c r="Y999" s="222"/>
      <c r="Z999" s="222"/>
      <c r="AA999" s="222"/>
      <c r="AB999" s="222"/>
      <c r="AC999" s="222"/>
      <c r="AD999" s="222"/>
      <c r="AE999" s="222"/>
      <c r="AR999" s="324" t="s">
        <v>153</v>
      </c>
      <c r="AT999" s="324" t="s">
        <v>148</v>
      </c>
      <c r="AU999" s="324" t="s">
        <v>83</v>
      </c>
      <c r="AY999" s="214" t="s">
        <v>146</v>
      </c>
      <c r="BE999" s="325">
        <f>IF(N999="základní",J999,0)</f>
        <v>0</v>
      </c>
      <c r="BF999" s="325">
        <f>IF(N999="snížená",J999,0)</f>
        <v>0</v>
      </c>
      <c r="BG999" s="325">
        <f>IF(N999="zákl. přenesená",J999,0)</f>
        <v>0</v>
      </c>
      <c r="BH999" s="325">
        <f>IF(N999="sníž. přenesená",J999,0)</f>
        <v>0</v>
      </c>
      <c r="BI999" s="325">
        <f>IF(N999="nulová",J999,0)</f>
        <v>0</v>
      </c>
      <c r="BJ999" s="214" t="s">
        <v>81</v>
      </c>
      <c r="BK999" s="325">
        <f>ROUND(I999*H999,2)</f>
        <v>0</v>
      </c>
      <c r="BL999" s="214" t="s">
        <v>153</v>
      </c>
      <c r="BM999" s="324" t="s">
        <v>709</v>
      </c>
    </row>
    <row r="1000" spans="1:65" s="225" customFormat="1" ht="81.75" customHeight="1">
      <c r="A1000" s="222"/>
      <c r="B1000" s="223"/>
      <c r="C1000" s="314">
        <v>159</v>
      </c>
      <c r="D1000" s="314" t="s">
        <v>148</v>
      </c>
      <c r="E1000" s="315"/>
      <c r="F1000" s="316" t="s">
        <v>3713</v>
      </c>
      <c r="G1000" s="317" t="s">
        <v>158</v>
      </c>
      <c r="H1000" s="318">
        <f>(21+38)*2</f>
        <v>118</v>
      </c>
      <c r="I1000" s="79"/>
      <c r="J1000" s="319">
        <f>ROUND(I1000*H1000,2)</f>
        <v>0</v>
      </c>
      <c r="K1000" s="316"/>
      <c r="L1000" s="229"/>
      <c r="M1000" s="320" t="s">
        <v>1</v>
      </c>
      <c r="N1000" s="321" t="s">
        <v>42</v>
      </c>
      <c r="O1000" s="322">
        <v>0.765</v>
      </c>
      <c r="P1000" s="322">
        <f>O1000*H1000</f>
        <v>90.27</v>
      </c>
      <c r="Q1000" s="322">
        <v>4.935E-06</v>
      </c>
      <c r="R1000" s="322">
        <f>Q1000*H1000</f>
        <v>0.00058233</v>
      </c>
      <c r="S1000" s="322">
        <v>0</v>
      </c>
      <c r="T1000" s="323">
        <f>S1000*H1000</f>
        <v>0</v>
      </c>
      <c r="U1000" s="222"/>
      <c r="V1000" s="222"/>
      <c r="W1000" s="222"/>
      <c r="X1000" s="222"/>
      <c r="Y1000" s="222"/>
      <c r="Z1000" s="222"/>
      <c r="AA1000" s="222"/>
      <c r="AB1000" s="222"/>
      <c r="AC1000" s="222"/>
      <c r="AD1000" s="222"/>
      <c r="AE1000" s="222"/>
      <c r="AR1000" s="324" t="s">
        <v>153</v>
      </c>
      <c r="AT1000" s="324" t="s">
        <v>148</v>
      </c>
      <c r="AU1000" s="324" t="s">
        <v>83</v>
      </c>
      <c r="AY1000" s="214" t="s">
        <v>146</v>
      </c>
      <c r="BE1000" s="325">
        <f>IF(N1000="základní",J1000,0)</f>
        <v>0</v>
      </c>
      <c r="BF1000" s="325">
        <f>IF(N1000="snížená",J1000,0)</f>
        <v>0</v>
      </c>
      <c r="BG1000" s="325">
        <f>IF(N1000="zákl. přenesená",J1000,0)</f>
        <v>0</v>
      </c>
      <c r="BH1000" s="325">
        <f>IF(N1000="sníž. přenesená",J1000,0)</f>
        <v>0</v>
      </c>
      <c r="BI1000" s="325">
        <f>IF(N1000="nulová",J1000,0)</f>
        <v>0</v>
      </c>
      <c r="BJ1000" s="214" t="s">
        <v>81</v>
      </c>
      <c r="BK1000" s="325">
        <f>ROUND(I1000*H1000,2)</f>
        <v>0</v>
      </c>
      <c r="BL1000" s="214" t="s">
        <v>153</v>
      </c>
      <c r="BM1000" s="324" t="s">
        <v>709</v>
      </c>
    </row>
    <row r="1001" spans="2:63" s="297" customFormat="1" ht="22.9" customHeight="1">
      <c r="B1001" s="298"/>
      <c r="D1001" s="299" t="s">
        <v>75</v>
      </c>
      <c r="E1001" s="310" t="s">
        <v>710</v>
      </c>
      <c r="F1001" s="310" t="s">
        <v>711</v>
      </c>
      <c r="I1001" s="501"/>
      <c r="J1001" s="311">
        <f>SUM(J1002:J1024)</f>
        <v>0</v>
      </c>
      <c r="L1001" s="302"/>
      <c r="M1001" s="303"/>
      <c r="N1001" s="304"/>
      <c r="O1001" s="304"/>
      <c r="P1001" s="305">
        <f>SUM(P1002:P1021)</f>
        <v>1737.3644032718746</v>
      </c>
      <c r="Q1001" s="304"/>
      <c r="R1001" s="305">
        <f>SUM(R1002:R1021)</f>
        <v>0</v>
      </c>
      <c r="S1001" s="304"/>
      <c r="T1001" s="313">
        <f>SUM(T1002:T1021)</f>
        <v>0</v>
      </c>
      <c r="AR1001" s="299" t="s">
        <v>81</v>
      </c>
      <c r="AT1001" s="308" t="s">
        <v>75</v>
      </c>
      <c r="AU1001" s="308" t="s">
        <v>81</v>
      </c>
      <c r="AY1001" s="299" t="s">
        <v>146</v>
      </c>
      <c r="BK1001" s="309">
        <f>SUM(BK1002:BK1021)</f>
        <v>0</v>
      </c>
    </row>
    <row r="1002" spans="1:65" s="225" customFormat="1" ht="24.2" customHeight="1">
      <c r="A1002" s="222"/>
      <c r="B1002" s="223"/>
      <c r="C1002" s="314">
        <v>160</v>
      </c>
      <c r="D1002" s="314" t="s">
        <v>148</v>
      </c>
      <c r="E1002" s="397" t="s">
        <v>712</v>
      </c>
      <c r="F1002" s="344" t="s">
        <v>713</v>
      </c>
      <c r="G1002" s="317" t="s">
        <v>194</v>
      </c>
      <c r="H1002" s="400">
        <f>H1003</f>
        <v>397.11186360499994</v>
      </c>
      <c r="I1002" s="79"/>
      <c r="J1002" s="319">
        <f>ROUND(I1002*H1002,2)</f>
        <v>0</v>
      </c>
      <c r="K1002" s="316"/>
      <c r="L1002" s="229"/>
      <c r="M1002" s="320" t="s">
        <v>1</v>
      </c>
      <c r="N1002" s="321" t="s">
        <v>42</v>
      </c>
      <c r="O1002" s="322">
        <v>4.25</v>
      </c>
      <c r="P1002" s="322">
        <f>O1002*H1002</f>
        <v>1687.7254203212497</v>
      </c>
      <c r="Q1002" s="322">
        <v>0</v>
      </c>
      <c r="R1002" s="322">
        <f>Q1002*H1002</f>
        <v>0</v>
      </c>
      <c r="S1002" s="322">
        <v>0</v>
      </c>
      <c r="T1002" s="323">
        <f>S1002*H1002</f>
        <v>0</v>
      </c>
      <c r="U1002" s="222"/>
      <c r="V1002" s="222"/>
      <c r="W1002" s="222"/>
      <c r="X1002" s="222"/>
      <c r="Y1002" s="222"/>
      <c r="Z1002" s="222"/>
      <c r="AA1002" s="222"/>
      <c r="AB1002" s="222"/>
      <c r="AC1002" s="222"/>
      <c r="AD1002" s="222"/>
      <c r="AE1002" s="222"/>
      <c r="AR1002" s="324" t="s">
        <v>153</v>
      </c>
      <c r="AT1002" s="324" t="s">
        <v>148</v>
      </c>
      <c r="AU1002" s="324" t="s">
        <v>83</v>
      </c>
      <c r="AY1002" s="214" t="s">
        <v>146</v>
      </c>
      <c r="BE1002" s="325">
        <f>IF(N1002="základní",J1002,0)</f>
        <v>0</v>
      </c>
      <c r="BF1002" s="325">
        <f>IF(N1002="snížená",J1002,0)</f>
        <v>0</v>
      </c>
      <c r="BG1002" s="325">
        <f>IF(N1002="zákl. přenesená",J1002,0)</f>
        <v>0</v>
      </c>
      <c r="BH1002" s="325">
        <f>IF(N1002="sníž. přenesená",J1002,0)</f>
        <v>0</v>
      </c>
      <c r="BI1002" s="325">
        <f>IF(N1002="nulová",J1002,0)</f>
        <v>0</v>
      </c>
      <c r="BJ1002" s="214" t="s">
        <v>81</v>
      </c>
      <c r="BK1002" s="325">
        <f>ROUND(I1002*H1002,2)</f>
        <v>0</v>
      </c>
      <c r="BL1002" s="214" t="s">
        <v>153</v>
      </c>
      <c r="BM1002" s="324" t="s">
        <v>714</v>
      </c>
    </row>
    <row r="1003" spans="1:65" s="225" customFormat="1" ht="21.75" customHeight="1">
      <c r="A1003" s="222"/>
      <c r="B1003" s="223"/>
      <c r="C1003" s="314">
        <v>161</v>
      </c>
      <c r="D1003" s="314" t="s">
        <v>148</v>
      </c>
      <c r="E1003" s="315"/>
      <c r="F1003" s="316" t="s">
        <v>3659</v>
      </c>
      <c r="G1003" s="317" t="s">
        <v>194</v>
      </c>
      <c r="H1003" s="400">
        <f>SUM(H1004,H1006,H1008,H1010,H1012,H1014,H1016,H1018,H1020,H1022,H1024)</f>
        <v>397.11186360499994</v>
      </c>
      <c r="I1003" s="79"/>
      <c r="J1003" s="319">
        <f>ROUND(I1003*H1003,2)</f>
        <v>0</v>
      </c>
      <c r="K1003" s="316"/>
      <c r="L1003" s="229"/>
      <c r="M1003" s="320" t="s">
        <v>1</v>
      </c>
      <c r="N1003" s="321" t="s">
        <v>42</v>
      </c>
      <c r="O1003" s="322">
        <v>0.125</v>
      </c>
      <c r="P1003" s="322">
        <f>O1003*H1003</f>
        <v>49.63898295062499</v>
      </c>
      <c r="Q1003" s="322">
        <v>0</v>
      </c>
      <c r="R1003" s="322">
        <f>Q1003*H1003</f>
        <v>0</v>
      </c>
      <c r="S1003" s="322">
        <v>0</v>
      </c>
      <c r="T1003" s="323">
        <f>S1003*H1003</f>
        <v>0</v>
      </c>
      <c r="U1003" s="222"/>
      <c r="V1003" s="222"/>
      <c r="W1003" s="222"/>
      <c r="X1003" s="222"/>
      <c r="Y1003" s="222"/>
      <c r="Z1003" s="222"/>
      <c r="AA1003" s="222"/>
      <c r="AB1003" s="222"/>
      <c r="AC1003" s="222"/>
      <c r="AD1003" s="222"/>
      <c r="AE1003" s="222"/>
      <c r="AR1003" s="324" t="s">
        <v>153</v>
      </c>
      <c r="AT1003" s="324" t="s">
        <v>148</v>
      </c>
      <c r="AU1003" s="324" t="s">
        <v>83</v>
      </c>
      <c r="AY1003" s="214" t="s">
        <v>146</v>
      </c>
      <c r="BE1003" s="325">
        <f>IF(N1003="základní",J1003,0)</f>
        <v>0</v>
      </c>
      <c r="BF1003" s="325">
        <f>IF(N1003="snížená",J1003,0)</f>
        <v>0</v>
      </c>
      <c r="BG1003" s="325">
        <f>IF(N1003="zákl. přenesená",J1003,0)</f>
        <v>0</v>
      </c>
      <c r="BH1003" s="325">
        <f>IF(N1003="sníž. přenesená",J1003,0)</f>
        <v>0</v>
      </c>
      <c r="BI1003" s="325">
        <f>IF(N1003="nulová",J1003,0)</f>
        <v>0</v>
      </c>
      <c r="BJ1003" s="214" t="s">
        <v>81</v>
      </c>
      <c r="BK1003" s="325">
        <f>ROUND(I1003*H1003,2)</f>
        <v>0</v>
      </c>
      <c r="BL1003" s="214" t="s">
        <v>153</v>
      </c>
      <c r="BM1003" s="324" t="s">
        <v>715</v>
      </c>
    </row>
    <row r="1004" spans="1:65" s="225" customFormat="1" ht="33" customHeight="1">
      <c r="A1004" s="222"/>
      <c r="B1004" s="223"/>
      <c r="C1004" s="314">
        <v>162</v>
      </c>
      <c r="D1004" s="314" t="s">
        <v>148</v>
      </c>
      <c r="E1004" s="315" t="s">
        <v>716</v>
      </c>
      <c r="F1004" s="428" t="s">
        <v>717</v>
      </c>
      <c r="G1004" s="317" t="s">
        <v>194</v>
      </c>
      <c r="H1004" s="400">
        <f>H1005</f>
        <v>102.54602999999999</v>
      </c>
      <c r="I1004" s="79"/>
      <c r="J1004" s="319">
        <f>ROUND(I1004*H1004,2)</f>
        <v>0</v>
      </c>
      <c r="K1004" s="316"/>
      <c r="L1004" s="229"/>
      <c r="M1004" s="320" t="s">
        <v>1</v>
      </c>
      <c r="N1004" s="321" t="s">
        <v>42</v>
      </c>
      <c r="O1004" s="322">
        <v>0</v>
      </c>
      <c r="P1004" s="322">
        <f>O1004*H1004</f>
        <v>0</v>
      </c>
      <c r="Q1004" s="322">
        <v>0</v>
      </c>
      <c r="R1004" s="322">
        <f>Q1004*H1004</f>
        <v>0</v>
      </c>
      <c r="S1004" s="322">
        <v>0</v>
      </c>
      <c r="T1004" s="323">
        <f>S1004*H1004</f>
        <v>0</v>
      </c>
      <c r="U1004" s="222"/>
      <c r="V1004" s="222"/>
      <c r="W1004" s="222"/>
      <c r="X1004" s="222"/>
      <c r="Y1004" s="222"/>
      <c r="Z1004" s="222"/>
      <c r="AA1004" s="222"/>
      <c r="AB1004" s="222"/>
      <c r="AC1004" s="222"/>
      <c r="AD1004" s="222"/>
      <c r="AE1004" s="222"/>
      <c r="AR1004" s="324" t="s">
        <v>153</v>
      </c>
      <c r="AT1004" s="324" t="s">
        <v>148</v>
      </c>
      <c r="AU1004" s="324" t="s">
        <v>83</v>
      </c>
      <c r="AY1004" s="214" t="s">
        <v>146</v>
      </c>
      <c r="BE1004" s="325">
        <f>IF(N1004="základní",J1004,0)</f>
        <v>0</v>
      </c>
      <c r="BF1004" s="325">
        <f>IF(N1004="snížená",J1004,0)</f>
        <v>0</v>
      </c>
      <c r="BG1004" s="325">
        <f>IF(N1004="zákl. přenesená",J1004,0)</f>
        <v>0</v>
      </c>
      <c r="BH1004" s="325">
        <f>IF(N1004="sníž. přenesená",J1004,0)</f>
        <v>0</v>
      </c>
      <c r="BI1004" s="325">
        <f>IF(N1004="nulová",J1004,0)</f>
        <v>0</v>
      </c>
      <c r="BJ1004" s="214" t="s">
        <v>81</v>
      </c>
      <c r="BK1004" s="325">
        <f>ROUND(I1004*H1004,2)</f>
        <v>0</v>
      </c>
      <c r="BL1004" s="214" t="s">
        <v>153</v>
      </c>
      <c r="BM1004" s="324" t="s">
        <v>718</v>
      </c>
    </row>
    <row r="1005" spans="2:51" s="335" customFormat="1" ht="12">
      <c r="B1005" s="336"/>
      <c r="D1005" s="328" t="s">
        <v>155</v>
      </c>
      <c r="E1005" s="337" t="s">
        <v>1</v>
      </c>
      <c r="F1005" s="338"/>
      <c r="H1005" s="392">
        <f>SUM(T833,T866,T881,T883)</f>
        <v>102.54602999999999</v>
      </c>
      <c r="I1005" s="498"/>
      <c r="L1005" s="340"/>
      <c r="M1005" s="341"/>
      <c r="N1005" s="342"/>
      <c r="O1005" s="342"/>
      <c r="P1005" s="342"/>
      <c r="Q1005" s="342"/>
      <c r="R1005" s="342"/>
      <c r="S1005" s="342"/>
      <c r="T1005" s="343"/>
      <c r="AT1005" s="337" t="s">
        <v>155</v>
      </c>
      <c r="AU1005" s="337" t="s">
        <v>83</v>
      </c>
      <c r="AV1005" s="335" t="s">
        <v>83</v>
      </c>
      <c r="AW1005" s="335" t="s">
        <v>34</v>
      </c>
      <c r="AX1005" s="335" t="s">
        <v>81</v>
      </c>
      <c r="AY1005" s="337" t="s">
        <v>146</v>
      </c>
    </row>
    <row r="1006" spans="1:65" s="225" customFormat="1" ht="37.9" customHeight="1">
      <c r="A1006" s="222"/>
      <c r="B1006" s="223"/>
      <c r="C1006" s="314">
        <v>163</v>
      </c>
      <c r="D1006" s="314" t="s">
        <v>148</v>
      </c>
      <c r="E1006" s="315" t="s">
        <v>719</v>
      </c>
      <c r="F1006" s="429" t="s">
        <v>720</v>
      </c>
      <c r="G1006" s="317" t="s">
        <v>194</v>
      </c>
      <c r="H1006" s="400">
        <f>H1007</f>
        <v>1.7044499999999998</v>
      </c>
      <c r="I1006" s="79"/>
      <c r="J1006" s="319">
        <f>ROUND(I1006*H1006,2)</f>
        <v>0</v>
      </c>
      <c r="K1006" s="316"/>
      <c r="L1006" s="229"/>
      <c r="M1006" s="320" t="s">
        <v>1</v>
      </c>
      <c r="N1006" s="321" t="s">
        <v>42</v>
      </c>
      <c r="O1006" s="322">
        <v>0</v>
      </c>
      <c r="P1006" s="322">
        <f>O1006*H1006</f>
        <v>0</v>
      </c>
      <c r="Q1006" s="322">
        <v>0</v>
      </c>
      <c r="R1006" s="322">
        <f>Q1006*H1006</f>
        <v>0</v>
      </c>
      <c r="S1006" s="322">
        <v>0</v>
      </c>
      <c r="T1006" s="323">
        <f>S1006*H1006</f>
        <v>0</v>
      </c>
      <c r="U1006" s="222"/>
      <c r="V1006" s="222"/>
      <c r="W1006" s="222"/>
      <c r="X1006" s="222"/>
      <c r="Y1006" s="222"/>
      <c r="Z1006" s="222"/>
      <c r="AA1006" s="222"/>
      <c r="AB1006" s="222"/>
      <c r="AC1006" s="222"/>
      <c r="AD1006" s="222"/>
      <c r="AE1006" s="222"/>
      <c r="AR1006" s="324" t="s">
        <v>153</v>
      </c>
      <c r="AT1006" s="324" t="s">
        <v>148</v>
      </c>
      <c r="AU1006" s="324" t="s">
        <v>83</v>
      </c>
      <c r="AY1006" s="214" t="s">
        <v>146</v>
      </c>
      <c r="BE1006" s="325">
        <f>IF(N1006="základní",J1006,0)</f>
        <v>0</v>
      </c>
      <c r="BF1006" s="325">
        <f>IF(N1006="snížená",J1006,0)</f>
        <v>0</v>
      </c>
      <c r="BG1006" s="325">
        <f>IF(N1006="zákl. přenesená",J1006,0)</f>
        <v>0</v>
      </c>
      <c r="BH1006" s="325">
        <f>IF(N1006="sníž. přenesená",J1006,0)</f>
        <v>0</v>
      </c>
      <c r="BI1006" s="325">
        <f>IF(N1006="nulová",J1006,0)</f>
        <v>0</v>
      </c>
      <c r="BJ1006" s="214" t="s">
        <v>81</v>
      </c>
      <c r="BK1006" s="325">
        <f>ROUND(I1006*H1006,2)</f>
        <v>0</v>
      </c>
      <c r="BL1006" s="214" t="s">
        <v>153</v>
      </c>
      <c r="BM1006" s="324" t="s">
        <v>721</v>
      </c>
    </row>
    <row r="1007" spans="2:51" s="335" customFormat="1" ht="12">
      <c r="B1007" s="336"/>
      <c r="D1007" s="328" t="s">
        <v>155</v>
      </c>
      <c r="E1007" s="337" t="s">
        <v>1</v>
      </c>
      <c r="F1007" s="338"/>
      <c r="H1007" s="392">
        <f>SUM(T859,T862,T977,T988)</f>
        <v>1.7044499999999998</v>
      </c>
      <c r="I1007" s="498"/>
      <c r="L1007" s="340"/>
      <c r="M1007" s="341"/>
      <c r="N1007" s="342"/>
      <c r="O1007" s="342"/>
      <c r="P1007" s="342"/>
      <c r="Q1007" s="342"/>
      <c r="R1007" s="342"/>
      <c r="S1007" s="342"/>
      <c r="T1007" s="343"/>
      <c r="AT1007" s="337" t="s">
        <v>155</v>
      </c>
      <c r="AU1007" s="337" t="s">
        <v>83</v>
      </c>
      <c r="AV1007" s="335" t="s">
        <v>83</v>
      </c>
      <c r="AW1007" s="335" t="s">
        <v>34</v>
      </c>
      <c r="AX1007" s="335" t="s">
        <v>81</v>
      </c>
      <c r="AY1007" s="337" t="s">
        <v>146</v>
      </c>
    </row>
    <row r="1008" spans="1:65" s="225" customFormat="1" ht="33" customHeight="1">
      <c r="A1008" s="222"/>
      <c r="B1008" s="223"/>
      <c r="C1008" s="314">
        <v>164</v>
      </c>
      <c r="D1008" s="314" t="s">
        <v>148</v>
      </c>
      <c r="E1008" s="315" t="s">
        <v>722</v>
      </c>
      <c r="F1008" s="430" t="s">
        <v>723</v>
      </c>
      <c r="G1008" s="317" t="s">
        <v>194</v>
      </c>
      <c r="H1008" s="400">
        <f>H1009</f>
        <v>40.8094696</v>
      </c>
      <c r="I1008" s="79"/>
      <c r="J1008" s="319">
        <f>ROUND(I1008*H1008,2)</f>
        <v>0</v>
      </c>
      <c r="K1008" s="316"/>
      <c r="L1008" s="229"/>
      <c r="M1008" s="320" t="s">
        <v>1</v>
      </c>
      <c r="N1008" s="321" t="s">
        <v>42</v>
      </c>
      <c r="O1008" s="322">
        <v>0</v>
      </c>
      <c r="P1008" s="322">
        <f>O1008*H1008</f>
        <v>0</v>
      </c>
      <c r="Q1008" s="322">
        <v>0</v>
      </c>
      <c r="R1008" s="322">
        <f>Q1008*H1008</f>
        <v>0</v>
      </c>
      <c r="S1008" s="322">
        <v>0</v>
      </c>
      <c r="T1008" s="323">
        <f>S1008*H1008</f>
        <v>0</v>
      </c>
      <c r="U1008" s="222"/>
      <c r="V1008" s="222"/>
      <c r="W1008" s="222"/>
      <c r="X1008" s="222"/>
      <c r="Y1008" s="222"/>
      <c r="Z1008" s="222"/>
      <c r="AA1008" s="222"/>
      <c r="AB1008" s="222"/>
      <c r="AC1008" s="222"/>
      <c r="AD1008" s="222"/>
      <c r="AE1008" s="222"/>
      <c r="AR1008" s="324" t="s">
        <v>153</v>
      </c>
      <c r="AT1008" s="324" t="s">
        <v>148</v>
      </c>
      <c r="AU1008" s="324" t="s">
        <v>83</v>
      </c>
      <c r="AY1008" s="214" t="s">
        <v>146</v>
      </c>
      <c r="BE1008" s="325">
        <f>IF(N1008="základní",J1008,0)</f>
        <v>0</v>
      </c>
      <c r="BF1008" s="325">
        <f>IF(N1008="snížená",J1008,0)</f>
        <v>0</v>
      </c>
      <c r="BG1008" s="325">
        <f>IF(N1008="zákl. přenesená",J1008,0)</f>
        <v>0</v>
      </c>
      <c r="BH1008" s="325">
        <f>IF(N1008="sníž. přenesená",J1008,0)</f>
        <v>0</v>
      </c>
      <c r="BI1008" s="325">
        <f>IF(N1008="nulová",J1008,0)</f>
        <v>0</v>
      </c>
      <c r="BJ1008" s="214" t="s">
        <v>81</v>
      </c>
      <c r="BK1008" s="325">
        <f>ROUND(I1008*H1008,2)</f>
        <v>0</v>
      </c>
      <c r="BL1008" s="214" t="s">
        <v>153</v>
      </c>
      <c r="BM1008" s="324" t="s">
        <v>724</v>
      </c>
    </row>
    <row r="1009" spans="2:51" s="335" customFormat="1" ht="12">
      <c r="B1009" s="336"/>
      <c r="D1009" s="328" t="s">
        <v>155</v>
      </c>
      <c r="E1009" s="337" t="s">
        <v>1</v>
      </c>
      <c r="F1009" s="338"/>
      <c r="H1009" s="392">
        <f>SUM(T839,T853,T897,T904,T908,T914,T918,T921,T938,T949,T955,T958,T965)</f>
        <v>40.8094696</v>
      </c>
      <c r="I1009" s="498"/>
      <c r="L1009" s="340"/>
      <c r="M1009" s="341"/>
      <c r="N1009" s="342"/>
      <c r="O1009" s="342"/>
      <c r="P1009" s="342"/>
      <c r="Q1009" s="342"/>
      <c r="R1009" s="342"/>
      <c r="S1009" s="342"/>
      <c r="T1009" s="343"/>
      <c r="AT1009" s="337" t="s">
        <v>155</v>
      </c>
      <c r="AU1009" s="337" t="s">
        <v>83</v>
      </c>
      <c r="AV1009" s="335" t="s">
        <v>83</v>
      </c>
      <c r="AW1009" s="335" t="s">
        <v>34</v>
      </c>
      <c r="AX1009" s="335" t="s">
        <v>81</v>
      </c>
      <c r="AY1009" s="337" t="s">
        <v>146</v>
      </c>
    </row>
    <row r="1010" spans="1:65" s="225" customFormat="1" ht="33" customHeight="1">
      <c r="A1010" s="222"/>
      <c r="B1010" s="223"/>
      <c r="C1010" s="314">
        <v>165</v>
      </c>
      <c r="D1010" s="314" t="s">
        <v>148</v>
      </c>
      <c r="E1010" s="315" t="s">
        <v>725</v>
      </c>
      <c r="F1010" s="431" t="s">
        <v>726</v>
      </c>
      <c r="G1010" s="317" t="s">
        <v>194</v>
      </c>
      <c r="H1010" s="400">
        <f>H1011</f>
        <v>28.914400899999997</v>
      </c>
      <c r="I1010" s="79"/>
      <c r="J1010" s="319">
        <f>ROUND(I1010*H1010,2)</f>
        <v>0</v>
      </c>
      <c r="K1010" s="316"/>
      <c r="L1010" s="229"/>
      <c r="M1010" s="320" t="s">
        <v>1</v>
      </c>
      <c r="N1010" s="321" t="s">
        <v>42</v>
      </c>
      <c r="O1010" s="322">
        <v>0</v>
      </c>
      <c r="P1010" s="322">
        <f>O1010*H1010</f>
        <v>0</v>
      </c>
      <c r="Q1010" s="322">
        <v>0</v>
      </c>
      <c r="R1010" s="322">
        <f>Q1010*H1010</f>
        <v>0</v>
      </c>
      <c r="S1010" s="322">
        <v>0</v>
      </c>
      <c r="T1010" s="323">
        <f>S1010*H1010</f>
        <v>0</v>
      </c>
      <c r="U1010" s="222"/>
      <c r="V1010" s="222"/>
      <c r="W1010" s="222"/>
      <c r="X1010" s="222"/>
      <c r="Y1010" s="222"/>
      <c r="Z1010" s="222"/>
      <c r="AA1010" s="222"/>
      <c r="AB1010" s="222"/>
      <c r="AC1010" s="222"/>
      <c r="AD1010" s="222"/>
      <c r="AE1010" s="222"/>
      <c r="AR1010" s="324" t="s">
        <v>153</v>
      </c>
      <c r="AT1010" s="324" t="s">
        <v>148</v>
      </c>
      <c r="AU1010" s="324" t="s">
        <v>83</v>
      </c>
      <c r="AY1010" s="214" t="s">
        <v>146</v>
      </c>
      <c r="BE1010" s="325">
        <f>IF(N1010="základní",J1010,0)</f>
        <v>0</v>
      </c>
      <c r="BF1010" s="325">
        <f>IF(N1010="snížená",J1010,0)</f>
        <v>0</v>
      </c>
      <c r="BG1010" s="325">
        <f>IF(N1010="zákl. přenesená",J1010,0)</f>
        <v>0</v>
      </c>
      <c r="BH1010" s="325">
        <f>IF(N1010="sníž. přenesená",J1010,0)</f>
        <v>0</v>
      </c>
      <c r="BI1010" s="325">
        <f>IF(N1010="nulová",J1010,0)</f>
        <v>0</v>
      </c>
      <c r="BJ1010" s="214" t="s">
        <v>81</v>
      </c>
      <c r="BK1010" s="325">
        <f>ROUND(I1010*H1010,2)</f>
        <v>0</v>
      </c>
      <c r="BL1010" s="214" t="s">
        <v>153</v>
      </c>
      <c r="BM1010" s="324" t="s">
        <v>727</v>
      </c>
    </row>
    <row r="1011" spans="2:51" s="335" customFormat="1" ht="12">
      <c r="B1011" s="336"/>
      <c r="D1011" s="328" t="s">
        <v>155</v>
      </c>
      <c r="E1011" s="337" t="s">
        <v>1</v>
      </c>
      <c r="F1011" s="338"/>
      <c r="H1011" s="392">
        <f>SUM(T1215,T1221,T1227,T1685,T1687,T1697,T1711,T1876)</f>
        <v>28.914400899999997</v>
      </c>
      <c r="I1011" s="498"/>
      <c r="L1011" s="340"/>
      <c r="M1011" s="341"/>
      <c r="N1011" s="342"/>
      <c r="O1011" s="342"/>
      <c r="P1011" s="342"/>
      <c r="Q1011" s="342"/>
      <c r="R1011" s="342"/>
      <c r="S1011" s="342"/>
      <c r="T1011" s="343"/>
      <c r="AT1011" s="337" t="s">
        <v>155</v>
      </c>
      <c r="AU1011" s="337" t="s">
        <v>83</v>
      </c>
      <c r="AV1011" s="335" t="s">
        <v>83</v>
      </c>
      <c r="AW1011" s="335" t="s">
        <v>34</v>
      </c>
      <c r="AX1011" s="335" t="s">
        <v>81</v>
      </c>
      <c r="AY1011" s="337" t="s">
        <v>146</v>
      </c>
    </row>
    <row r="1012" spans="1:65" s="225" customFormat="1" ht="33" customHeight="1">
      <c r="A1012" s="222"/>
      <c r="B1012" s="223"/>
      <c r="C1012" s="314">
        <v>166</v>
      </c>
      <c r="D1012" s="314" t="s">
        <v>148</v>
      </c>
      <c r="E1012" s="315" t="s">
        <v>728</v>
      </c>
      <c r="F1012" s="432" t="s">
        <v>729</v>
      </c>
      <c r="G1012" s="317" t="s">
        <v>194</v>
      </c>
      <c r="H1012" s="400">
        <f>H1013</f>
        <v>1.474874605</v>
      </c>
      <c r="I1012" s="79"/>
      <c r="J1012" s="319">
        <f>ROUND(I1012*H1012,2)</f>
        <v>0</v>
      </c>
      <c r="K1012" s="316"/>
      <c r="L1012" s="229"/>
      <c r="M1012" s="320" t="s">
        <v>1</v>
      </c>
      <c r="N1012" s="321" t="s">
        <v>42</v>
      </c>
      <c r="O1012" s="322">
        <v>0</v>
      </c>
      <c r="P1012" s="322">
        <f>O1012*H1012</f>
        <v>0</v>
      </c>
      <c r="Q1012" s="322">
        <v>0</v>
      </c>
      <c r="R1012" s="322">
        <f>Q1012*H1012</f>
        <v>0</v>
      </c>
      <c r="S1012" s="322">
        <v>0</v>
      </c>
      <c r="T1012" s="323">
        <f>S1012*H1012</f>
        <v>0</v>
      </c>
      <c r="U1012" s="222"/>
      <c r="V1012" s="222"/>
      <c r="W1012" s="222"/>
      <c r="X1012" s="222"/>
      <c r="Y1012" s="222"/>
      <c r="Z1012" s="222"/>
      <c r="AA1012" s="222"/>
      <c r="AB1012" s="222"/>
      <c r="AC1012" s="222"/>
      <c r="AD1012" s="222"/>
      <c r="AE1012" s="222"/>
      <c r="AR1012" s="324" t="s">
        <v>153</v>
      </c>
      <c r="AT1012" s="324" t="s">
        <v>148</v>
      </c>
      <c r="AU1012" s="324" t="s">
        <v>83</v>
      </c>
      <c r="AY1012" s="214" t="s">
        <v>146</v>
      </c>
      <c r="BE1012" s="325">
        <f>IF(N1012="základní",J1012,0)</f>
        <v>0</v>
      </c>
      <c r="BF1012" s="325">
        <f>IF(N1012="snížená",J1012,0)</f>
        <v>0</v>
      </c>
      <c r="BG1012" s="325">
        <f>IF(N1012="zákl. přenesená",J1012,0)</f>
        <v>0</v>
      </c>
      <c r="BH1012" s="325">
        <f>IF(N1012="sníž. přenesená",J1012,0)</f>
        <v>0</v>
      </c>
      <c r="BI1012" s="325">
        <f>IF(N1012="nulová",J1012,0)</f>
        <v>0</v>
      </c>
      <c r="BJ1012" s="214" t="s">
        <v>81</v>
      </c>
      <c r="BK1012" s="325">
        <f>ROUND(I1012*H1012,2)</f>
        <v>0</v>
      </c>
      <c r="BL1012" s="214" t="s">
        <v>153</v>
      </c>
      <c r="BM1012" s="324" t="s">
        <v>730</v>
      </c>
    </row>
    <row r="1013" spans="2:51" s="335" customFormat="1" ht="12">
      <c r="B1013" s="336"/>
      <c r="D1013" s="328" t="s">
        <v>155</v>
      </c>
      <c r="E1013" s="337" t="s">
        <v>1</v>
      </c>
      <c r="F1013" s="338"/>
      <c r="H1013" s="392">
        <f>SUM(T1780,T1814,T2017)</f>
        <v>1.474874605</v>
      </c>
      <c r="I1013" s="498"/>
      <c r="L1013" s="340"/>
      <c r="M1013" s="341"/>
      <c r="N1013" s="342"/>
      <c r="O1013" s="342"/>
      <c r="P1013" s="342"/>
      <c r="Q1013" s="342"/>
      <c r="R1013" s="342"/>
      <c r="S1013" s="342"/>
      <c r="T1013" s="343"/>
      <c r="AT1013" s="337" t="s">
        <v>155</v>
      </c>
      <c r="AU1013" s="337" t="s">
        <v>83</v>
      </c>
      <c r="AV1013" s="335" t="s">
        <v>83</v>
      </c>
      <c r="AW1013" s="335" t="s">
        <v>34</v>
      </c>
      <c r="AX1013" s="335" t="s">
        <v>81</v>
      </c>
      <c r="AY1013" s="337" t="s">
        <v>146</v>
      </c>
    </row>
    <row r="1014" spans="1:65" s="225" customFormat="1" ht="33" customHeight="1">
      <c r="A1014" s="222"/>
      <c r="B1014" s="223"/>
      <c r="C1014" s="314">
        <v>167</v>
      </c>
      <c r="D1014" s="314" t="s">
        <v>148</v>
      </c>
      <c r="E1014" s="315" t="s">
        <v>731</v>
      </c>
      <c r="F1014" s="433" t="s">
        <v>732</v>
      </c>
      <c r="G1014" s="317" t="s">
        <v>194</v>
      </c>
      <c r="H1014" s="400">
        <f>H1015</f>
        <v>11.667435</v>
      </c>
      <c r="I1014" s="79"/>
      <c r="J1014" s="319">
        <f>ROUND(I1014*H1014,2)</f>
        <v>0</v>
      </c>
      <c r="K1014" s="316"/>
      <c r="L1014" s="229"/>
      <c r="M1014" s="320" t="s">
        <v>1</v>
      </c>
      <c r="N1014" s="321" t="s">
        <v>42</v>
      </c>
      <c r="O1014" s="322">
        <v>0</v>
      </c>
      <c r="P1014" s="322">
        <f>O1014*H1014</f>
        <v>0</v>
      </c>
      <c r="Q1014" s="322">
        <v>0</v>
      </c>
      <c r="R1014" s="322">
        <f>Q1014*H1014</f>
        <v>0</v>
      </c>
      <c r="S1014" s="322">
        <v>0</v>
      </c>
      <c r="T1014" s="323">
        <f>S1014*H1014</f>
        <v>0</v>
      </c>
      <c r="U1014" s="222"/>
      <c r="V1014" s="222"/>
      <c r="W1014" s="222"/>
      <c r="X1014" s="222"/>
      <c r="Y1014" s="222"/>
      <c r="Z1014" s="222"/>
      <c r="AA1014" s="222"/>
      <c r="AB1014" s="222"/>
      <c r="AC1014" s="222"/>
      <c r="AD1014" s="222"/>
      <c r="AE1014" s="222"/>
      <c r="AR1014" s="324" t="s">
        <v>153</v>
      </c>
      <c r="AT1014" s="324" t="s">
        <v>148</v>
      </c>
      <c r="AU1014" s="324" t="s">
        <v>83</v>
      </c>
      <c r="AY1014" s="214" t="s">
        <v>146</v>
      </c>
      <c r="BE1014" s="325">
        <f>IF(N1014="základní",J1014,0)</f>
        <v>0</v>
      </c>
      <c r="BF1014" s="325">
        <f>IF(N1014="snížená",J1014,0)</f>
        <v>0</v>
      </c>
      <c r="BG1014" s="325">
        <f>IF(N1014="zákl. přenesená",J1014,0)</f>
        <v>0</v>
      </c>
      <c r="BH1014" s="325">
        <f>IF(N1014="sníž. přenesená",J1014,0)</f>
        <v>0</v>
      </c>
      <c r="BI1014" s="325">
        <f>IF(N1014="nulová",J1014,0)</f>
        <v>0</v>
      </c>
      <c r="BJ1014" s="214" t="s">
        <v>81</v>
      </c>
      <c r="BK1014" s="325">
        <f>ROUND(I1014*H1014,2)</f>
        <v>0</v>
      </c>
      <c r="BL1014" s="214" t="s">
        <v>153</v>
      </c>
      <c r="BM1014" s="324" t="s">
        <v>733</v>
      </c>
    </row>
    <row r="1015" spans="2:51" s="335" customFormat="1" ht="12">
      <c r="B1015" s="336"/>
      <c r="D1015" s="328" t="s">
        <v>155</v>
      </c>
      <c r="E1015" s="337" t="s">
        <v>1</v>
      </c>
      <c r="F1015" s="338" t="s">
        <v>734</v>
      </c>
      <c r="H1015" s="392">
        <f>SUM(T1039,T1073,T1079)</f>
        <v>11.667435</v>
      </c>
      <c r="I1015" s="498"/>
      <c r="L1015" s="340"/>
      <c r="M1015" s="341"/>
      <c r="N1015" s="342"/>
      <c r="O1015" s="342"/>
      <c r="P1015" s="342"/>
      <c r="Q1015" s="342"/>
      <c r="R1015" s="342"/>
      <c r="S1015" s="342"/>
      <c r="T1015" s="343"/>
      <c r="AT1015" s="337" t="s">
        <v>155</v>
      </c>
      <c r="AU1015" s="337" t="s">
        <v>83</v>
      </c>
      <c r="AV1015" s="335" t="s">
        <v>83</v>
      </c>
      <c r="AW1015" s="335" t="s">
        <v>34</v>
      </c>
      <c r="AX1015" s="335" t="s">
        <v>81</v>
      </c>
      <c r="AY1015" s="337" t="s">
        <v>146</v>
      </c>
    </row>
    <row r="1016" spans="1:65" s="225" customFormat="1" ht="33" customHeight="1">
      <c r="A1016" s="222"/>
      <c r="B1016" s="223"/>
      <c r="C1016" s="314">
        <v>168</v>
      </c>
      <c r="D1016" s="314" t="s">
        <v>148</v>
      </c>
      <c r="E1016" s="315" t="s">
        <v>735</v>
      </c>
      <c r="F1016" s="434" t="s">
        <v>736</v>
      </c>
      <c r="G1016" s="317" t="s">
        <v>194</v>
      </c>
      <c r="H1016" s="400">
        <f>H1017</f>
        <v>3.453296</v>
      </c>
      <c r="I1016" s="79"/>
      <c r="J1016" s="319">
        <f>ROUND(I1016*H1016,2)</f>
        <v>0</v>
      </c>
      <c r="K1016" s="316"/>
      <c r="L1016" s="229"/>
      <c r="M1016" s="320" t="s">
        <v>1</v>
      </c>
      <c r="N1016" s="321" t="s">
        <v>42</v>
      </c>
      <c r="O1016" s="322">
        <v>0</v>
      </c>
      <c r="P1016" s="322">
        <f>O1016*H1016</f>
        <v>0</v>
      </c>
      <c r="Q1016" s="322">
        <v>0</v>
      </c>
      <c r="R1016" s="322">
        <f>Q1016*H1016</f>
        <v>0</v>
      </c>
      <c r="S1016" s="322">
        <v>0</v>
      </c>
      <c r="T1016" s="323">
        <f>S1016*H1016</f>
        <v>0</v>
      </c>
      <c r="U1016" s="222"/>
      <c r="V1016" s="222"/>
      <c r="W1016" s="222"/>
      <c r="X1016" s="222"/>
      <c r="Y1016" s="222"/>
      <c r="Z1016" s="222"/>
      <c r="AA1016" s="222"/>
      <c r="AB1016" s="222"/>
      <c r="AC1016" s="222"/>
      <c r="AD1016" s="222"/>
      <c r="AE1016" s="222"/>
      <c r="AR1016" s="324" t="s">
        <v>153</v>
      </c>
      <c r="AT1016" s="324" t="s">
        <v>148</v>
      </c>
      <c r="AU1016" s="324" t="s">
        <v>83</v>
      </c>
      <c r="AY1016" s="214" t="s">
        <v>146</v>
      </c>
      <c r="BE1016" s="325">
        <f>IF(N1016="základní",J1016,0)</f>
        <v>0</v>
      </c>
      <c r="BF1016" s="325">
        <f>IF(N1016="snížená",J1016,0)</f>
        <v>0</v>
      </c>
      <c r="BG1016" s="325">
        <f>IF(N1016="zákl. přenesená",J1016,0)</f>
        <v>0</v>
      </c>
      <c r="BH1016" s="325">
        <f>IF(N1016="sníž. přenesená",J1016,0)</f>
        <v>0</v>
      </c>
      <c r="BI1016" s="325">
        <f>IF(N1016="nulová",J1016,0)</f>
        <v>0</v>
      </c>
      <c r="BJ1016" s="214" t="s">
        <v>81</v>
      </c>
      <c r="BK1016" s="325">
        <f>ROUND(I1016*H1016,2)</f>
        <v>0</v>
      </c>
      <c r="BL1016" s="214" t="s">
        <v>153</v>
      </c>
      <c r="BM1016" s="324" t="s">
        <v>737</v>
      </c>
    </row>
    <row r="1017" spans="2:51" s="335" customFormat="1" ht="12">
      <c r="B1017" s="336"/>
      <c r="D1017" s="328" t="s">
        <v>155</v>
      </c>
      <c r="E1017" s="337" t="s">
        <v>1</v>
      </c>
      <c r="F1017" s="338"/>
      <c r="H1017" s="392">
        <f>SUM(T856)+0.5*SUM(T928,T934)</f>
        <v>3.453296</v>
      </c>
      <c r="I1017" s="498"/>
      <c r="L1017" s="340"/>
      <c r="M1017" s="341"/>
      <c r="N1017" s="342"/>
      <c r="O1017" s="342"/>
      <c r="P1017" s="342"/>
      <c r="Q1017" s="342"/>
      <c r="R1017" s="342"/>
      <c r="S1017" s="342"/>
      <c r="T1017" s="343"/>
      <c r="AT1017" s="337" t="s">
        <v>155</v>
      </c>
      <c r="AU1017" s="337" t="s">
        <v>83</v>
      </c>
      <c r="AV1017" s="335" t="s">
        <v>83</v>
      </c>
      <c r="AW1017" s="335" t="s">
        <v>34</v>
      </c>
      <c r="AX1017" s="335" t="s">
        <v>81</v>
      </c>
      <c r="AY1017" s="337" t="s">
        <v>146</v>
      </c>
    </row>
    <row r="1018" spans="1:65" s="225" customFormat="1" ht="33" customHeight="1">
      <c r="A1018" s="222"/>
      <c r="B1018" s="223"/>
      <c r="C1018" s="314">
        <v>169</v>
      </c>
      <c r="D1018" s="314" t="s">
        <v>148</v>
      </c>
      <c r="E1018" s="315" t="s">
        <v>738</v>
      </c>
      <c r="F1018" s="435" t="s">
        <v>739</v>
      </c>
      <c r="G1018" s="317" t="s">
        <v>194</v>
      </c>
      <c r="H1018" s="400">
        <f>H1019</f>
        <v>5.247</v>
      </c>
      <c r="I1018" s="79"/>
      <c r="J1018" s="319">
        <f>ROUND(I1018*H1018,2)</f>
        <v>0</v>
      </c>
      <c r="K1018" s="316"/>
      <c r="L1018" s="229"/>
      <c r="M1018" s="320" t="s">
        <v>1</v>
      </c>
      <c r="N1018" s="321" t="s">
        <v>42</v>
      </c>
      <c r="O1018" s="322">
        <v>0</v>
      </c>
      <c r="P1018" s="322">
        <f>O1018*H1018</f>
        <v>0</v>
      </c>
      <c r="Q1018" s="322">
        <v>0</v>
      </c>
      <c r="R1018" s="322">
        <f>Q1018*H1018</f>
        <v>0</v>
      </c>
      <c r="S1018" s="322">
        <v>0</v>
      </c>
      <c r="T1018" s="323">
        <f>S1018*H1018</f>
        <v>0</v>
      </c>
      <c r="U1018" s="222"/>
      <c r="V1018" s="222"/>
      <c r="W1018" s="222"/>
      <c r="X1018" s="222"/>
      <c r="Y1018" s="222"/>
      <c r="Z1018" s="222"/>
      <c r="AA1018" s="222"/>
      <c r="AB1018" s="222"/>
      <c r="AC1018" s="222"/>
      <c r="AD1018" s="222"/>
      <c r="AE1018" s="222"/>
      <c r="AR1018" s="324" t="s">
        <v>153</v>
      </c>
      <c r="AT1018" s="324" t="s">
        <v>148</v>
      </c>
      <c r="AU1018" s="324" t="s">
        <v>83</v>
      </c>
      <c r="AY1018" s="214" t="s">
        <v>146</v>
      </c>
      <c r="BE1018" s="325">
        <f>IF(N1018="základní",J1018,0)</f>
        <v>0</v>
      </c>
      <c r="BF1018" s="325">
        <f>IF(N1018="snížená",J1018,0)</f>
        <v>0</v>
      </c>
      <c r="BG1018" s="325">
        <f>IF(N1018="zákl. přenesená",J1018,0)</f>
        <v>0</v>
      </c>
      <c r="BH1018" s="325">
        <f>IF(N1018="sníž. přenesená",J1018,0)</f>
        <v>0</v>
      </c>
      <c r="BI1018" s="325">
        <f>IF(N1018="nulová",J1018,0)</f>
        <v>0</v>
      </c>
      <c r="BJ1018" s="214" t="s">
        <v>81</v>
      </c>
      <c r="BK1018" s="325">
        <f>ROUND(I1018*H1018,2)</f>
        <v>0</v>
      </c>
      <c r="BL1018" s="214" t="s">
        <v>153</v>
      </c>
      <c r="BM1018" s="324" t="s">
        <v>740</v>
      </c>
    </row>
    <row r="1019" spans="2:51" s="335" customFormat="1" ht="12">
      <c r="B1019" s="336"/>
      <c r="D1019" s="328" t="s">
        <v>155</v>
      </c>
      <c r="E1019" s="337" t="s">
        <v>1</v>
      </c>
      <c r="F1019" s="338"/>
      <c r="H1019" s="392">
        <f>SUM(T924,T1598)+0.5*SUM(T928,T934)</f>
        <v>5.247</v>
      </c>
      <c r="I1019" s="498"/>
      <c r="L1019" s="340"/>
      <c r="M1019" s="341"/>
      <c r="N1019" s="342"/>
      <c r="O1019" s="342"/>
      <c r="P1019" s="342"/>
      <c r="Q1019" s="342"/>
      <c r="R1019" s="342"/>
      <c r="S1019" s="342"/>
      <c r="T1019" s="343"/>
      <c r="AT1019" s="337" t="s">
        <v>155</v>
      </c>
      <c r="AU1019" s="337" t="s">
        <v>83</v>
      </c>
      <c r="AV1019" s="335" t="s">
        <v>83</v>
      </c>
      <c r="AW1019" s="335" t="s">
        <v>34</v>
      </c>
      <c r="AX1019" s="335" t="s">
        <v>81</v>
      </c>
      <c r="AY1019" s="337" t="s">
        <v>146</v>
      </c>
    </row>
    <row r="1020" spans="1:65" s="225" customFormat="1" ht="33" customHeight="1">
      <c r="A1020" s="222"/>
      <c r="B1020" s="223"/>
      <c r="C1020" s="314">
        <v>170</v>
      </c>
      <c r="D1020" s="314" t="s">
        <v>148</v>
      </c>
      <c r="E1020" s="315" t="s">
        <v>741</v>
      </c>
      <c r="F1020" s="436" t="s">
        <v>742</v>
      </c>
      <c r="G1020" s="317" t="s">
        <v>194</v>
      </c>
      <c r="H1020" s="400">
        <f>H1021</f>
        <v>13.2297735</v>
      </c>
      <c r="I1020" s="79"/>
      <c r="J1020" s="319">
        <f>ROUND(I1020*H1020,2)</f>
        <v>0</v>
      </c>
      <c r="K1020" s="316"/>
      <c r="L1020" s="229"/>
      <c r="M1020" s="320" t="s">
        <v>1</v>
      </c>
      <c r="N1020" s="321" t="s">
        <v>42</v>
      </c>
      <c r="O1020" s="322">
        <v>0</v>
      </c>
      <c r="P1020" s="322">
        <f>O1020*H1020</f>
        <v>0</v>
      </c>
      <c r="Q1020" s="322">
        <v>0</v>
      </c>
      <c r="R1020" s="322">
        <f>Q1020*H1020</f>
        <v>0</v>
      </c>
      <c r="S1020" s="322">
        <v>0</v>
      </c>
      <c r="T1020" s="323">
        <f>S1020*H1020</f>
        <v>0</v>
      </c>
      <c r="U1020" s="222"/>
      <c r="V1020" s="222"/>
      <c r="W1020" s="222"/>
      <c r="X1020" s="222"/>
      <c r="Y1020" s="222"/>
      <c r="Z1020" s="222"/>
      <c r="AA1020" s="222"/>
      <c r="AB1020" s="222"/>
      <c r="AC1020" s="222"/>
      <c r="AD1020" s="222"/>
      <c r="AE1020" s="222"/>
      <c r="AR1020" s="324" t="s">
        <v>153</v>
      </c>
      <c r="AT1020" s="324" t="s">
        <v>148</v>
      </c>
      <c r="AU1020" s="324" t="s">
        <v>83</v>
      </c>
      <c r="AY1020" s="214" t="s">
        <v>146</v>
      </c>
      <c r="BE1020" s="325">
        <f>IF(N1020="základní",J1020,0)</f>
        <v>0</v>
      </c>
      <c r="BF1020" s="325">
        <f>IF(N1020="snížená",J1020,0)</f>
        <v>0</v>
      </c>
      <c r="BG1020" s="325">
        <f>IF(N1020="zákl. přenesená",J1020,0)</f>
        <v>0</v>
      </c>
      <c r="BH1020" s="325">
        <f>IF(N1020="sníž. přenesená",J1020,0)</f>
        <v>0</v>
      </c>
      <c r="BI1020" s="325">
        <f>IF(N1020="nulová",J1020,0)</f>
        <v>0</v>
      </c>
      <c r="BJ1020" s="214" t="s">
        <v>81</v>
      </c>
      <c r="BK1020" s="325">
        <f>ROUND(I1020*H1020,2)</f>
        <v>0</v>
      </c>
      <c r="BL1020" s="214" t="s">
        <v>153</v>
      </c>
      <c r="BM1020" s="324" t="s">
        <v>743</v>
      </c>
    </row>
    <row r="1021" spans="2:51" s="335" customFormat="1" ht="12">
      <c r="B1021" s="336"/>
      <c r="D1021" s="328" t="s">
        <v>155</v>
      </c>
      <c r="E1021" s="337" t="s">
        <v>1</v>
      </c>
      <c r="F1021" s="338"/>
      <c r="H1021" s="392">
        <f>SUM(T888,T1181)</f>
        <v>13.2297735</v>
      </c>
      <c r="I1021" s="498"/>
      <c r="L1021" s="340"/>
      <c r="M1021" s="341"/>
      <c r="N1021" s="342"/>
      <c r="O1021" s="342"/>
      <c r="P1021" s="342"/>
      <c r="Q1021" s="342"/>
      <c r="R1021" s="342"/>
      <c r="S1021" s="342"/>
      <c r="T1021" s="343"/>
      <c r="AT1021" s="337" t="s">
        <v>155</v>
      </c>
      <c r="AU1021" s="337" t="s">
        <v>83</v>
      </c>
      <c r="AV1021" s="335" t="s">
        <v>83</v>
      </c>
      <c r="AW1021" s="335" t="s">
        <v>34</v>
      </c>
      <c r="AX1021" s="335" t="s">
        <v>81</v>
      </c>
      <c r="AY1021" s="337" t="s">
        <v>146</v>
      </c>
    </row>
    <row r="1022" spans="1:65" s="225" customFormat="1" ht="33" customHeight="1">
      <c r="A1022" s="222"/>
      <c r="B1022" s="223"/>
      <c r="C1022" s="314">
        <v>171</v>
      </c>
      <c r="D1022" s="314" t="s">
        <v>148</v>
      </c>
      <c r="E1022" s="315"/>
      <c r="F1022" s="437" t="s">
        <v>3653</v>
      </c>
      <c r="G1022" s="317" t="s">
        <v>194</v>
      </c>
      <c r="H1022" s="400">
        <f>H1023</f>
        <v>5.041134</v>
      </c>
      <c r="I1022" s="79"/>
      <c r="J1022" s="319">
        <f>ROUND(I1022*H1022,2)</f>
        <v>0</v>
      </c>
      <c r="K1022" s="316"/>
      <c r="L1022" s="229"/>
      <c r="M1022" s="320" t="s">
        <v>1</v>
      </c>
      <c r="N1022" s="321" t="s">
        <v>42</v>
      </c>
      <c r="O1022" s="322">
        <v>0</v>
      </c>
      <c r="P1022" s="322">
        <f>O1022*H1022</f>
        <v>0</v>
      </c>
      <c r="Q1022" s="322">
        <v>0</v>
      </c>
      <c r="R1022" s="322">
        <f>Q1022*H1022</f>
        <v>0</v>
      </c>
      <c r="S1022" s="322">
        <v>0</v>
      </c>
      <c r="T1022" s="323">
        <f>S1022*H1022</f>
        <v>0</v>
      </c>
      <c r="U1022" s="222"/>
      <c r="V1022" s="222"/>
      <c r="W1022" s="222"/>
      <c r="X1022" s="222"/>
      <c r="Y1022" s="222"/>
      <c r="Z1022" s="222"/>
      <c r="AA1022" s="222"/>
      <c r="AB1022" s="222"/>
      <c r="AC1022" s="222"/>
      <c r="AD1022" s="222"/>
      <c r="AE1022" s="222"/>
      <c r="AR1022" s="324" t="s">
        <v>153</v>
      </c>
      <c r="AT1022" s="324" t="s">
        <v>148</v>
      </c>
      <c r="AU1022" s="324" t="s">
        <v>83</v>
      </c>
      <c r="AY1022" s="214" t="s">
        <v>146</v>
      </c>
      <c r="BE1022" s="325">
        <f>IF(N1022="základní",J1022,0)</f>
        <v>0</v>
      </c>
      <c r="BF1022" s="325">
        <f>IF(N1022="snížená",J1022,0)</f>
        <v>0</v>
      </c>
      <c r="BG1022" s="325">
        <f>IF(N1022="zákl. přenesená",J1022,0)</f>
        <v>0</v>
      </c>
      <c r="BH1022" s="325">
        <f>IF(N1022="sníž. přenesená",J1022,0)</f>
        <v>0</v>
      </c>
      <c r="BI1022" s="325">
        <f>IF(N1022="nulová",J1022,0)</f>
        <v>0</v>
      </c>
      <c r="BJ1022" s="214" t="s">
        <v>81</v>
      </c>
      <c r="BK1022" s="325">
        <f>ROUND(I1022*H1022,2)</f>
        <v>0</v>
      </c>
      <c r="BL1022" s="214" t="s">
        <v>153</v>
      </c>
      <c r="BM1022" s="324" t="s">
        <v>743</v>
      </c>
    </row>
    <row r="1023" spans="2:51" s="335" customFormat="1" ht="12">
      <c r="B1023" s="336"/>
      <c r="D1023" s="328" t="s">
        <v>155</v>
      </c>
      <c r="E1023" s="337" t="s">
        <v>1</v>
      </c>
      <c r="F1023" s="338"/>
      <c r="H1023" s="392">
        <f>SUM(T878,T880,T885,T932,T1237,T1244,T1440,T1446,T1456)</f>
        <v>5.041134</v>
      </c>
      <c r="I1023" s="498"/>
      <c r="L1023" s="340"/>
      <c r="M1023" s="341"/>
      <c r="N1023" s="342"/>
      <c r="O1023" s="342"/>
      <c r="P1023" s="342"/>
      <c r="Q1023" s="342"/>
      <c r="R1023" s="342"/>
      <c r="S1023" s="342"/>
      <c r="T1023" s="343"/>
      <c r="AT1023" s="337" t="s">
        <v>155</v>
      </c>
      <c r="AU1023" s="337" t="s">
        <v>83</v>
      </c>
      <c r="AV1023" s="335" t="s">
        <v>83</v>
      </c>
      <c r="AW1023" s="335" t="s">
        <v>34</v>
      </c>
      <c r="AX1023" s="335" t="s">
        <v>81</v>
      </c>
      <c r="AY1023" s="337" t="s">
        <v>146</v>
      </c>
    </row>
    <row r="1024" spans="1:65" s="225" customFormat="1" ht="33" customHeight="1">
      <c r="A1024" s="222"/>
      <c r="B1024" s="223"/>
      <c r="C1024" s="314">
        <v>172</v>
      </c>
      <c r="D1024" s="314" t="s">
        <v>148</v>
      </c>
      <c r="E1024" s="315"/>
      <c r="F1024" s="438" t="s">
        <v>3658</v>
      </c>
      <c r="G1024" s="317" t="s">
        <v>194</v>
      </c>
      <c r="H1024" s="400">
        <f>H1025</f>
        <v>183.02399999999997</v>
      </c>
      <c r="I1024" s="79"/>
      <c r="J1024" s="319">
        <f>ROUND(I1024*H1024,2)</f>
        <v>0</v>
      </c>
      <c r="K1024" s="316"/>
      <c r="L1024" s="229"/>
      <c r="M1024" s="320" t="s">
        <v>1</v>
      </c>
      <c r="N1024" s="321" t="s">
        <v>42</v>
      </c>
      <c r="O1024" s="322">
        <v>0</v>
      </c>
      <c r="P1024" s="322">
        <f>O1024*H1024</f>
        <v>0</v>
      </c>
      <c r="Q1024" s="322">
        <v>0</v>
      </c>
      <c r="R1024" s="322">
        <f>Q1024*H1024</f>
        <v>0</v>
      </c>
      <c r="S1024" s="322">
        <v>0</v>
      </c>
      <c r="T1024" s="323">
        <f>S1024*H1024</f>
        <v>0</v>
      </c>
      <c r="U1024" s="222"/>
      <c r="V1024" s="222"/>
      <c r="W1024" s="222"/>
      <c r="X1024" s="222"/>
      <c r="Y1024" s="222"/>
      <c r="Z1024" s="222"/>
      <c r="AA1024" s="222"/>
      <c r="AB1024" s="222"/>
      <c r="AC1024" s="222"/>
      <c r="AD1024" s="222"/>
      <c r="AE1024" s="222"/>
      <c r="AR1024" s="324" t="s">
        <v>153</v>
      </c>
      <c r="AT1024" s="324" t="s">
        <v>148</v>
      </c>
      <c r="AU1024" s="324" t="s">
        <v>83</v>
      </c>
      <c r="AY1024" s="214" t="s">
        <v>146</v>
      </c>
      <c r="BE1024" s="325">
        <f>IF(N1024="základní",J1024,0)</f>
        <v>0</v>
      </c>
      <c r="BF1024" s="325">
        <f>IF(N1024="snížená",J1024,0)</f>
        <v>0</v>
      </c>
      <c r="BG1024" s="325">
        <f>IF(N1024="zákl. přenesená",J1024,0)</f>
        <v>0</v>
      </c>
      <c r="BH1024" s="325">
        <f>IF(N1024="sníž. přenesená",J1024,0)</f>
        <v>0</v>
      </c>
      <c r="BI1024" s="325">
        <f>IF(N1024="nulová",J1024,0)</f>
        <v>0</v>
      </c>
      <c r="BJ1024" s="214" t="s">
        <v>81</v>
      </c>
      <c r="BK1024" s="325">
        <f>ROUND(I1024*H1024,2)</f>
        <v>0</v>
      </c>
      <c r="BL1024" s="214" t="s">
        <v>153</v>
      </c>
      <c r="BM1024" s="324" t="s">
        <v>743</v>
      </c>
    </row>
    <row r="1025" spans="2:51" s="335" customFormat="1" ht="12">
      <c r="B1025" s="336"/>
      <c r="D1025" s="328" t="s">
        <v>155</v>
      </c>
      <c r="E1025" s="337" t="s">
        <v>1</v>
      </c>
      <c r="F1025" s="338"/>
      <c r="H1025" s="392">
        <f>SUM(T1207,T1175)</f>
        <v>183.02399999999997</v>
      </c>
      <c r="I1025" s="498"/>
      <c r="L1025" s="340"/>
      <c r="M1025" s="341"/>
      <c r="N1025" s="342"/>
      <c r="O1025" s="342"/>
      <c r="P1025" s="342"/>
      <c r="Q1025" s="342"/>
      <c r="R1025" s="342"/>
      <c r="S1025" s="342"/>
      <c r="T1025" s="343"/>
      <c r="AT1025" s="337" t="s">
        <v>155</v>
      </c>
      <c r="AU1025" s="337" t="s">
        <v>83</v>
      </c>
      <c r="AV1025" s="335" t="s">
        <v>83</v>
      </c>
      <c r="AW1025" s="335" t="s">
        <v>34</v>
      </c>
      <c r="AX1025" s="335" t="s">
        <v>81</v>
      </c>
      <c r="AY1025" s="337" t="s">
        <v>146</v>
      </c>
    </row>
    <row r="1026" spans="2:63" s="297" customFormat="1" ht="22.9" customHeight="1">
      <c r="B1026" s="298"/>
      <c r="D1026" s="299" t="s">
        <v>75</v>
      </c>
      <c r="E1026" s="310" t="s">
        <v>744</v>
      </c>
      <c r="F1026" s="310" t="s">
        <v>745</v>
      </c>
      <c r="I1026" s="501"/>
      <c r="J1026" s="311">
        <f>J1027</f>
        <v>0</v>
      </c>
      <c r="L1026" s="302"/>
      <c r="M1026" s="303"/>
      <c r="N1026" s="304"/>
      <c r="O1026" s="304"/>
      <c r="P1026" s="305">
        <f>P1027</f>
        <v>3974.9978108913265</v>
      </c>
      <c r="Q1026" s="304"/>
      <c r="R1026" s="305"/>
      <c r="S1026" s="304"/>
      <c r="T1026" s="313"/>
      <c r="AR1026" s="299" t="s">
        <v>81</v>
      </c>
      <c r="AT1026" s="308" t="s">
        <v>75</v>
      </c>
      <c r="AU1026" s="308" t="s">
        <v>81</v>
      </c>
      <c r="AY1026" s="299" t="s">
        <v>146</v>
      </c>
      <c r="BK1026" s="309">
        <f>BK1027</f>
        <v>0</v>
      </c>
    </row>
    <row r="1027" spans="1:65" s="225" customFormat="1" ht="21.75" customHeight="1">
      <c r="A1027" s="222"/>
      <c r="B1027" s="223"/>
      <c r="C1027" s="314">
        <v>173</v>
      </c>
      <c r="D1027" s="314" t="s">
        <v>148</v>
      </c>
      <c r="E1027" s="315"/>
      <c r="F1027" s="316" t="s">
        <v>3645</v>
      </c>
      <c r="G1027" s="317" t="s">
        <v>194</v>
      </c>
      <c r="H1027" s="439">
        <f>R147</f>
        <v>867.9034521596783</v>
      </c>
      <c r="I1027" s="79"/>
      <c r="J1027" s="319">
        <f>ROUND(I1027*H1027,2)</f>
        <v>0</v>
      </c>
      <c r="K1027" s="316"/>
      <c r="L1027" s="229"/>
      <c r="M1027" s="320" t="s">
        <v>1</v>
      </c>
      <c r="N1027" s="321" t="s">
        <v>42</v>
      </c>
      <c r="O1027" s="322">
        <v>4.58</v>
      </c>
      <c r="P1027" s="322">
        <f>O1027*H1027</f>
        <v>3974.9978108913265</v>
      </c>
      <c r="Q1027" s="322"/>
      <c r="R1027" s="322"/>
      <c r="S1027" s="322"/>
      <c r="T1027" s="323"/>
      <c r="U1027" s="222"/>
      <c r="V1027" s="222"/>
      <c r="W1027" s="222"/>
      <c r="X1027" s="222"/>
      <c r="Y1027" s="222"/>
      <c r="Z1027" s="222"/>
      <c r="AA1027" s="222"/>
      <c r="AB1027" s="222"/>
      <c r="AC1027" s="222"/>
      <c r="AD1027" s="222"/>
      <c r="AE1027" s="222"/>
      <c r="AR1027" s="324" t="s">
        <v>153</v>
      </c>
      <c r="AT1027" s="324" t="s">
        <v>148</v>
      </c>
      <c r="AU1027" s="324" t="s">
        <v>83</v>
      </c>
      <c r="AY1027" s="214" t="s">
        <v>146</v>
      </c>
      <c r="BE1027" s="325">
        <f>IF(N1027="základní",J1027,0)</f>
        <v>0</v>
      </c>
      <c r="BF1027" s="325">
        <f>IF(N1027="snížená",J1027,0)</f>
        <v>0</v>
      </c>
      <c r="BG1027" s="325">
        <f>IF(N1027="zákl. přenesená",J1027,0)</f>
        <v>0</v>
      </c>
      <c r="BH1027" s="325">
        <f>IF(N1027="sníž. přenesená",J1027,0)</f>
        <v>0</v>
      </c>
      <c r="BI1027" s="325">
        <f>IF(N1027="nulová",J1027,0)</f>
        <v>0</v>
      </c>
      <c r="BJ1027" s="214" t="s">
        <v>81</v>
      </c>
      <c r="BK1027" s="325">
        <f>ROUND(I1027*H1027,2)</f>
        <v>0</v>
      </c>
      <c r="BL1027" s="214" t="s">
        <v>153</v>
      </c>
      <c r="BM1027" s="324" t="s">
        <v>746</v>
      </c>
    </row>
    <row r="1028" spans="2:63" s="297" customFormat="1" ht="25.9" customHeight="1">
      <c r="B1028" s="298"/>
      <c r="D1028" s="299" t="s">
        <v>75</v>
      </c>
      <c r="E1028" s="300" t="s">
        <v>747</v>
      </c>
      <c r="F1028" s="300" t="s">
        <v>748</v>
      </c>
      <c r="I1028" s="501"/>
      <c r="J1028" s="301"/>
      <c r="L1028" s="302"/>
      <c r="M1028" s="303"/>
      <c r="N1028" s="304"/>
      <c r="O1028" s="304"/>
      <c r="P1028" s="305" t="e">
        <f>P1029+P1062+P1104+P1214+P1243+P1249+P1400+P1439+P1492+P1511+P1605+P1673+P1768+P1773+P1842+P1871+P1927+P2016+#REF!</f>
        <v>#REF!</v>
      </c>
      <c r="Q1028" s="304"/>
      <c r="R1028" s="306">
        <f>R1029+R1062+R1104+R1214+R1243+R1249+R1400+R1439+R1492+R1511+R1551+R1605+R1673+R1768+R1773+R1842+R1871+R1927+R2016</f>
        <v>120.52321245623564</v>
      </c>
      <c r="S1028" s="304"/>
      <c r="T1028" s="307">
        <f>T1029+T1062+T1104+T1214+T1243+T1249+T1400+T1439+T1492+T1511+T1551+T1605+T1673+T1768+T1773+T1842+T1871+T1927+T2016</f>
        <v>228.30683310499995</v>
      </c>
      <c r="AR1028" s="299" t="s">
        <v>83</v>
      </c>
      <c r="AT1028" s="308" t="s">
        <v>75</v>
      </c>
      <c r="AU1028" s="308" t="s">
        <v>76</v>
      </c>
      <c r="AY1028" s="299" t="s">
        <v>146</v>
      </c>
      <c r="BK1028" s="309" t="e">
        <f>BK1029+BK1062+BK1104+BK1214+BK1243+BK1249+BK1400+BK1439+BK1492+BK1511+BK1605+BK1673+BK1768+BK1773+BK1842+BK1871+BK1927+BK2016+#REF!</f>
        <v>#REF!</v>
      </c>
    </row>
    <row r="1029" spans="2:63" s="297" customFormat="1" ht="22.9" customHeight="1">
      <c r="B1029" s="298"/>
      <c r="D1029" s="299" t="s">
        <v>75</v>
      </c>
      <c r="E1029" s="310" t="s">
        <v>749</v>
      </c>
      <c r="F1029" s="310" t="s">
        <v>750</v>
      </c>
      <c r="I1029" s="501"/>
      <c r="J1029" s="311">
        <f>SUM(J1030:J1061)</f>
        <v>0</v>
      </c>
      <c r="L1029" s="302"/>
      <c r="M1029" s="303"/>
      <c r="N1029" s="304"/>
      <c r="O1029" s="304"/>
      <c r="P1029" s="305">
        <f>SUM(P1030:P1061)</f>
        <v>62.18994599999999</v>
      </c>
      <c r="Q1029" s="304"/>
      <c r="R1029" s="305">
        <f>SUM(R1030:R1061)</f>
        <v>1.0937818105</v>
      </c>
      <c r="S1029" s="304"/>
      <c r="T1029" s="313">
        <f>SUM(T1030:T1061)</f>
        <v>0.34991999999999995</v>
      </c>
      <c r="AR1029" s="299" t="s">
        <v>83</v>
      </c>
      <c r="AT1029" s="308" t="s">
        <v>75</v>
      </c>
      <c r="AU1029" s="308" t="s">
        <v>81</v>
      </c>
      <c r="AY1029" s="299" t="s">
        <v>146</v>
      </c>
      <c r="BK1029" s="309">
        <f>SUM(BK1030:BK1061)</f>
        <v>0</v>
      </c>
    </row>
    <row r="1030" spans="1:65" s="225" customFormat="1" ht="24.2" customHeight="1">
      <c r="A1030" s="222"/>
      <c r="B1030" s="223"/>
      <c r="C1030" s="314">
        <v>174</v>
      </c>
      <c r="D1030" s="314" t="s">
        <v>148</v>
      </c>
      <c r="E1030" s="315" t="s">
        <v>751</v>
      </c>
      <c r="F1030" s="316" t="s">
        <v>752</v>
      </c>
      <c r="G1030" s="317" t="s">
        <v>151</v>
      </c>
      <c r="H1030" s="318">
        <f>H1036</f>
        <v>150.374</v>
      </c>
      <c r="I1030" s="79"/>
      <c r="J1030" s="319">
        <f>ROUND(I1030*H1030,2)</f>
        <v>0</v>
      </c>
      <c r="K1030" s="316"/>
      <c r="L1030" s="229"/>
      <c r="M1030" s="320" t="s">
        <v>1</v>
      </c>
      <c r="N1030" s="321" t="s">
        <v>42</v>
      </c>
      <c r="O1030" s="322">
        <v>0.024</v>
      </c>
      <c r="P1030" s="322">
        <f>O1030*H1030</f>
        <v>3.6089759999999997</v>
      </c>
      <c r="Q1030" s="322">
        <v>0</v>
      </c>
      <c r="R1030" s="322">
        <f>Q1030*H1030</f>
        <v>0</v>
      </c>
      <c r="S1030" s="322">
        <v>0</v>
      </c>
      <c r="T1030" s="323">
        <f>S1030*H1030</f>
        <v>0</v>
      </c>
      <c r="U1030" s="222"/>
      <c r="V1030" s="222"/>
      <c r="W1030" s="222"/>
      <c r="X1030" s="222"/>
      <c r="Y1030" s="222"/>
      <c r="Z1030" s="222"/>
      <c r="AA1030" s="222"/>
      <c r="AB1030" s="222"/>
      <c r="AC1030" s="222"/>
      <c r="AD1030" s="222"/>
      <c r="AE1030" s="222"/>
      <c r="AR1030" s="324" t="s">
        <v>212</v>
      </c>
      <c r="AT1030" s="324" t="s">
        <v>148</v>
      </c>
      <c r="AU1030" s="324" t="s">
        <v>83</v>
      </c>
      <c r="AY1030" s="214" t="s">
        <v>146</v>
      </c>
      <c r="BE1030" s="325">
        <f>IF(N1030="základní",J1030,0)</f>
        <v>0</v>
      </c>
      <c r="BF1030" s="325">
        <f>IF(N1030="snížená",J1030,0)</f>
        <v>0</v>
      </c>
      <c r="BG1030" s="325">
        <f>IF(N1030="zákl. přenesená",J1030,0)</f>
        <v>0</v>
      </c>
      <c r="BH1030" s="325">
        <f>IF(N1030="sníž. přenesená",J1030,0)</f>
        <v>0</v>
      </c>
      <c r="BI1030" s="325">
        <f>IF(N1030="nulová",J1030,0)</f>
        <v>0</v>
      </c>
      <c r="BJ1030" s="214" t="s">
        <v>81</v>
      </c>
      <c r="BK1030" s="325">
        <f>ROUND(I1030*H1030,2)</f>
        <v>0</v>
      </c>
      <c r="BL1030" s="214" t="s">
        <v>212</v>
      </c>
      <c r="BM1030" s="324" t="s">
        <v>753</v>
      </c>
    </row>
    <row r="1031" spans="2:51" s="326" customFormat="1" ht="12">
      <c r="B1031" s="327"/>
      <c r="D1031" s="328" t="s">
        <v>155</v>
      </c>
      <c r="E1031" s="329" t="s">
        <v>1</v>
      </c>
      <c r="F1031" s="330" t="s">
        <v>754</v>
      </c>
      <c r="H1031" s="329" t="s">
        <v>1</v>
      </c>
      <c r="I1031" s="497"/>
      <c r="L1031" s="331"/>
      <c r="M1031" s="332"/>
      <c r="N1031" s="333"/>
      <c r="O1031" s="333"/>
      <c r="P1031" s="333"/>
      <c r="Q1031" s="333"/>
      <c r="R1031" s="333"/>
      <c r="S1031" s="333"/>
      <c r="T1031" s="334"/>
      <c r="AT1031" s="329" t="s">
        <v>155</v>
      </c>
      <c r="AU1031" s="329" t="s">
        <v>83</v>
      </c>
      <c r="AV1031" s="326" t="s">
        <v>81</v>
      </c>
      <c r="AW1031" s="326" t="s">
        <v>34</v>
      </c>
      <c r="AX1031" s="326" t="s">
        <v>76</v>
      </c>
      <c r="AY1031" s="329" t="s">
        <v>146</v>
      </c>
    </row>
    <row r="1032" spans="2:51" s="326" customFormat="1" ht="22.5">
      <c r="B1032" s="327"/>
      <c r="D1032" s="328" t="s">
        <v>155</v>
      </c>
      <c r="E1032" s="329" t="s">
        <v>1</v>
      </c>
      <c r="F1032" s="330" t="s">
        <v>2796</v>
      </c>
      <c r="H1032" s="329" t="s">
        <v>1</v>
      </c>
      <c r="I1032" s="497"/>
      <c r="L1032" s="331"/>
      <c r="M1032" s="332"/>
      <c r="N1032" s="333"/>
      <c r="O1032" s="333"/>
      <c r="P1032" s="333"/>
      <c r="Q1032" s="333"/>
      <c r="R1032" s="333"/>
      <c r="S1032" s="333"/>
      <c r="T1032" s="334"/>
      <c r="AT1032" s="329" t="s">
        <v>155</v>
      </c>
      <c r="AU1032" s="329" t="s">
        <v>83</v>
      </c>
      <c r="AV1032" s="326" t="s">
        <v>81</v>
      </c>
      <c r="AW1032" s="326" t="s">
        <v>34</v>
      </c>
      <c r="AX1032" s="326" t="s">
        <v>76</v>
      </c>
      <c r="AY1032" s="329" t="s">
        <v>146</v>
      </c>
    </row>
    <row r="1033" spans="2:51" s="335" customFormat="1" ht="22.5">
      <c r="B1033" s="336"/>
      <c r="D1033" s="328" t="s">
        <v>155</v>
      </c>
      <c r="E1033" s="337" t="s">
        <v>1</v>
      </c>
      <c r="F1033" s="338" t="s">
        <v>2795</v>
      </c>
      <c r="H1033" s="339">
        <f>13.16+26.4+16.74+15.04+3.06+1.48+7.37+2.1+2.18+6.28+1.5+1.45+18.5+7.13+14.98+9.56</f>
        <v>146.93</v>
      </c>
      <c r="I1033" s="498"/>
      <c r="L1033" s="340"/>
      <c r="M1033" s="341"/>
      <c r="N1033" s="342"/>
      <c r="O1033" s="342"/>
      <c r="P1033" s="342"/>
      <c r="Q1033" s="342"/>
      <c r="R1033" s="342"/>
      <c r="S1033" s="342"/>
      <c r="T1033" s="343"/>
      <c r="AT1033" s="337" t="s">
        <v>155</v>
      </c>
      <c r="AU1033" s="337" t="s">
        <v>83</v>
      </c>
      <c r="AV1033" s="335" t="s">
        <v>83</v>
      </c>
      <c r="AW1033" s="335" t="s">
        <v>34</v>
      </c>
      <c r="AX1033" s="335" t="s">
        <v>76</v>
      </c>
      <c r="AY1033" s="337" t="s">
        <v>146</v>
      </c>
    </row>
    <row r="1034" spans="2:51" s="326" customFormat="1" ht="12">
      <c r="B1034" s="327"/>
      <c r="D1034" s="328" t="s">
        <v>155</v>
      </c>
      <c r="E1034" s="329" t="s">
        <v>1</v>
      </c>
      <c r="F1034" s="330" t="s">
        <v>755</v>
      </c>
      <c r="H1034" s="329" t="s">
        <v>1</v>
      </c>
      <c r="I1034" s="497"/>
      <c r="L1034" s="331"/>
      <c r="M1034" s="332"/>
      <c r="N1034" s="333"/>
      <c r="O1034" s="333"/>
      <c r="P1034" s="333"/>
      <c r="Q1034" s="333"/>
      <c r="R1034" s="333"/>
      <c r="S1034" s="333"/>
      <c r="T1034" s="334"/>
      <c r="AT1034" s="329" t="s">
        <v>155</v>
      </c>
      <c r="AU1034" s="329" t="s">
        <v>83</v>
      </c>
      <c r="AV1034" s="326" t="s">
        <v>81</v>
      </c>
      <c r="AW1034" s="326" t="s">
        <v>34</v>
      </c>
      <c r="AX1034" s="326" t="s">
        <v>76</v>
      </c>
      <c r="AY1034" s="329" t="s">
        <v>146</v>
      </c>
    </row>
    <row r="1035" spans="2:51" s="335" customFormat="1" ht="12">
      <c r="B1035" s="336"/>
      <c r="D1035" s="328" t="s">
        <v>155</v>
      </c>
      <c r="E1035" s="337" t="s">
        <v>1</v>
      </c>
      <c r="F1035" s="338" t="s">
        <v>756</v>
      </c>
      <c r="H1035" s="339">
        <f>1.4*2.46</f>
        <v>3.444</v>
      </c>
      <c r="I1035" s="498"/>
      <c r="L1035" s="340"/>
      <c r="M1035" s="341"/>
      <c r="N1035" s="342"/>
      <c r="O1035" s="342"/>
      <c r="P1035" s="342"/>
      <c r="Q1035" s="342"/>
      <c r="R1035" s="342"/>
      <c r="S1035" s="342"/>
      <c r="T1035" s="343"/>
      <c r="AT1035" s="337" t="s">
        <v>155</v>
      </c>
      <c r="AU1035" s="337" t="s">
        <v>83</v>
      </c>
      <c r="AV1035" s="335" t="s">
        <v>83</v>
      </c>
      <c r="AW1035" s="335" t="s">
        <v>34</v>
      </c>
      <c r="AX1035" s="335" t="s">
        <v>76</v>
      </c>
      <c r="AY1035" s="337" t="s">
        <v>146</v>
      </c>
    </row>
    <row r="1036" spans="2:51" s="347" customFormat="1" ht="12">
      <c r="B1036" s="348"/>
      <c r="D1036" s="328" t="s">
        <v>155</v>
      </c>
      <c r="E1036" s="349" t="s">
        <v>1</v>
      </c>
      <c r="F1036" s="356" t="s">
        <v>157</v>
      </c>
      <c r="H1036" s="351">
        <f>SUM(H1033:H1035)</f>
        <v>150.374</v>
      </c>
      <c r="I1036" s="499"/>
      <c r="L1036" s="352"/>
      <c r="M1036" s="353"/>
      <c r="N1036" s="354"/>
      <c r="O1036" s="354"/>
      <c r="P1036" s="354"/>
      <c r="Q1036" s="354"/>
      <c r="R1036" s="354"/>
      <c r="S1036" s="354"/>
      <c r="T1036" s="355"/>
      <c r="AT1036" s="349" t="s">
        <v>155</v>
      </c>
      <c r="AU1036" s="349" t="s">
        <v>83</v>
      </c>
      <c r="AV1036" s="347" t="s">
        <v>153</v>
      </c>
      <c r="AW1036" s="347" t="s">
        <v>34</v>
      </c>
      <c r="AX1036" s="347" t="s">
        <v>81</v>
      </c>
      <c r="AY1036" s="349" t="s">
        <v>146</v>
      </c>
    </row>
    <row r="1037" spans="1:65" s="225" customFormat="1" ht="16.5" customHeight="1">
      <c r="A1037" s="222"/>
      <c r="B1037" s="223"/>
      <c r="C1037" s="358">
        <v>175</v>
      </c>
      <c r="D1037" s="358" t="s">
        <v>208</v>
      </c>
      <c r="E1037" s="359" t="s">
        <v>757</v>
      </c>
      <c r="F1037" s="364" t="s">
        <v>758</v>
      </c>
      <c r="G1037" s="361" t="s">
        <v>194</v>
      </c>
      <c r="H1037" s="362">
        <f>H1038</f>
        <v>0.04962342</v>
      </c>
      <c r="I1037" s="80"/>
      <c r="J1037" s="363">
        <f>ROUND(I1037*H1037,2)</f>
        <v>0</v>
      </c>
      <c r="K1037" s="364"/>
      <c r="L1037" s="365"/>
      <c r="M1037" s="366" t="s">
        <v>1</v>
      </c>
      <c r="N1037" s="367" t="s">
        <v>42</v>
      </c>
      <c r="O1037" s="322">
        <v>0</v>
      </c>
      <c r="P1037" s="322">
        <f>O1037*H1037</f>
        <v>0</v>
      </c>
      <c r="Q1037" s="322">
        <v>1</v>
      </c>
      <c r="R1037" s="322">
        <f>Q1037*H1037</f>
        <v>0.04962342</v>
      </c>
      <c r="S1037" s="322">
        <v>0</v>
      </c>
      <c r="T1037" s="323">
        <f>S1037*H1037</f>
        <v>0</v>
      </c>
      <c r="U1037" s="222"/>
      <c r="V1037" s="222"/>
      <c r="W1037" s="222"/>
      <c r="X1037" s="222"/>
      <c r="Y1037" s="222"/>
      <c r="Z1037" s="222"/>
      <c r="AA1037" s="222"/>
      <c r="AB1037" s="222"/>
      <c r="AC1037" s="222"/>
      <c r="AD1037" s="222"/>
      <c r="AE1037" s="222"/>
      <c r="AR1037" s="324" t="s">
        <v>298</v>
      </c>
      <c r="AT1037" s="324" t="s">
        <v>208</v>
      </c>
      <c r="AU1037" s="324" t="s">
        <v>83</v>
      </c>
      <c r="AY1037" s="214" t="s">
        <v>146</v>
      </c>
      <c r="BE1037" s="325">
        <f>IF(N1037="základní",J1037,0)</f>
        <v>0</v>
      </c>
      <c r="BF1037" s="325">
        <f>IF(N1037="snížená",J1037,0)</f>
        <v>0</v>
      </c>
      <c r="BG1037" s="325">
        <f>IF(N1037="zákl. přenesená",J1037,0)</f>
        <v>0</v>
      </c>
      <c r="BH1037" s="325">
        <f>IF(N1037="sníž. přenesená",J1037,0)</f>
        <v>0</v>
      </c>
      <c r="BI1037" s="325">
        <f>IF(N1037="nulová",J1037,0)</f>
        <v>0</v>
      </c>
      <c r="BJ1037" s="214" t="s">
        <v>81</v>
      </c>
      <c r="BK1037" s="325">
        <f>ROUND(I1037*H1037,2)</f>
        <v>0</v>
      </c>
      <c r="BL1037" s="214" t="s">
        <v>212</v>
      </c>
      <c r="BM1037" s="324" t="s">
        <v>759</v>
      </c>
    </row>
    <row r="1038" spans="2:51" s="335" customFormat="1" ht="12">
      <c r="B1038" s="336"/>
      <c r="D1038" s="328" t="s">
        <v>155</v>
      </c>
      <c r="F1038" s="338" t="s">
        <v>2797</v>
      </c>
      <c r="H1038" s="339">
        <f>150.374*0.00033</f>
        <v>0.04962342</v>
      </c>
      <c r="I1038" s="498"/>
      <c r="L1038" s="340"/>
      <c r="M1038" s="341"/>
      <c r="N1038" s="342"/>
      <c r="O1038" s="342"/>
      <c r="P1038" s="342"/>
      <c r="Q1038" s="342"/>
      <c r="R1038" s="342"/>
      <c r="S1038" s="342"/>
      <c r="T1038" s="343"/>
      <c r="AT1038" s="337" t="s">
        <v>155</v>
      </c>
      <c r="AU1038" s="337" t="s">
        <v>83</v>
      </c>
      <c r="AV1038" s="335" t="s">
        <v>83</v>
      </c>
      <c r="AW1038" s="335" t="s">
        <v>3</v>
      </c>
      <c r="AX1038" s="335" t="s">
        <v>81</v>
      </c>
      <c r="AY1038" s="337" t="s">
        <v>146</v>
      </c>
    </row>
    <row r="1039" spans="1:65" s="225" customFormat="1" ht="16.5" customHeight="1">
      <c r="A1039" s="222"/>
      <c r="B1039" s="223"/>
      <c r="C1039" s="314">
        <v>176</v>
      </c>
      <c r="D1039" s="314" t="s">
        <v>148</v>
      </c>
      <c r="E1039" s="315" t="s">
        <v>760</v>
      </c>
      <c r="F1039" s="316" t="s">
        <v>761</v>
      </c>
      <c r="G1039" s="317" t="s">
        <v>151</v>
      </c>
      <c r="H1039" s="318">
        <f>H1040</f>
        <v>87.47999999999999</v>
      </c>
      <c r="I1039" s="79"/>
      <c r="J1039" s="319">
        <f>ROUND(I1039*H1039,2)</f>
        <v>0</v>
      </c>
      <c r="K1039" s="316"/>
      <c r="L1039" s="229"/>
      <c r="M1039" s="320" t="s">
        <v>1</v>
      </c>
      <c r="N1039" s="321" t="s">
        <v>42</v>
      </c>
      <c r="O1039" s="322">
        <v>0.056</v>
      </c>
      <c r="P1039" s="322">
        <f>O1039*H1039</f>
        <v>4.898879999999999</v>
      </c>
      <c r="Q1039" s="322">
        <v>0</v>
      </c>
      <c r="R1039" s="322">
        <f>Q1039*H1039</f>
        <v>0</v>
      </c>
      <c r="S1039" s="322">
        <v>0.004</v>
      </c>
      <c r="T1039" s="440">
        <f>S1039*H1039</f>
        <v>0.34991999999999995</v>
      </c>
      <c r="U1039" s="222"/>
      <c r="V1039" s="222"/>
      <c r="W1039" s="222"/>
      <c r="X1039" s="222"/>
      <c r="Y1039" s="222"/>
      <c r="Z1039" s="222"/>
      <c r="AA1039" s="222"/>
      <c r="AB1039" s="222"/>
      <c r="AC1039" s="222"/>
      <c r="AD1039" s="222"/>
      <c r="AE1039" s="222"/>
      <c r="AR1039" s="324" t="s">
        <v>212</v>
      </c>
      <c r="AT1039" s="324" t="s">
        <v>148</v>
      </c>
      <c r="AU1039" s="324" t="s">
        <v>83</v>
      </c>
      <c r="AY1039" s="214" t="s">
        <v>146</v>
      </c>
      <c r="BE1039" s="325">
        <f>IF(N1039="základní",J1039,0)</f>
        <v>0</v>
      </c>
      <c r="BF1039" s="325">
        <f>IF(N1039="snížená",J1039,0)</f>
        <v>0</v>
      </c>
      <c r="BG1039" s="325">
        <f>IF(N1039="zákl. přenesená",J1039,0)</f>
        <v>0</v>
      </c>
      <c r="BH1039" s="325">
        <f>IF(N1039="sníž. přenesená",J1039,0)</f>
        <v>0</v>
      </c>
      <c r="BI1039" s="325">
        <f>IF(N1039="nulová",J1039,0)</f>
        <v>0</v>
      </c>
      <c r="BJ1039" s="214" t="s">
        <v>81</v>
      </c>
      <c r="BK1039" s="325">
        <f>ROUND(I1039*H1039,2)</f>
        <v>0</v>
      </c>
      <c r="BL1039" s="214" t="s">
        <v>212</v>
      </c>
      <c r="BM1039" s="324" t="s">
        <v>762</v>
      </c>
    </row>
    <row r="1040" spans="2:51" s="335" customFormat="1" ht="12">
      <c r="B1040" s="336"/>
      <c r="D1040" s="328" t="s">
        <v>155</v>
      </c>
      <c r="E1040" s="337" t="s">
        <v>1</v>
      </c>
      <c r="F1040" s="338" t="s">
        <v>666</v>
      </c>
      <c r="H1040" s="339">
        <f>26.73+16.96+15.16+15.47+13.16</f>
        <v>87.47999999999999</v>
      </c>
      <c r="I1040" s="498"/>
      <c r="L1040" s="340"/>
      <c r="M1040" s="341"/>
      <c r="N1040" s="342"/>
      <c r="O1040" s="342"/>
      <c r="P1040" s="342"/>
      <c r="Q1040" s="342"/>
      <c r="R1040" s="342"/>
      <c r="S1040" s="342"/>
      <c r="T1040" s="343"/>
      <c r="AT1040" s="337" t="s">
        <v>155</v>
      </c>
      <c r="AU1040" s="337" t="s">
        <v>83</v>
      </c>
      <c r="AV1040" s="335" t="s">
        <v>83</v>
      </c>
      <c r="AW1040" s="335" t="s">
        <v>34</v>
      </c>
      <c r="AX1040" s="335" t="s">
        <v>76</v>
      </c>
      <c r="AY1040" s="337" t="s">
        <v>146</v>
      </c>
    </row>
    <row r="1041" spans="1:65" s="225" customFormat="1" ht="24.2" customHeight="1">
      <c r="A1041" s="222"/>
      <c r="B1041" s="223"/>
      <c r="C1041" s="314">
        <v>177</v>
      </c>
      <c r="D1041" s="314" t="s">
        <v>148</v>
      </c>
      <c r="E1041" s="315" t="s">
        <v>763</v>
      </c>
      <c r="F1041" s="316" t="s">
        <v>764</v>
      </c>
      <c r="G1041" s="317" t="s">
        <v>151</v>
      </c>
      <c r="H1041" s="318">
        <f>H1044</f>
        <v>146.93</v>
      </c>
      <c r="I1041" s="79"/>
      <c r="J1041" s="319">
        <f>ROUND(I1041*H1041,2)</f>
        <v>0</v>
      </c>
      <c r="K1041" s="316"/>
      <c r="L1041" s="229"/>
      <c r="M1041" s="320" t="s">
        <v>1</v>
      </c>
      <c r="N1041" s="321" t="s">
        <v>42</v>
      </c>
      <c r="O1041" s="322">
        <v>0.222</v>
      </c>
      <c r="P1041" s="322">
        <f>O1041*H1041</f>
        <v>32.61846</v>
      </c>
      <c r="Q1041" s="322">
        <v>0.00039825</v>
      </c>
      <c r="R1041" s="322">
        <f>Q1041*H1041</f>
        <v>0.0585148725</v>
      </c>
      <c r="S1041" s="322">
        <v>0</v>
      </c>
      <c r="T1041" s="323">
        <f>S1041*H1041</f>
        <v>0</v>
      </c>
      <c r="U1041" s="222"/>
      <c r="V1041" s="222"/>
      <c r="W1041" s="222"/>
      <c r="X1041" s="222"/>
      <c r="Y1041" s="222"/>
      <c r="Z1041" s="222"/>
      <c r="AA1041" s="222"/>
      <c r="AB1041" s="222"/>
      <c r="AC1041" s="222"/>
      <c r="AD1041" s="222"/>
      <c r="AE1041" s="222"/>
      <c r="AR1041" s="324" t="s">
        <v>212</v>
      </c>
      <c r="AT1041" s="324" t="s">
        <v>148</v>
      </c>
      <c r="AU1041" s="324" t="s">
        <v>83</v>
      </c>
      <c r="AY1041" s="214" t="s">
        <v>146</v>
      </c>
      <c r="BE1041" s="325">
        <f>IF(N1041="základní",J1041,0)</f>
        <v>0</v>
      </c>
      <c r="BF1041" s="325">
        <f>IF(N1041="snížená",J1041,0)</f>
        <v>0</v>
      </c>
      <c r="BG1041" s="325">
        <f>IF(N1041="zákl. přenesená",J1041,0)</f>
        <v>0</v>
      </c>
      <c r="BH1041" s="325">
        <f>IF(N1041="sníž. přenesená",J1041,0)</f>
        <v>0</v>
      </c>
      <c r="BI1041" s="325">
        <f>IF(N1041="nulová",J1041,0)</f>
        <v>0</v>
      </c>
      <c r="BJ1041" s="214" t="s">
        <v>81</v>
      </c>
      <c r="BK1041" s="325">
        <f>ROUND(I1041*H1041,2)</f>
        <v>0</v>
      </c>
      <c r="BL1041" s="214" t="s">
        <v>212</v>
      </c>
      <c r="BM1041" s="324" t="s">
        <v>765</v>
      </c>
    </row>
    <row r="1042" spans="2:51" s="326" customFormat="1" ht="12">
      <c r="B1042" s="327"/>
      <c r="D1042" s="328" t="s">
        <v>155</v>
      </c>
      <c r="E1042" s="329" t="s">
        <v>1</v>
      </c>
      <c r="F1042" s="330" t="s">
        <v>754</v>
      </c>
      <c r="H1042" s="329" t="s">
        <v>1</v>
      </c>
      <c r="I1042" s="497"/>
      <c r="L1042" s="331"/>
      <c r="M1042" s="332"/>
      <c r="N1042" s="333"/>
      <c r="O1042" s="333"/>
      <c r="P1042" s="333"/>
      <c r="Q1042" s="333"/>
      <c r="R1042" s="333"/>
      <c r="S1042" s="333"/>
      <c r="T1042" s="334"/>
      <c r="AT1042" s="329" t="s">
        <v>155</v>
      </c>
      <c r="AU1042" s="329" t="s">
        <v>83</v>
      </c>
      <c r="AV1042" s="326" t="s">
        <v>81</v>
      </c>
      <c r="AW1042" s="326" t="s">
        <v>34</v>
      </c>
      <c r="AX1042" s="326" t="s">
        <v>76</v>
      </c>
      <c r="AY1042" s="329" t="s">
        <v>146</v>
      </c>
    </row>
    <row r="1043" spans="2:51" s="326" customFormat="1" ht="22.5">
      <c r="B1043" s="327"/>
      <c r="D1043" s="328" t="s">
        <v>155</v>
      </c>
      <c r="E1043" s="329" t="s">
        <v>1</v>
      </c>
      <c r="F1043" s="330" t="s">
        <v>2796</v>
      </c>
      <c r="H1043" s="329" t="s">
        <v>1</v>
      </c>
      <c r="I1043" s="497"/>
      <c r="L1043" s="331"/>
      <c r="M1043" s="332"/>
      <c r="N1043" s="333"/>
      <c r="O1043" s="333"/>
      <c r="P1043" s="333"/>
      <c r="Q1043" s="333"/>
      <c r="R1043" s="333"/>
      <c r="S1043" s="333"/>
      <c r="T1043" s="334"/>
      <c r="AT1043" s="329" t="s">
        <v>155</v>
      </c>
      <c r="AU1043" s="329" t="s">
        <v>83</v>
      </c>
      <c r="AV1043" s="326" t="s">
        <v>81</v>
      </c>
      <c r="AW1043" s="326" t="s">
        <v>34</v>
      </c>
      <c r="AX1043" s="326" t="s">
        <v>76</v>
      </c>
      <c r="AY1043" s="329" t="s">
        <v>146</v>
      </c>
    </row>
    <row r="1044" spans="2:51" s="335" customFormat="1" ht="22.5">
      <c r="B1044" s="336"/>
      <c r="D1044" s="328" t="s">
        <v>155</v>
      </c>
      <c r="E1044" s="337" t="s">
        <v>1</v>
      </c>
      <c r="F1044" s="338" t="s">
        <v>2795</v>
      </c>
      <c r="H1044" s="339">
        <f>13.16+26.4+16.74+15.04+3.06+1.48+7.37+2.1+2.18+6.28+1.5+1.45+18.5+7.13+14.98+9.56</f>
        <v>146.93</v>
      </c>
      <c r="I1044" s="498"/>
      <c r="L1044" s="340"/>
      <c r="M1044" s="341"/>
      <c r="N1044" s="342"/>
      <c r="O1044" s="342"/>
      <c r="P1044" s="342"/>
      <c r="Q1044" s="342"/>
      <c r="R1044" s="342"/>
      <c r="S1044" s="342"/>
      <c r="T1044" s="343"/>
      <c r="AT1044" s="337" t="s">
        <v>155</v>
      </c>
      <c r="AU1044" s="337" t="s">
        <v>83</v>
      </c>
      <c r="AV1044" s="335" t="s">
        <v>83</v>
      </c>
      <c r="AW1044" s="335" t="s">
        <v>34</v>
      </c>
      <c r="AX1044" s="335" t="s">
        <v>76</v>
      </c>
      <c r="AY1044" s="337" t="s">
        <v>146</v>
      </c>
    </row>
    <row r="1045" spans="1:65" s="225" customFormat="1" ht="51.75" customHeight="1">
      <c r="A1045" s="222"/>
      <c r="B1045" s="223"/>
      <c r="C1045" s="358">
        <v>178</v>
      </c>
      <c r="D1045" s="358" t="s">
        <v>208</v>
      </c>
      <c r="E1045" s="359" t="s">
        <v>766</v>
      </c>
      <c r="F1045" s="360" t="s">
        <v>2799</v>
      </c>
      <c r="G1045" s="361" t="s">
        <v>151</v>
      </c>
      <c r="H1045" s="362">
        <f>H1046</f>
        <v>168.96949999999998</v>
      </c>
      <c r="I1045" s="80"/>
      <c r="J1045" s="363">
        <f>ROUND(I1045*H1045,2)</f>
        <v>0</v>
      </c>
      <c r="K1045" s="364"/>
      <c r="L1045" s="365"/>
      <c r="M1045" s="366" t="s">
        <v>1</v>
      </c>
      <c r="N1045" s="367" t="s">
        <v>42</v>
      </c>
      <c r="O1045" s="322">
        <v>0</v>
      </c>
      <c r="P1045" s="322">
        <f>O1045*H1045</f>
        <v>0</v>
      </c>
      <c r="Q1045" s="322">
        <v>0.0054</v>
      </c>
      <c r="R1045" s="322">
        <f>Q1045*H1045</f>
        <v>0.9124353</v>
      </c>
      <c r="S1045" s="322">
        <v>0</v>
      </c>
      <c r="T1045" s="323">
        <f>S1045*H1045</f>
        <v>0</v>
      </c>
      <c r="U1045" s="222"/>
      <c r="V1045" s="222"/>
      <c r="W1045" s="222"/>
      <c r="X1045" s="222"/>
      <c r="Y1045" s="222"/>
      <c r="Z1045" s="222"/>
      <c r="AA1045" s="222"/>
      <c r="AB1045" s="222"/>
      <c r="AC1045" s="222"/>
      <c r="AD1045" s="222"/>
      <c r="AE1045" s="222"/>
      <c r="AR1045" s="324" t="s">
        <v>298</v>
      </c>
      <c r="AT1045" s="324" t="s">
        <v>208</v>
      </c>
      <c r="AU1045" s="324" t="s">
        <v>83</v>
      </c>
      <c r="AY1045" s="214" t="s">
        <v>146</v>
      </c>
      <c r="BE1045" s="325">
        <f>IF(N1045="základní",J1045,0)</f>
        <v>0</v>
      </c>
      <c r="BF1045" s="325">
        <f>IF(N1045="snížená",J1045,0)</f>
        <v>0</v>
      </c>
      <c r="BG1045" s="325">
        <f>IF(N1045="zákl. přenesená",J1045,0)</f>
        <v>0</v>
      </c>
      <c r="BH1045" s="325">
        <f>IF(N1045="sníž. přenesená",J1045,0)</f>
        <v>0</v>
      </c>
      <c r="BI1045" s="325">
        <f>IF(N1045="nulová",J1045,0)</f>
        <v>0</v>
      </c>
      <c r="BJ1045" s="214" t="s">
        <v>81</v>
      </c>
      <c r="BK1045" s="325">
        <f>ROUND(I1045*H1045,2)</f>
        <v>0</v>
      </c>
      <c r="BL1045" s="214" t="s">
        <v>212</v>
      </c>
      <c r="BM1045" s="324" t="s">
        <v>768</v>
      </c>
    </row>
    <row r="1046" spans="2:51" s="335" customFormat="1" ht="12">
      <c r="B1046" s="336"/>
      <c r="D1046" s="328" t="s">
        <v>155</v>
      </c>
      <c r="F1046" s="338" t="s">
        <v>2798</v>
      </c>
      <c r="H1046" s="339">
        <f>146.93*1.15</f>
        <v>168.96949999999998</v>
      </c>
      <c r="I1046" s="498"/>
      <c r="L1046" s="340"/>
      <c r="M1046" s="341"/>
      <c r="N1046" s="342"/>
      <c r="O1046" s="342"/>
      <c r="P1046" s="342"/>
      <c r="Q1046" s="342"/>
      <c r="R1046" s="342"/>
      <c r="S1046" s="342"/>
      <c r="T1046" s="343"/>
      <c r="AT1046" s="337" t="s">
        <v>155</v>
      </c>
      <c r="AU1046" s="337" t="s">
        <v>83</v>
      </c>
      <c r="AV1046" s="335" t="s">
        <v>83</v>
      </c>
      <c r="AW1046" s="335" t="s">
        <v>3</v>
      </c>
      <c r="AX1046" s="335" t="s">
        <v>81</v>
      </c>
      <c r="AY1046" s="337" t="s">
        <v>146</v>
      </c>
    </row>
    <row r="1047" spans="1:65" s="225" customFormat="1" ht="24.2" customHeight="1">
      <c r="A1047" s="222"/>
      <c r="B1047" s="223"/>
      <c r="C1047" s="314">
        <v>179</v>
      </c>
      <c r="D1047" s="314" t="s">
        <v>148</v>
      </c>
      <c r="E1047" s="315" t="s">
        <v>769</v>
      </c>
      <c r="F1047" s="316" t="s">
        <v>770</v>
      </c>
      <c r="G1047" s="317" t="s">
        <v>151</v>
      </c>
      <c r="H1047" s="318">
        <f>H1049</f>
        <v>3.444</v>
      </c>
      <c r="I1047" s="79"/>
      <c r="J1047" s="319">
        <f>ROUND(I1047*H1047,2)</f>
        <v>0</v>
      </c>
      <c r="K1047" s="316"/>
      <c r="L1047" s="229"/>
      <c r="M1047" s="320" t="s">
        <v>1</v>
      </c>
      <c r="N1047" s="321" t="s">
        <v>42</v>
      </c>
      <c r="O1047" s="322">
        <v>0.26</v>
      </c>
      <c r="P1047" s="322">
        <f>O1047*H1047</f>
        <v>0.89544</v>
      </c>
      <c r="Q1047" s="322">
        <v>0.00039825</v>
      </c>
      <c r="R1047" s="322">
        <f>Q1047*H1047</f>
        <v>0.001371573</v>
      </c>
      <c r="S1047" s="322">
        <v>0</v>
      </c>
      <c r="T1047" s="323">
        <f>S1047*H1047</f>
        <v>0</v>
      </c>
      <c r="U1047" s="222"/>
      <c r="V1047" s="222"/>
      <c r="W1047" s="222"/>
      <c r="X1047" s="222"/>
      <c r="Y1047" s="222"/>
      <c r="Z1047" s="222"/>
      <c r="AA1047" s="222"/>
      <c r="AB1047" s="222"/>
      <c r="AC1047" s="222"/>
      <c r="AD1047" s="222"/>
      <c r="AE1047" s="222"/>
      <c r="AR1047" s="324" t="s">
        <v>212</v>
      </c>
      <c r="AT1047" s="324" t="s">
        <v>148</v>
      </c>
      <c r="AU1047" s="324" t="s">
        <v>83</v>
      </c>
      <c r="AY1047" s="214" t="s">
        <v>146</v>
      </c>
      <c r="BE1047" s="325">
        <f>IF(N1047="základní",J1047,0)</f>
        <v>0</v>
      </c>
      <c r="BF1047" s="325">
        <f>IF(N1047="snížená",J1047,0)</f>
        <v>0</v>
      </c>
      <c r="BG1047" s="325">
        <f>IF(N1047="zákl. přenesená",J1047,0)</f>
        <v>0</v>
      </c>
      <c r="BH1047" s="325">
        <f>IF(N1047="sníž. přenesená",J1047,0)</f>
        <v>0</v>
      </c>
      <c r="BI1047" s="325">
        <f>IF(N1047="nulová",J1047,0)</f>
        <v>0</v>
      </c>
      <c r="BJ1047" s="214" t="s">
        <v>81</v>
      </c>
      <c r="BK1047" s="325">
        <f>ROUND(I1047*H1047,2)</f>
        <v>0</v>
      </c>
      <c r="BL1047" s="214" t="s">
        <v>212</v>
      </c>
      <c r="BM1047" s="324" t="s">
        <v>771</v>
      </c>
    </row>
    <row r="1048" spans="2:51" s="326" customFormat="1" ht="12">
      <c r="B1048" s="327"/>
      <c r="D1048" s="328" t="s">
        <v>155</v>
      </c>
      <c r="E1048" s="329" t="s">
        <v>1</v>
      </c>
      <c r="F1048" s="330" t="s">
        <v>755</v>
      </c>
      <c r="H1048" s="329" t="s">
        <v>1</v>
      </c>
      <c r="I1048" s="497"/>
      <c r="L1048" s="331"/>
      <c r="M1048" s="332"/>
      <c r="N1048" s="333"/>
      <c r="O1048" s="333"/>
      <c r="P1048" s="333"/>
      <c r="Q1048" s="333"/>
      <c r="R1048" s="333"/>
      <c r="S1048" s="333"/>
      <c r="T1048" s="334"/>
      <c r="AT1048" s="329" t="s">
        <v>155</v>
      </c>
      <c r="AU1048" s="329" t="s">
        <v>83</v>
      </c>
      <c r="AV1048" s="326" t="s">
        <v>81</v>
      </c>
      <c r="AW1048" s="326" t="s">
        <v>34</v>
      </c>
      <c r="AX1048" s="326" t="s">
        <v>76</v>
      </c>
      <c r="AY1048" s="329" t="s">
        <v>146</v>
      </c>
    </row>
    <row r="1049" spans="2:51" s="335" customFormat="1" ht="12">
      <c r="B1049" s="336"/>
      <c r="D1049" s="328" t="s">
        <v>155</v>
      </c>
      <c r="E1049" s="337" t="s">
        <v>1</v>
      </c>
      <c r="F1049" s="338" t="s">
        <v>756</v>
      </c>
      <c r="H1049" s="339">
        <f>1.4*2.46</f>
        <v>3.444</v>
      </c>
      <c r="I1049" s="498"/>
      <c r="L1049" s="340"/>
      <c r="M1049" s="341"/>
      <c r="N1049" s="342"/>
      <c r="O1049" s="342"/>
      <c r="P1049" s="342"/>
      <c r="Q1049" s="342"/>
      <c r="R1049" s="342"/>
      <c r="S1049" s="342"/>
      <c r="T1049" s="343"/>
      <c r="AT1049" s="337" t="s">
        <v>155</v>
      </c>
      <c r="AU1049" s="337" t="s">
        <v>83</v>
      </c>
      <c r="AV1049" s="335" t="s">
        <v>83</v>
      </c>
      <c r="AW1049" s="335" t="s">
        <v>34</v>
      </c>
      <c r="AX1049" s="335" t="s">
        <v>76</v>
      </c>
      <c r="AY1049" s="337" t="s">
        <v>146</v>
      </c>
    </row>
    <row r="1050" spans="2:51" s="326" customFormat="1" ht="12">
      <c r="B1050" s="327"/>
      <c r="D1050" s="328" t="s">
        <v>155</v>
      </c>
      <c r="E1050" s="329" t="s">
        <v>1</v>
      </c>
      <c r="F1050" s="330" t="s">
        <v>508</v>
      </c>
      <c r="H1050" s="329" t="s">
        <v>1</v>
      </c>
      <c r="I1050" s="497"/>
      <c r="L1050" s="331"/>
      <c r="M1050" s="332"/>
      <c r="N1050" s="333"/>
      <c r="O1050" s="333"/>
      <c r="P1050" s="333"/>
      <c r="Q1050" s="333"/>
      <c r="R1050" s="333"/>
      <c r="S1050" s="333"/>
      <c r="T1050" s="334"/>
      <c r="AT1050" s="329" t="s">
        <v>155</v>
      </c>
      <c r="AU1050" s="329" t="s">
        <v>83</v>
      </c>
      <c r="AV1050" s="326" t="s">
        <v>81</v>
      </c>
      <c r="AW1050" s="326" t="s">
        <v>34</v>
      </c>
      <c r="AX1050" s="326" t="s">
        <v>76</v>
      </c>
      <c r="AY1050" s="329" t="s">
        <v>146</v>
      </c>
    </row>
    <row r="1051" spans="1:65" s="225" customFormat="1" ht="44.25" customHeight="1">
      <c r="A1051" s="222"/>
      <c r="B1051" s="223"/>
      <c r="C1051" s="358">
        <v>180</v>
      </c>
      <c r="D1051" s="358" t="s">
        <v>208</v>
      </c>
      <c r="E1051" s="359" t="s">
        <v>766</v>
      </c>
      <c r="F1051" s="364" t="s">
        <v>767</v>
      </c>
      <c r="G1051" s="361" t="s">
        <v>151</v>
      </c>
      <c r="H1051" s="362">
        <f>H1052</f>
        <v>4.1328</v>
      </c>
      <c r="I1051" s="80"/>
      <c r="J1051" s="363">
        <f>ROUND(I1051*H1051,2)</f>
        <v>0</v>
      </c>
      <c r="K1051" s="364"/>
      <c r="L1051" s="365"/>
      <c r="M1051" s="366" t="s">
        <v>1</v>
      </c>
      <c r="N1051" s="367" t="s">
        <v>42</v>
      </c>
      <c r="O1051" s="322">
        <v>0</v>
      </c>
      <c r="P1051" s="322">
        <f>O1051*H1051</f>
        <v>0</v>
      </c>
      <c r="Q1051" s="322">
        <v>0.0054</v>
      </c>
      <c r="R1051" s="322">
        <f>Q1051*H1051</f>
        <v>0.02231712</v>
      </c>
      <c r="S1051" s="322">
        <v>0</v>
      </c>
      <c r="T1051" s="323">
        <f>S1051*H1051</f>
        <v>0</v>
      </c>
      <c r="U1051" s="222"/>
      <c r="V1051" s="222"/>
      <c r="W1051" s="222"/>
      <c r="X1051" s="222"/>
      <c r="Y1051" s="222"/>
      <c r="Z1051" s="222"/>
      <c r="AA1051" s="222"/>
      <c r="AB1051" s="222"/>
      <c r="AC1051" s="222"/>
      <c r="AD1051" s="222"/>
      <c r="AE1051" s="222"/>
      <c r="AR1051" s="324" t="s">
        <v>298</v>
      </c>
      <c r="AT1051" s="324" t="s">
        <v>208</v>
      </c>
      <c r="AU1051" s="324" t="s">
        <v>83</v>
      </c>
      <c r="AY1051" s="214" t="s">
        <v>146</v>
      </c>
      <c r="BE1051" s="325">
        <f>IF(N1051="základní",J1051,0)</f>
        <v>0</v>
      </c>
      <c r="BF1051" s="325">
        <f>IF(N1051="snížená",J1051,0)</f>
        <v>0</v>
      </c>
      <c r="BG1051" s="325">
        <f>IF(N1051="zákl. přenesená",J1051,0)</f>
        <v>0</v>
      </c>
      <c r="BH1051" s="325">
        <f>IF(N1051="sníž. přenesená",J1051,0)</f>
        <v>0</v>
      </c>
      <c r="BI1051" s="325">
        <f>IF(N1051="nulová",J1051,0)</f>
        <v>0</v>
      </c>
      <c r="BJ1051" s="214" t="s">
        <v>81</v>
      </c>
      <c r="BK1051" s="325">
        <f>ROUND(I1051*H1051,2)</f>
        <v>0</v>
      </c>
      <c r="BL1051" s="214" t="s">
        <v>212</v>
      </c>
      <c r="BM1051" s="324" t="s">
        <v>772</v>
      </c>
    </row>
    <row r="1052" spans="2:51" s="335" customFormat="1" ht="12">
      <c r="B1052" s="336"/>
      <c r="D1052" s="328" t="s">
        <v>155</v>
      </c>
      <c r="F1052" s="338" t="s">
        <v>2801</v>
      </c>
      <c r="H1052" s="339">
        <f>3.444*1.2</f>
        <v>4.1328</v>
      </c>
      <c r="I1052" s="498"/>
      <c r="L1052" s="340"/>
      <c r="M1052" s="341"/>
      <c r="N1052" s="342"/>
      <c r="O1052" s="342"/>
      <c r="P1052" s="342"/>
      <c r="Q1052" s="342"/>
      <c r="R1052" s="342"/>
      <c r="S1052" s="342"/>
      <c r="T1052" s="343"/>
      <c r="AT1052" s="337" t="s">
        <v>155</v>
      </c>
      <c r="AU1052" s="337" t="s">
        <v>83</v>
      </c>
      <c r="AV1052" s="335" t="s">
        <v>83</v>
      </c>
      <c r="AW1052" s="335" t="s">
        <v>3</v>
      </c>
      <c r="AX1052" s="335" t="s">
        <v>81</v>
      </c>
      <c r="AY1052" s="337" t="s">
        <v>146</v>
      </c>
    </row>
    <row r="1053" spans="1:65" s="225" customFormat="1" ht="24.2" customHeight="1">
      <c r="A1053" s="222"/>
      <c r="B1053" s="223"/>
      <c r="C1053" s="314">
        <v>181</v>
      </c>
      <c r="D1053" s="314" t="s">
        <v>148</v>
      </c>
      <c r="E1053" s="397" t="s">
        <v>773</v>
      </c>
      <c r="F1053" s="344" t="s">
        <v>774</v>
      </c>
      <c r="G1053" s="317" t="s">
        <v>151</v>
      </c>
      <c r="H1053" s="318">
        <f>H1055</f>
        <v>69.795</v>
      </c>
      <c r="I1053" s="79"/>
      <c r="J1053" s="319">
        <f>ROUND(I1053*H1053,2)</f>
        <v>0</v>
      </c>
      <c r="K1053" s="316"/>
      <c r="L1053" s="229"/>
      <c r="M1053" s="320" t="s">
        <v>1</v>
      </c>
      <c r="N1053" s="321" t="s">
        <v>42</v>
      </c>
      <c r="O1053" s="322">
        <v>0.122</v>
      </c>
      <c r="P1053" s="322">
        <f>O1053*H1053</f>
        <v>8.51499</v>
      </c>
      <c r="Q1053" s="322">
        <v>0.000395</v>
      </c>
      <c r="R1053" s="322">
        <f>Q1053*H1053</f>
        <v>0.027569025</v>
      </c>
      <c r="S1053" s="322">
        <v>0</v>
      </c>
      <c r="T1053" s="323">
        <f>S1053*H1053</f>
        <v>0</v>
      </c>
      <c r="U1053" s="222"/>
      <c r="V1053" s="222"/>
      <c r="W1053" s="222"/>
      <c r="X1053" s="222"/>
      <c r="Y1053" s="222"/>
      <c r="Z1053" s="222"/>
      <c r="AA1053" s="222"/>
      <c r="AB1053" s="222"/>
      <c r="AC1053" s="222"/>
      <c r="AD1053" s="222"/>
      <c r="AE1053" s="222"/>
      <c r="AR1053" s="324" t="s">
        <v>212</v>
      </c>
      <c r="AT1053" s="324" t="s">
        <v>148</v>
      </c>
      <c r="AU1053" s="324" t="s">
        <v>83</v>
      </c>
      <c r="AY1053" s="214" t="s">
        <v>146</v>
      </c>
      <c r="BE1053" s="325">
        <f>IF(N1053="základní",J1053,0)</f>
        <v>0</v>
      </c>
      <c r="BF1053" s="325">
        <f>IF(N1053="snížená",J1053,0)</f>
        <v>0</v>
      </c>
      <c r="BG1053" s="325">
        <f>IF(N1053="zákl. přenesená",J1053,0)</f>
        <v>0</v>
      </c>
      <c r="BH1053" s="325">
        <f>IF(N1053="sníž. přenesená",J1053,0)</f>
        <v>0</v>
      </c>
      <c r="BI1053" s="325">
        <f>IF(N1053="nulová",J1053,0)</f>
        <v>0</v>
      </c>
      <c r="BJ1053" s="214" t="s">
        <v>81</v>
      </c>
      <c r="BK1053" s="325">
        <f>ROUND(I1053*H1053,2)</f>
        <v>0</v>
      </c>
      <c r="BL1053" s="214" t="s">
        <v>212</v>
      </c>
      <c r="BM1053" s="324" t="s">
        <v>775</v>
      </c>
    </row>
    <row r="1054" spans="2:51" s="326" customFormat="1" ht="12">
      <c r="B1054" s="327"/>
      <c r="D1054" s="328" t="s">
        <v>155</v>
      </c>
      <c r="E1054" s="427" t="s">
        <v>1</v>
      </c>
      <c r="F1054" s="345" t="s">
        <v>2793</v>
      </c>
      <c r="H1054" s="329" t="s">
        <v>1</v>
      </c>
      <c r="I1054" s="497"/>
      <c r="L1054" s="331"/>
      <c r="M1054" s="332"/>
      <c r="N1054" s="333"/>
      <c r="O1054" s="333"/>
      <c r="P1054" s="333"/>
      <c r="Q1054" s="333"/>
      <c r="R1054" s="333"/>
      <c r="S1054" s="333"/>
      <c r="T1054" s="334"/>
      <c r="AT1054" s="329" t="s">
        <v>155</v>
      </c>
      <c r="AU1054" s="329" t="s">
        <v>83</v>
      </c>
      <c r="AV1054" s="326" t="s">
        <v>81</v>
      </c>
      <c r="AW1054" s="326" t="s">
        <v>34</v>
      </c>
      <c r="AX1054" s="326" t="s">
        <v>76</v>
      </c>
      <c r="AY1054" s="329" t="s">
        <v>146</v>
      </c>
    </row>
    <row r="1055" spans="2:51" s="335" customFormat="1" ht="12">
      <c r="B1055" s="336"/>
      <c r="D1055" s="328" t="s">
        <v>155</v>
      </c>
      <c r="E1055" s="337" t="s">
        <v>1</v>
      </c>
      <c r="F1055" s="338" t="s">
        <v>2792</v>
      </c>
      <c r="H1055" s="339">
        <f>0.55*(14.4+13+27.4+35.975+13.25+22.875)</f>
        <v>69.795</v>
      </c>
      <c r="I1055" s="498"/>
      <c r="L1055" s="340"/>
      <c r="M1055" s="341"/>
      <c r="N1055" s="342"/>
      <c r="O1055" s="342"/>
      <c r="P1055" s="342"/>
      <c r="Q1055" s="342"/>
      <c r="R1055" s="342"/>
      <c r="S1055" s="342"/>
      <c r="T1055" s="343"/>
      <c r="AT1055" s="337" t="s">
        <v>155</v>
      </c>
      <c r="AU1055" s="337" t="s">
        <v>83</v>
      </c>
      <c r="AV1055" s="335" t="s">
        <v>83</v>
      </c>
      <c r="AW1055" s="335" t="s">
        <v>34</v>
      </c>
      <c r="AX1055" s="335" t="s">
        <v>76</v>
      </c>
      <c r="AY1055" s="337" t="s">
        <v>146</v>
      </c>
    </row>
    <row r="1056" spans="1:65" s="225" customFormat="1" ht="24.2" customHeight="1">
      <c r="A1056" s="222"/>
      <c r="B1056" s="223"/>
      <c r="C1056" s="314">
        <v>182</v>
      </c>
      <c r="D1056" s="314" t="s">
        <v>148</v>
      </c>
      <c r="E1056" s="315" t="s">
        <v>776</v>
      </c>
      <c r="F1056" s="316" t="s">
        <v>777</v>
      </c>
      <c r="G1056" s="317" t="s">
        <v>158</v>
      </c>
      <c r="H1056" s="318">
        <f>H1058</f>
        <v>112.30000000000001</v>
      </c>
      <c r="I1056" s="79"/>
      <c r="J1056" s="319">
        <f>ROUND(I1056*H1056,2)</f>
        <v>0</v>
      </c>
      <c r="K1056" s="316"/>
      <c r="L1056" s="229"/>
      <c r="M1056" s="320" t="s">
        <v>1</v>
      </c>
      <c r="N1056" s="321" t="s">
        <v>42</v>
      </c>
      <c r="O1056" s="322">
        <v>0.084</v>
      </c>
      <c r="P1056" s="322">
        <f>O1056*H1056</f>
        <v>9.433200000000001</v>
      </c>
      <c r="Q1056" s="322">
        <v>0.00016</v>
      </c>
      <c r="R1056" s="322">
        <f>Q1056*H1056</f>
        <v>0.017968000000000005</v>
      </c>
      <c r="S1056" s="322">
        <v>0</v>
      </c>
      <c r="T1056" s="323">
        <f>S1056*H1056</f>
        <v>0</v>
      </c>
      <c r="U1056" s="222"/>
      <c r="V1056" s="222"/>
      <c r="W1056" s="222"/>
      <c r="X1056" s="222"/>
      <c r="Y1056" s="222"/>
      <c r="Z1056" s="222"/>
      <c r="AA1056" s="222"/>
      <c r="AB1056" s="222"/>
      <c r="AC1056" s="222"/>
      <c r="AD1056" s="222"/>
      <c r="AE1056" s="222"/>
      <c r="AR1056" s="324" t="s">
        <v>212</v>
      </c>
      <c r="AT1056" s="324" t="s">
        <v>148</v>
      </c>
      <c r="AU1056" s="324" t="s">
        <v>83</v>
      </c>
      <c r="AY1056" s="214" t="s">
        <v>146</v>
      </c>
      <c r="BE1056" s="325">
        <f>IF(N1056="základní",J1056,0)</f>
        <v>0</v>
      </c>
      <c r="BF1056" s="325">
        <f>IF(N1056="snížená",J1056,0)</f>
        <v>0</v>
      </c>
      <c r="BG1056" s="325">
        <f>IF(N1056="zákl. přenesená",J1056,0)</f>
        <v>0</v>
      </c>
      <c r="BH1056" s="325">
        <f>IF(N1056="sníž. přenesená",J1056,0)</f>
        <v>0</v>
      </c>
      <c r="BI1056" s="325">
        <f>IF(N1056="nulová",J1056,0)</f>
        <v>0</v>
      </c>
      <c r="BJ1056" s="214" t="s">
        <v>81</v>
      </c>
      <c r="BK1056" s="325">
        <f>ROUND(I1056*H1056,2)</f>
        <v>0</v>
      </c>
      <c r="BL1056" s="214" t="s">
        <v>212</v>
      </c>
      <c r="BM1056" s="324" t="s">
        <v>778</v>
      </c>
    </row>
    <row r="1057" spans="2:51" s="326" customFormat="1" ht="12">
      <c r="B1057" s="327"/>
      <c r="D1057" s="328" t="s">
        <v>155</v>
      </c>
      <c r="E1057" s="329" t="s">
        <v>1</v>
      </c>
      <c r="F1057" s="345" t="s">
        <v>2793</v>
      </c>
      <c r="H1057" s="329" t="s">
        <v>1</v>
      </c>
      <c r="I1057" s="497"/>
      <c r="L1057" s="331"/>
      <c r="M1057" s="332"/>
      <c r="N1057" s="333"/>
      <c r="O1057" s="333"/>
      <c r="P1057" s="333"/>
      <c r="Q1057" s="333"/>
      <c r="R1057" s="333"/>
      <c r="S1057" s="333"/>
      <c r="T1057" s="334"/>
      <c r="AT1057" s="329" t="s">
        <v>155</v>
      </c>
      <c r="AU1057" s="329" t="s">
        <v>83</v>
      </c>
      <c r="AV1057" s="326" t="s">
        <v>81</v>
      </c>
      <c r="AW1057" s="326" t="s">
        <v>34</v>
      </c>
      <c r="AX1057" s="326" t="s">
        <v>76</v>
      </c>
      <c r="AY1057" s="329" t="s">
        <v>146</v>
      </c>
    </row>
    <row r="1058" spans="2:51" s="335" customFormat="1" ht="22.5">
      <c r="B1058" s="336"/>
      <c r="D1058" s="328" t="s">
        <v>155</v>
      </c>
      <c r="E1058" s="337" t="s">
        <v>1</v>
      </c>
      <c r="F1058" s="338" t="s">
        <v>2794</v>
      </c>
      <c r="H1058" s="339">
        <f>14.4+13+27.4+35.975+13.25+22.875-1.8-3.3*2-3-1.75-1.45</f>
        <v>112.30000000000001</v>
      </c>
      <c r="I1058" s="498"/>
      <c r="L1058" s="340"/>
      <c r="M1058" s="341"/>
      <c r="N1058" s="342"/>
      <c r="O1058" s="342"/>
      <c r="P1058" s="342"/>
      <c r="Q1058" s="342"/>
      <c r="R1058" s="342"/>
      <c r="S1058" s="342"/>
      <c r="T1058" s="343"/>
      <c r="AT1058" s="337" t="s">
        <v>155</v>
      </c>
      <c r="AU1058" s="337" t="s">
        <v>83</v>
      </c>
      <c r="AV1058" s="335" t="s">
        <v>83</v>
      </c>
      <c r="AW1058" s="335" t="s">
        <v>34</v>
      </c>
      <c r="AX1058" s="335" t="s">
        <v>76</v>
      </c>
      <c r="AY1058" s="337" t="s">
        <v>146</v>
      </c>
    </row>
    <row r="1059" spans="1:65" s="225" customFormat="1" ht="45" customHeight="1">
      <c r="A1059" s="222"/>
      <c r="B1059" s="223"/>
      <c r="C1059" s="314">
        <v>183</v>
      </c>
      <c r="D1059" s="314"/>
      <c r="E1059" s="315"/>
      <c r="F1059" s="316" t="s">
        <v>3714</v>
      </c>
      <c r="G1059" s="317" t="s">
        <v>301</v>
      </c>
      <c r="H1059" s="318">
        <v>10</v>
      </c>
      <c r="I1059" s="79"/>
      <c r="J1059" s="319">
        <f>ROUND(I1059*H1059,2)</f>
        <v>0</v>
      </c>
      <c r="K1059" s="316"/>
      <c r="L1059" s="229"/>
      <c r="M1059" s="320" t="s">
        <v>1</v>
      </c>
      <c r="N1059" s="321" t="s">
        <v>42</v>
      </c>
      <c r="O1059" s="322">
        <v>0.222</v>
      </c>
      <c r="P1059" s="322">
        <f>O1059*H1059</f>
        <v>2.22</v>
      </c>
      <c r="Q1059" s="322">
        <v>0.00039825</v>
      </c>
      <c r="R1059" s="322">
        <f>Q1059*H1059</f>
        <v>0.0039825</v>
      </c>
      <c r="S1059" s="322">
        <v>0</v>
      </c>
      <c r="T1059" s="323">
        <f>S1059*H1059</f>
        <v>0</v>
      </c>
      <c r="U1059" s="222"/>
      <c r="V1059" s="222"/>
      <c r="W1059" s="222"/>
      <c r="X1059" s="222"/>
      <c r="Y1059" s="222"/>
      <c r="Z1059" s="222"/>
      <c r="AA1059" s="222"/>
      <c r="AB1059" s="222"/>
      <c r="AC1059" s="222"/>
      <c r="AD1059" s="222"/>
      <c r="AE1059" s="222"/>
      <c r="AR1059" s="324" t="s">
        <v>212</v>
      </c>
      <c r="AT1059" s="324" t="s">
        <v>148</v>
      </c>
      <c r="AU1059" s="324" t="s">
        <v>83</v>
      </c>
      <c r="AY1059" s="214" t="s">
        <v>146</v>
      </c>
      <c r="BE1059" s="325">
        <f>IF(N1059="základní",J1059,0)</f>
        <v>0</v>
      </c>
      <c r="BF1059" s="325">
        <f>IF(N1059="snížená",J1059,0)</f>
        <v>0</v>
      </c>
      <c r="BG1059" s="325">
        <f>IF(N1059="zákl. přenesená",J1059,0)</f>
        <v>0</v>
      </c>
      <c r="BH1059" s="325">
        <f>IF(N1059="sníž. přenesená",J1059,0)</f>
        <v>0</v>
      </c>
      <c r="BI1059" s="325">
        <f>IF(N1059="nulová",J1059,0)</f>
        <v>0</v>
      </c>
      <c r="BJ1059" s="214" t="s">
        <v>81</v>
      </c>
      <c r="BK1059" s="325">
        <f>ROUND(I1059*H1059,2)</f>
        <v>0</v>
      </c>
      <c r="BL1059" s="214" t="s">
        <v>212</v>
      </c>
      <c r="BM1059" s="324" t="s">
        <v>765</v>
      </c>
    </row>
    <row r="1060" spans="2:51" s="335" customFormat="1" ht="22.5">
      <c r="B1060" s="336"/>
      <c r="D1060" s="328" t="s">
        <v>155</v>
      </c>
      <c r="E1060" s="337" t="s">
        <v>1</v>
      </c>
      <c r="F1060" s="338" t="s">
        <v>3679</v>
      </c>
      <c r="H1060" s="339">
        <v>10</v>
      </c>
      <c r="I1060" s="498"/>
      <c r="L1060" s="340"/>
      <c r="M1060" s="341"/>
      <c r="N1060" s="342"/>
      <c r="O1060" s="342"/>
      <c r="P1060" s="342"/>
      <c r="Q1060" s="342"/>
      <c r="R1060" s="342"/>
      <c r="S1060" s="342"/>
      <c r="T1060" s="343"/>
      <c r="AT1060" s="337" t="s">
        <v>155</v>
      </c>
      <c r="AU1060" s="337" t="s">
        <v>83</v>
      </c>
      <c r="AV1060" s="335" t="s">
        <v>83</v>
      </c>
      <c r="AW1060" s="335" t="s">
        <v>34</v>
      </c>
      <c r="AX1060" s="335" t="s">
        <v>76</v>
      </c>
      <c r="AY1060" s="337" t="s">
        <v>146</v>
      </c>
    </row>
    <row r="1061" spans="1:65" s="263" customFormat="1" ht="33" customHeight="1">
      <c r="A1061" s="258"/>
      <c r="B1061" s="259"/>
      <c r="C1061" s="357">
        <v>184</v>
      </c>
      <c r="D1061" s="357" t="s">
        <v>148</v>
      </c>
      <c r="E1061" s="397" t="s">
        <v>779</v>
      </c>
      <c r="F1061" s="344" t="s">
        <v>2909</v>
      </c>
      <c r="G1061" s="399" t="s">
        <v>194</v>
      </c>
      <c r="H1061" s="400">
        <f>R1029</f>
        <v>1.0937818105</v>
      </c>
      <c r="I1061" s="85"/>
      <c r="J1061" s="319">
        <f>ROUND(I1061*H1061,2)</f>
        <v>0</v>
      </c>
      <c r="K1061" s="344"/>
      <c r="L1061" s="373"/>
      <c r="M1061" s="402" t="s">
        <v>1</v>
      </c>
      <c r="N1061" s="403" t="s">
        <v>42</v>
      </c>
      <c r="O1061" s="404">
        <v>0</v>
      </c>
      <c r="P1061" s="404">
        <f>O1061*H1061</f>
        <v>0</v>
      </c>
      <c r="Q1061" s="404"/>
      <c r="R1061" s="404"/>
      <c r="S1061" s="404"/>
      <c r="T1061" s="405"/>
      <c r="U1061" s="258"/>
      <c r="V1061" s="258"/>
      <c r="W1061" s="258"/>
      <c r="X1061" s="258"/>
      <c r="Y1061" s="258"/>
      <c r="Z1061" s="258"/>
      <c r="AA1061" s="258"/>
      <c r="AB1061" s="258"/>
      <c r="AC1061" s="258"/>
      <c r="AD1061" s="258"/>
      <c r="AE1061" s="258"/>
      <c r="AR1061" s="260" t="s">
        <v>212</v>
      </c>
      <c r="AT1061" s="260" t="s">
        <v>148</v>
      </c>
      <c r="AU1061" s="260" t="s">
        <v>83</v>
      </c>
      <c r="AY1061" s="406" t="s">
        <v>146</v>
      </c>
      <c r="BE1061" s="407">
        <f>IF(N1061="základní",J1061,0)</f>
        <v>0</v>
      </c>
      <c r="BF1061" s="407">
        <f>IF(N1061="snížená",J1061,0)</f>
        <v>0</v>
      </c>
      <c r="BG1061" s="407">
        <f>IF(N1061="zákl. přenesená",J1061,0)</f>
        <v>0</v>
      </c>
      <c r="BH1061" s="407">
        <f>IF(N1061="sníž. přenesená",J1061,0)</f>
        <v>0</v>
      </c>
      <c r="BI1061" s="407">
        <f>IF(N1061="nulová",J1061,0)</f>
        <v>0</v>
      </c>
      <c r="BJ1061" s="406" t="s">
        <v>81</v>
      </c>
      <c r="BK1061" s="407">
        <f>ROUND(I1061*H1061,2)</f>
        <v>0</v>
      </c>
      <c r="BL1061" s="406" t="s">
        <v>212</v>
      </c>
      <c r="BM1061" s="260" t="s">
        <v>780</v>
      </c>
    </row>
    <row r="1062" spans="2:63" s="297" customFormat="1" ht="22.9" customHeight="1">
      <c r="B1062" s="298"/>
      <c r="D1062" s="299" t="s">
        <v>75</v>
      </c>
      <c r="E1062" s="310" t="s">
        <v>781</v>
      </c>
      <c r="F1062" s="310" t="s">
        <v>782</v>
      </c>
      <c r="I1062" s="501"/>
      <c r="J1062" s="311">
        <f>SUM(J1063:J1103)</f>
        <v>0</v>
      </c>
      <c r="L1062" s="302"/>
      <c r="M1062" s="303"/>
      <c r="N1062" s="304"/>
      <c r="O1062" s="304"/>
      <c r="P1062" s="305">
        <f>SUM(P1063:P1103)</f>
        <v>230.39486</v>
      </c>
      <c r="Q1062" s="304"/>
      <c r="R1062" s="305">
        <f>SUM(R1063:R1103)</f>
        <v>4.452443150399999</v>
      </c>
      <c r="S1062" s="304"/>
      <c r="T1062" s="313">
        <f>SUM(T1063:T1103)</f>
        <v>11.317515</v>
      </c>
      <c r="AR1062" s="299" t="s">
        <v>83</v>
      </c>
      <c r="AT1062" s="308" t="s">
        <v>75</v>
      </c>
      <c r="AU1062" s="308" t="s">
        <v>81</v>
      </c>
      <c r="AY1062" s="299" t="s">
        <v>146</v>
      </c>
      <c r="BK1062" s="309">
        <f>SUM(BK1063:BK1103)</f>
        <v>0</v>
      </c>
    </row>
    <row r="1063" spans="1:65" s="225" customFormat="1" ht="24.2" customHeight="1">
      <c r="A1063" s="222"/>
      <c r="B1063" s="223"/>
      <c r="C1063" s="314">
        <v>185</v>
      </c>
      <c r="D1063" s="314" t="s">
        <v>148</v>
      </c>
      <c r="E1063" s="315" t="s">
        <v>783</v>
      </c>
      <c r="F1063" s="316" t="s">
        <v>784</v>
      </c>
      <c r="G1063" s="317" t="s">
        <v>151</v>
      </c>
      <c r="H1063" s="318">
        <f>H1070</f>
        <v>610.0799999999999</v>
      </c>
      <c r="I1063" s="79"/>
      <c r="J1063" s="319">
        <f>ROUND(I1063*H1063,2)</f>
        <v>0</v>
      </c>
      <c r="K1063" s="316"/>
      <c r="L1063" s="229"/>
      <c r="M1063" s="320" t="s">
        <v>1</v>
      </c>
      <c r="N1063" s="321" t="s">
        <v>42</v>
      </c>
      <c r="O1063" s="322">
        <v>0.029</v>
      </c>
      <c r="P1063" s="322">
        <f>O1063*H1063</f>
        <v>17.69232</v>
      </c>
      <c r="Q1063" s="322">
        <v>0</v>
      </c>
      <c r="R1063" s="322">
        <f>Q1063*H1063</f>
        <v>0</v>
      </c>
      <c r="S1063" s="322">
        <v>0</v>
      </c>
      <c r="T1063" s="323">
        <f>S1063*H1063</f>
        <v>0</v>
      </c>
      <c r="U1063" s="222"/>
      <c r="V1063" s="222"/>
      <c r="W1063" s="222"/>
      <c r="X1063" s="222"/>
      <c r="Y1063" s="222"/>
      <c r="Z1063" s="222"/>
      <c r="AA1063" s="222"/>
      <c r="AB1063" s="222"/>
      <c r="AC1063" s="222"/>
      <c r="AD1063" s="222"/>
      <c r="AE1063" s="222"/>
      <c r="AR1063" s="324" t="s">
        <v>212</v>
      </c>
      <c r="AT1063" s="324" t="s">
        <v>148</v>
      </c>
      <c r="AU1063" s="324" t="s">
        <v>83</v>
      </c>
      <c r="AY1063" s="214" t="s">
        <v>146</v>
      </c>
      <c r="BE1063" s="325">
        <f>IF(N1063="základní",J1063,0)</f>
        <v>0</v>
      </c>
      <c r="BF1063" s="325">
        <f>IF(N1063="snížená",J1063,0)</f>
        <v>0</v>
      </c>
      <c r="BG1063" s="325">
        <f>IF(N1063="zákl. přenesená",J1063,0)</f>
        <v>0</v>
      </c>
      <c r="BH1063" s="325">
        <f>IF(N1063="sníž. přenesená",J1063,0)</f>
        <v>0</v>
      </c>
      <c r="BI1063" s="325">
        <f>IF(N1063="nulová",J1063,0)</f>
        <v>0</v>
      </c>
      <c r="BJ1063" s="214" t="s">
        <v>81</v>
      </c>
      <c r="BK1063" s="325">
        <f>ROUND(I1063*H1063,2)</f>
        <v>0</v>
      </c>
      <c r="BL1063" s="214" t="s">
        <v>212</v>
      </c>
      <c r="BM1063" s="324" t="s">
        <v>785</v>
      </c>
    </row>
    <row r="1064" spans="2:51" s="326" customFormat="1" ht="12">
      <c r="B1064" s="327"/>
      <c r="D1064" s="328" t="s">
        <v>155</v>
      </c>
      <c r="E1064" s="329" t="s">
        <v>1</v>
      </c>
      <c r="F1064" s="330" t="s">
        <v>786</v>
      </c>
      <c r="H1064" s="329" t="s">
        <v>1</v>
      </c>
      <c r="I1064" s="497"/>
      <c r="L1064" s="331"/>
      <c r="M1064" s="332"/>
      <c r="N1064" s="333"/>
      <c r="O1064" s="333"/>
      <c r="P1064" s="333"/>
      <c r="Q1064" s="333"/>
      <c r="R1064" s="333"/>
      <c r="S1064" s="333"/>
      <c r="T1064" s="334"/>
      <c r="AT1064" s="329" t="s">
        <v>155</v>
      </c>
      <c r="AU1064" s="329" t="s">
        <v>83</v>
      </c>
      <c r="AV1064" s="326" t="s">
        <v>81</v>
      </c>
      <c r="AW1064" s="326" t="s">
        <v>34</v>
      </c>
      <c r="AX1064" s="326" t="s">
        <v>76</v>
      </c>
      <c r="AY1064" s="329" t="s">
        <v>146</v>
      </c>
    </row>
    <row r="1065" spans="2:51" s="326" customFormat="1" ht="12">
      <c r="B1065" s="327"/>
      <c r="D1065" s="328" t="s">
        <v>155</v>
      </c>
      <c r="E1065" s="329" t="s">
        <v>1</v>
      </c>
      <c r="F1065" s="330" t="s">
        <v>167</v>
      </c>
      <c r="H1065" s="329" t="s">
        <v>1</v>
      </c>
      <c r="I1065" s="497"/>
      <c r="L1065" s="331"/>
      <c r="M1065" s="332"/>
      <c r="N1065" s="333"/>
      <c r="O1065" s="333"/>
      <c r="P1065" s="333"/>
      <c r="Q1065" s="333"/>
      <c r="R1065" s="333"/>
      <c r="S1065" s="333"/>
      <c r="T1065" s="334"/>
      <c r="AT1065" s="329" t="s">
        <v>155</v>
      </c>
      <c r="AU1065" s="329" t="s">
        <v>83</v>
      </c>
      <c r="AV1065" s="326" t="s">
        <v>81</v>
      </c>
      <c r="AW1065" s="326" t="s">
        <v>34</v>
      </c>
      <c r="AX1065" s="326" t="s">
        <v>76</v>
      </c>
      <c r="AY1065" s="329" t="s">
        <v>146</v>
      </c>
    </row>
    <row r="1066" spans="2:51" s="335" customFormat="1" ht="12">
      <c r="B1066" s="336"/>
      <c r="D1066" s="328" t="s">
        <v>155</v>
      </c>
      <c r="E1066" s="337" t="s">
        <v>1</v>
      </c>
      <c r="F1066" s="338" t="s">
        <v>2800</v>
      </c>
      <c r="H1066" s="339">
        <f>22.4*12.4</f>
        <v>277.76</v>
      </c>
      <c r="I1066" s="498"/>
      <c r="L1066" s="340"/>
      <c r="M1066" s="341"/>
      <c r="N1066" s="342"/>
      <c r="O1066" s="342"/>
      <c r="P1066" s="342"/>
      <c r="Q1066" s="342"/>
      <c r="R1066" s="342"/>
      <c r="S1066" s="342"/>
      <c r="T1066" s="343"/>
      <c r="AT1066" s="337" t="s">
        <v>155</v>
      </c>
      <c r="AU1066" s="337" t="s">
        <v>83</v>
      </c>
      <c r="AV1066" s="335" t="s">
        <v>83</v>
      </c>
      <c r="AW1066" s="335" t="s">
        <v>34</v>
      </c>
      <c r="AX1066" s="335" t="s">
        <v>76</v>
      </c>
      <c r="AY1066" s="337" t="s">
        <v>146</v>
      </c>
    </row>
    <row r="1067" spans="2:51" s="326" customFormat="1" ht="12">
      <c r="B1067" s="327"/>
      <c r="D1067" s="328" t="s">
        <v>155</v>
      </c>
      <c r="E1067" s="329" t="s">
        <v>1</v>
      </c>
      <c r="F1067" s="330" t="s">
        <v>788</v>
      </c>
      <c r="H1067" s="329" t="s">
        <v>1</v>
      </c>
      <c r="I1067" s="497"/>
      <c r="L1067" s="331"/>
      <c r="M1067" s="332"/>
      <c r="N1067" s="333"/>
      <c r="O1067" s="333"/>
      <c r="P1067" s="333"/>
      <c r="Q1067" s="333"/>
      <c r="R1067" s="333"/>
      <c r="S1067" s="333"/>
      <c r="T1067" s="334"/>
      <c r="AT1067" s="329" t="s">
        <v>155</v>
      </c>
      <c r="AU1067" s="329" t="s">
        <v>83</v>
      </c>
      <c r="AV1067" s="326" t="s">
        <v>81</v>
      </c>
      <c r="AW1067" s="326" t="s">
        <v>34</v>
      </c>
      <c r="AX1067" s="326" t="s">
        <v>76</v>
      </c>
      <c r="AY1067" s="329" t="s">
        <v>146</v>
      </c>
    </row>
    <row r="1068" spans="2:51" s="326" customFormat="1" ht="12">
      <c r="B1068" s="327"/>
      <c r="D1068" s="328" t="s">
        <v>155</v>
      </c>
      <c r="E1068" s="329" t="s">
        <v>1</v>
      </c>
      <c r="F1068" s="330" t="s">
        <v>164</v>
      </c>
      <c r="H1068" s="329" t="s">
        <v>1</v>
      </c>
      <c r="I1068" s="497"/>
      <c r="L1068" s="331"/>
      <c r="M1068" s="332"/>
      <c r="N1068" s="333"/>
      <c r="O1068" s="333"/>
      <c r="P1068" s="333"/>
      <c r="Q1068" s="333"/>
      <c r="R1068" s="333"/>
      <c r="S1068" s="333"/>
      <c r="T1068" s="334"/>
      <c r="AT1068" s="329" t="s">
        <v>155</v>
      </c>
      <c r="AU1068" s="329" t="s">
        <v>83</v>
      </c>
      <c r="AV1068" s="326" t="s">
        <v>81</v>
      </c>
      <c r="AW1068" s="326" t="s">
        <v>34</v>
      </c>
      <c r="AX1068" s="326" t="s">
        <v>76</v>
      </c>
      <c r="AY1068" s="329" t="s">
        <v>146</v>
      </c>
    </row>
    <row r="1069" spans="2:51" s="335" customFormat="1" ht="12">
      <c r="B1069" s="336"/>
      <c r="D1069" s="328" t="s">
        <v>155</v>
      </c>
      <c r="E1069" s="337" t="s">
        <v>1</v>
      </c>
      <c r="F1069" s="338" t="s">
        <v>789</v>
      </c>
      <c r="H1069" s="339">
        <f>26.8*12.4</f>
        <v>332.32</v>
      </c>
      <c r="I1069" s="498"/>
      <c r="L1069" s="340"/>
      <c r="M1069" s="341"/>
      <c r="N1069" s="342"/>
      <c r="O1069" s="342"/>
      <c r="P1069" s="342"/>
      <c r="Q1069" s="342"/>
      <c r="R1069" s="342"/>
      <c r="S1069" s="342"/>
      <c r="T1069" s="343"/>
      <c r="AT1069" s="337" t="s">
        <v>155</v>
      </c>
      <c r="AU1069" s="337" t="s">
        <v>83</v>
      </c>
      <c r="AV1069" s="335" t="s">
        <v>83</v>
      </c>
      <c r="AW1069" s="335" t="s">
        <v>34</v>
      </c>
      <c r="AX1069" s="335" t="s">
        <v>76</v>
      </c>
      <c r="AY1069" s="337" t="s">
        <v>146</v>
      </c>
    </row>
    <row r="1070" spans="2:51" s="347" customFormat="1" ht="12">
      <c r="B1070" s="348"/>
      <c r="D1070" s="328" t="s">
        <v>155</v>
      </c>
      <c r="E1070" s="349" t="s">
        <v>1</v>
      </c>
      <c r="F1070" s="356" t="s">
        <v>157</v>
      </c>
      <c r="H1070" s="351">
        <f>SUM(H1066:H1069)</f>
        <v>610.0799999999999</v>
      </c>
      <c r="I1070" s="499"/>
      <c r="L1070" s="352"/>
      <c r="M1070" s="353"/>
      <c r="N1070" s="354"/>
      <c r="O1070" s="354"/>
      <c r="P1070" s="354"/>
      <c r="Q1070" s="354"/>
      <c r="R1070" s="354"/>
      <c r="S1070" s="354"/>
      <c r="T1070" s="355"/>
      <c r="AT1070" s="349" t="s">
        <v>155</v>
      </c>
      <c r="AU1070" s="349" t="s">
        <v>83</v>
      </c>
      <c r="AV1070" s="347" t="s">
        <v>153</v>
      </c>
      <c r="AW1070" s="347" t="s">
        <v>34</v>
      </c>
      <c r="AX1070" s="347" t="s">
        <v>81</v>
      </c>
      <c r="AY1070" s="349" t="s">
        <v>146</v>
      </c>
    </row>
    <row r="1071" spans="1:65" s="225" customFormat="1" ht="16.5" customHeight="1">
      <c r="A1071" s="222"/>
      <c r="B1071" s="223"/>
      <c r="C1071" s="358">
        <v>186</v>
      </c>
      <c r="D1071" s="358" t="s">
        <v>208</v>
      </c>
      <c r="E1071" s="359" t="s">
        <v>757</v>
      </c>
      <c r="F1071" s="364" t="s">
        <v>758</v>
      </c>
      <c r="G1071" s="361" t="s">
        <v>194</v>
      </c>
      <c r="H1071" s="362">
        <f>H1072</f>
        <v>0.19522560000000003</v>
      </c>
      <c r="I1071" s="80"/>
      <c r="J1071" s="363">
        <f>ROUND(I1071*H1071,2)</f>
        <v>0</v>
      </c>
      <c r="K1071" s="364"/>
      <c r="L1071" s="365"/>
      <c r="M1071" s="366" t="s">
        <v>1</v>
      </c>
      <c r="N1071" s="367" t="s">
        <v>42</v>
      </c>
      <c r="O1071" s="322">
        <v>0</v>
      </c>
      <c r="P1071" s="322">
        <f>O1071*H1071</f>
        <v>0</v>
      </c>
      <c r="Q1071" s="322">
        <v>1</v>
      </c>
      <c r="R1071" s="322">
        <f>Q1071*H1071</f>
        <v>0.19522560000000003</v>
      </c>
      <c r="S1071" s="322">
        <v>0</v>
      </c>
      <c r="T1071" s="323">
        <f>S1071*H1071</f>
        <v>0</v>
      </c>
      <c r="U1071" s="222"/>
      <c r="V1071" s="222"/>
      <c r="W1071" s="222"/>
      <c r="X1071" s="222"/>
      <c r="Y1071" s="222"/>
      <c r="Z1071" s="222"/>
      <c r="AA1071" s="222"/>
      <c r="AB1071" s="222"/>
      <c r="AC1071" s="222"/>
      <c r="AD1071" s="222"/>
      <c r="AE1071" s="222"/>
      <c r="AR1071" s="324" t="s">
        <v>298</v>
      </c>
      <c r="AT1071" s="324" t="s">
        <v>208</v>
      </c>
      <c r="AU1071" s="324" t="s">
        <v>83</v>
      </c>
      <c r="AY1071" s="214" t="s">
        <v>146</v>
      </c>
      <c r="BE1071" s="325">
        <f>IF(N1071="základní",J1071,0)</f>
        <v>0</v>
      </c>
      <c r="BF1071" s="325">
        <f>IF(N1071="snížená",J1071,0)</f>
        <v>0</v>
      </c>
      <c r="BG1071" s="325">
        <f>IF(N1071="zákl. přenesená",J1071,0)</f>
        <v>0</v>
      </c>
      <c r="BH1071" s="325">
        <f>IF(N1071="sníž. přenesená",J1071,0)</f>
        <v>0</v>
      </c>
      <c r="BI1071" s="325">
        <f>IF(N1071="nulová",J1071,0)</f>
        <v>0</v>
      </c>
      <c r="BJ1071" s="214" t="s">
        <v>81</v>
      </c>
      <c r="BK1071" s="325">
        <f>ROUND(I1071*H1071,2)</f>
        <v>0</v>
      </c>
      <c r="BL1071" s="214" t="s">
        <v>212</v>
      </c>
      <c r="BM1071" s="324" t="s">
        <v>790</v>
      </c>
    </row>
    <row r="1072" spans="2:51" s="335" customFormat="1" ht="12">
      <c r="B1072" s="336"/>
      <c r="D1072" s="328" t="s">
        <v>155</v>
      </c>
      <c r="F1072" s="338" t="s">
        <v>2802</v>
      </c>
      <c r="H1072" s="339">
        <f>610.08*0.00032</f>
        <v>0.19522560000000003</v>
      </c>
      <c r="I1072" s="498"/>
      <c r="L1072" s="340"/>
      <c r="M1072" s="341"/>
      <c r="N1072" s="342"/>
      <c r="O1072" s="342"/>
      <c r="P1072" s="342"/>
      <c r="Q1072" s="342"/>
      <c r="R1072" s="342"/>
      <c r="S1072" s="342"/>
      <c r="T1072" s="343"/>
      <c r="AT1072" s="337" t="s">
        <v>155</v>
      </c>
      <c r="AU1072" s="337" t="s">
        <v>83</v>
      </c>
      <c r="AV1072" s="335" t="s">
        <v>83</v>
      </c>
      <c r="AW1072" s="335" t="s">
        <v>3</v>
      </c>
      <c r="AX1072" s="335" t="s">
        <v>81</v>
      </c>
      <c r="AY1072" s="337" t="s">
        <v>146</v>
      </c>
    </row>
    <row r="1073" spans="1:65" s="225" customFormat="1" ht="24.2" customHeight="1">
      <c r="A1073" s="222"/>
      <c r="B1073" s="223"/>
      <c r="C1073" s="314">
        <v>187</v>
      </c>
      <c r="D1073" s="314" t="s">
        <v>148</v>
      </c>
      <c r="E1073" s="315" t="s">
        <v>791</v>
      </c>
      <c r="F1073" s="316" t="s">
        <v>792</v>
      </c>
      <c r="G1073" s="317" t="s">
        <v>151</v>
      </c>
      <c r="H1073" s="318">
        <v>609.77</v>
      </c>
      <c r="I1073" s="79"/>
      <c r="J1073" s="319">
        <f>ROUND(I1073*H1073,2)</f>
        <v>0</v>
      </c>
      <c r="K1073" s="316"/>
      <c r="L1073" s="229"/>
      <c r="M1073" s="320" t="s">
        <v>1</v>
      </c>
      <c r="N1073" s="321" t="s">
        <v>42</v>
      </c>
      <c r="O1073" s="322">
        <v>0.07</v>
      </c>
      <c r="P1073" s="322">
        <f>O1073*H1073</f>
        <v>42.6839</v>
      </c>
      <c r="Q1073" s="322">
        <v>0</v>
      </c>
      <c r="R1073" s="322">
        <f>Q1073*H1073</f>
        <v>0</v>
      </c>
      <c r="S1073" s="322">
        <v>0.0055</v>
      </c>
      <c r="T1073" s="440">
        <f>S1073*H1073</f>
        <v>3.353735</v>
      </c>
      <c r="U1073" s="222"/>
      <c r="V1073" s="222"/>
      <c r="W1073" s="222"/>
      <c r="X1073" s="222"/>
      <c r="Y1073" s="222"/>
      <c r="Z1073" s="222"/>
      <c r="AA1073" s="222"/>
      <c r="AB1073" s="222"/>
      <c r="AC1073" s="222"/>
      <c r="AD1073" s="222"/>
      <c r="AE1073" s="222"/>
      <c r="AR1073" s="324" t="s">
        <v>212</v>
      </c>
      <c r="AT1073" s="324" t="s">
        <v>148</v>
      </c>
      <c r="AU1073" s="324" t="s">
        <v>83</v>
      </c>
      <c r="AY1073" s="214" t="s">
        <v>146</v>
      </c>
      <c r="BE1073" s="325">
        <f>IF(N1073="základní",J1073,0)</f>
        <v>0</v>
      </c>
      <c r="BF1073" s="325">
        <f>IF(N1073="snížená",J1073,0)</f>
        <v>0</v>
      </c>
      <c r="BG1073" s="325">
        <f>IF(N1073="zákl. přenesená",J1073,0)</f>
        <v>0</v>
      </c>
      <c r="BH1073" s="325">
        <f>IF(N1073="sníž. přenesená",J1073,0)</f>
        <v>0</v>
      </c>
      <c r="BI1073" s="325">
        <f>IF(N1073="nulová",J1073,0)</f>
        <v>0</v>
      </c>
      <c r="BJ1073" s="214" t="s">
        <v>81</v>
      </c>
      <c r="BK1073" s="325">
        <f>ROUND(I1073*H1073,2)</f>
        <v>0</v>
      </c>
      <c r="BL1073" s="214" t="s">
        <v>212</v>
      </c>
      <c r="BM1073" s="324" t="s">
        <v>793</v>
      </c>
    </row>
    <row r="1074" spans="2:51" s="326" customFormat="1" ht="12">
      <c r="B1074" s="327"/>
      <c r="D1074" s="328" t="s">
        <v>155</v>
      </c>
      <c r="E1074" s="329" t="s">
        <v>1</v>
      </c>
      <c r="F1074" s="330" t="s">
        <v>167</v>
      </c>
      <c r="H1074" s="329" t="s">
        <v>1</v>
      </c>
      <c r="I1074" s="497"/>
      <c r="L1074" s="331"/>
      <c r="M1074" s="332"/>
      <c r="N1074" s="333"/>
      <c r="O1074" s="333"/>
      <c r="P1074" s="333"/>
      <c r="Q1074" s="333"/>
      <c r="R1074" s="333"/>
      <c r="S1074" s="333"/>
      <c r="T1074" s="334"/>
      <c r="AT1074" s="329" t="s">
        <v>155</v>
      </c>
      <c r="AU1074" s="329" t="s">
        <v>83</v>
      </c>
      <c r="AV1074" s="326" t="s">
        <v>81</v>
      </c>
      <c r="AW1074" s="326" t="s">
        <v>34</v>
      </c>
      <c r="AX1074" s="326" t="s">
        <v>76</v>
      </c>
      <c r="AY1074" s="329" t="s">
        <v>146</v>
      </c>
    </row>
    <row r="1075" spans="2:51" s="335" customFormat="1" ht="12">
      <c r="B1075" s="336"/>
      <c r="D1075" s="328" t="s">
        <v>155</v>
      </c>
      <c r="E1075" s="337" t="s">
        <v>1</v>
      </c>
      <c r="F1075" s="338" t="s">
        <v>2803</v>
      </c>
      <c r="H1075" s="339">
        <f>22.4*12.4</f>
        <v>277.76</v>
      </c>
      <c r="I1075" s="498"/>
      <c r="L1075" s="340"/>
      <c r="M1075" s="341"/>
      <c r="N1075" s="342"/>
      <c r="O1075" s="342"/>
      <c r="P1075" s="342"/>
      <c r="Q1075" s="342"/>
      <c r="R1075" s="342"/>
      <c r="S1075" s="342"/>
      <c r="T1075" s="343"/>
      <c r="AT1075" s="337" t="s">
        <v>155</v>
      </c>
      <c r="AU1075" s="337" t="s">
        <v>83</v>
      </c>
      <c r="AV1075" s="335" t="s">
        <v>83</v>
      </c>
      <c r="AW1075" s="335" t="s">
        <v>34</v>
      </c>
      <c r="AX1075" s="335" t="s">
        <v>76</v>
      </c>
      <c r="AY1075" s="337" t="s">
        <v>146</v>
      </c>
    </row>
    <row r="1076" spans="2:51" s="326" customFormat="1" ht="12">
      <c r="B1076" s="327"/>
      <c r="D1076" s="328" t="s">
        <v>155</v>
      </c>
      <c r="E1076" s="329" t="s">
        <v>1</v>
      </c>
      <c r="F1076" s="330" t="s">
        <v>164</v>
      </c>
      <c r="H1076" s="329" t="s">
        <v>1</v>
      </c>
      <c r="I1076" s="497"/>
      <c r="L1076" s="331"/>
      <c r="M1076" s="332"/>
      <c r="N1076" s="333"/>
      <c r="O1076" s="333"/>
      <c r="P1076" s="333"/>
      <c r="Q1076" s="333"/>
      <c r="R1076" s="333"/>
      <c r="S1076" s="333"/>
      <c r="T1076" s="334"/>
      <c r="AT1076" s="329" t="s">
        <v>155</v>
      </c>
      <c r="AU1076" s="329" t="s">
        <v>83</v>
      </c>
      <c r="AV1076" s="326" t="s">
        <v>81</v>
      </c>
      <c r="AW1076" s="326" t="s">
        <v>34</v>
      </c>
      <c r="AX1076" s="326" t="s">
        <v>76</v>
      </c>
      <c r="AY1076" s="329" t="s">
        <v>146</v>
      </c>
    </row>
    <row r="1077" spans="2:51" s="335" customFormat="1" ht="12">
      <c r="B1077" s="336"/>
      <c r="D1077" s="328" t="s">
        <v>155</v>
      </c>
      <c r="E1077" s="337" t="s">
        <v>1</v>
      </c>
      <c r="F1077" s="338" t="s">
        <v>789</v>
      </c>
      <c r="H1077" s="339">
        <f>26.8*12.4</f>
        <v>332.32</v>
      </c>
      <c r="I1077" s="498"/>
      <c r="L1077" s="340"/>
      <c r="M1077" s="341"/>
      <c r="N1077" s="342"/>
      <c r="O1077" s="342"/>
      <c r="P1077" s="342"/>
      <c r="Q1077" s="342"/>
      <c r="R1077" s="342"/>
      <c r="S1077" s="342"/>
      <c r="T1077" s="343"/>
      <c r="AT1077" s="337" t="s">
        <v>155</v>
      </c>
      <c r="AU1077" s="337" t="s">
        <v>83</v>
      </c>
      <c r="AV1077" s="335" t="s">
        <v>83</v>
      </c>
      <c r="AW1077" s="335" t="s">
        <v>34</v>
      </c>
      <c r="AX1077" s="335" t="s">
        <v>76</v>
      </c>
      <c r="AY1077" s="337" t="s">
        <v>146</v>
      </c>
    </row>
    <row r="1078" spans="2:51" s="347" customFormat="1" ht="12">
      <c r="B1078" s="348"/>
      <c r="D1078" s="328" t="s">
        <v>155</v>
      </c>
      <c r="E1078" s="349" t="s">
        <v>1</v>
      </c>
      <c r="F1078" s="356" t="s">
        <v>157</v>
      </c>
      <c r="H1078" s="351">
        <v>609.77</v>
      </c>
      <c r="I1078" s="499"/>
      <c r="L1078" s="352"/>
      <c r="M1078" s="353"/>
      <c r="N1078" s="354"/>
      <c r="O1078" s="354"/>
      <c r="P1078" s="354"/>
      <c r="Q1078" s="354"/>
      <c r="R1078" s="354"/>
      <c r="S1078" s="354"/>
      <c r="T1078" s="355"/>
      <c r="AT1078" s="349" t="s">
        <v>155</v>
      </c>
      <c r="AU1078" s="349" t="s">
        <v>83</v>
      </c>
      <c r="AV1078" s="347" t="s">
        <v>153</v>
      </c>
      <c r="AW1078" s="347" t="s">
        <v>34</v>
      </c>
      <c r="AX1078" s="347" t="s">
        <v>81</v>
      </c>
      <c r="AY1078" s="349" t="s">
        <v>146</v>
      </c>
    </row>
    <row r="1079" spans="1:65" s="225" customFormat="1" ht="24.2" customHeight="1">
      <c r="A1079" s="222"/>
      <c r="B1079" s="223"/>
      <c r="C1079" s="314">
        <v>188</v>
      </c>
      <c r="D1079" s="314" t="s">
        <v>148</v>
      </c>
      <c r="E1079" s="315" t="s">
        <v>794</v>
      </c>
      <c r="F1079" s="316" t="s">
        <v>795</v>
      </c>
      <c r="G1079" s="317" t="s">
        <v>151</v>
      </c>
      <c r="H1079" s="318">
        <f>H1092</f>
        <v>723.98</v>
      </c>
      <c r="I1079" s="79"/>
      <c r="J1079" s="319">
        <f>ROUND(I1079*H1079,2)</f>
        <v>0</v>
      </c>
      <c r="K1079" s="316"/>
      <c r="L1079" s="229"/>
      <c r="M1079" s="320" t="s">
        <v>1</v>
      </c>
      <c r="N1079" s="321" t="s">
        <v>42</v>
      </c>
      <c r="O1079" s="322">
        <v>0.084</v>
      </c>
      <c r="P1079" s="322">
        <f>O1079*H1079</f>
        <v>60.81432</v>
      </c>
      <c r="Q1079" s="322">
        <v>0</v>
      </c>
      <c r="R1079" s="322">
        <f>Q1079*H1079</f>
        <v>0</v>
      </c>
      <c r="S1079" s="322">
        <v>0.011</v>
      </c>
      <c r="T1079" s="440">
        <f>S1079*H1079</f>
        <v>7.96378</v>
      </c>
      <c r="U1079" s="222"/>
      <c r="V1079" s="222"/>
      <c r="W1079" s="222"/>
      <c r="X1079" s="222"/>
      <c r="Y1079" s="222"/>
      <c r="Z1079" s="222"/>
      <c r="AA1079" s="222"/>
      <c r="AB1079" s="222"/>
      <c r="AC1079" s="222"/>
      <c r="AD1079" s="222"/>
      <c r="AE1079" s="222"/>
      <c r="AR1079" s="324" t="s">
        <v>212</v>
      </c>
      <c r="AT1079" s="324" t="s">
        <v>148</v>
      </c>
      <c r="AU1079" s="324" t="s">
        <v>83</v>
      </c>
      <c r="AY1079" s="214" t="s">
        <v>146</v>
      </c>
      <c r="BE1079" s="325">
        <f>IF(N1079="základní",J1079,0)</f>
        <v>0</v>
      </c>
      <c r="BF1079" s="325">
        <f>IF(N1079="snížená",J1079,0)</f>
        <v>0</v>
      </c>
      <c r="BG1079" s="325">
        <f>IF(N1079="zákl. přenesená",J1079,0)</f>
        <v>0</v>
      </c>
      <c r="BH1079" s="325">
        <f>IF(N1079="sníž. přenesená",J1079,0)</f>
        <v>0</v>
      </c>
      <c r="BI1079" s="325">
        <f>IF(N1079="nulová",J1079,0)</f>
        <v>0</v>
      </c>
      <c r="BJ1079" s="214" t="s">
        <v>81</v>
      </c>
      <c r="BK1079" s="325">
        <f>ROUND(I1079*H1079,2)</f>
        <v>0</v>
      </c>
      <c r="BL1079" s="214" t="s">
        <v>212</v>
      </c>
      <c r="BM1079" s="324" t="s">
        <v>796</v>
      </c>
    </row>
    <row r="1080" spans="2:51" s="326" customFormat="1" ht="12">
      <c r="B1080" s="327"/>
      <c r="D1080" s="328" t="s">
        <v>155</v>
      </c>
      <c r="E1080" s="329" t="s">
        <v>1</v>
      </c>
      <c r="F1080" s="330" t="s">
        <v>167</v>
      </c>
      <c r="H1080" s="329" t="s">
        <v>1</v>
      </c>
      <c r="I1080" s="497"/>
      <c r="L1080" s="331"/>
      <c r="M1080" s="332"/>
      <c r="N1080" s="333"/>
      <c r="O1080" s="333"/>
      <c r="P1080" s="333"/>
      <c r="Q1080" s="333"/>
      <c r="R1080" s="333"/>
      <c r="S1080" s="333"/>
      <c r="T1080" s="334"/>
      <c r="AT1080" s="329" t="s">
        <v>155</v>
      </c>
      <c r="AU1080" s="329" t="s">
        <v>83</v>
      </c>
      <c r="AV1080" s="326" t="s">
        <v>81</v>
      </c>
      <c r="AW1080" s="326" t="s">
        <v>34</v>
      </c>
      <c r="AX1080" s="326" t="s">
        <v>76</v>
      </c>
      <c r="AY1080" s="329" t="s">
        <v>146</v>
      </c>
    </row>
    <row r="1081" spans="2:51" s="335" customFormat="1" ht="12">
      <c r="B1081" s="336"/>
      <c r="D1081" s="328" t="s">
        <v>155</v>
      </c>
      <c r="E1081" s="337" t="s">
        <v>1</v>
      </c>
      <c r="F1081" s="338" t="s">
        <v>2804</v>
      </c>
      <c r="H1081" s="339">
        <f>22.4*12.4</f>
        <v>277.76</v>
      </c>
      <c r="I1081" s="498"/>
      <c r="L1081" s="340"/>
      <c r="M1081" s="341"/>
      <c r="N1081" s="342"/>
      <c r="O1081" s="342"/>
      <c r="P1081" s="342"/>
      <c r="Q1081" s="342"/>
      <c r="R1081" s="342"/>
      <c r="S1081" s="342"/>
      <c r="T1081" s="343"/>
      <c r="AT1081" s="337" t="s">
        <v>155</v>
      </c>
      <c r="AU1081" s="337" t="s">
        <v>83</v>
      </c>
      <c r="AV1081" s="335" t="s">
        <v>83</v>
      </c>
      <c r="AW1081" s="335" t="s">
        <v>34</v>
      </c>
      <c r="AX1081" s="335" t="s">
        <v>76</v>
      </c>
      <c r="AY1081" s="337" t="s">
        <v>146</v>
      </c>
    </row>
    <row r="1082" spans="2:51" s="326" customFormat="1" ht="12">
      <c r="B1082" s="327"/>
      <c r="D1082" s="328" t="s">
        <v>155</v>
      </c>
      <c r="E1082" s="329" t="s">
        <v>1</v>
      </c>
      <c r="F1082" s="330" t="s">
        <v>787</v>
      </c>
      <c r="H1082" s="329" t="s">
        <v>1</v>
      </c>
      <c r="I1082" s="497"/>
      <c r="L1082" s="331"/>
      <c r="M1082" s="332"/>
      <c r="N1082" s="333"/>
      <c r="O1082" s="333"/>
      <c r="P1082" s="333"/>
      <c r="Q1082" s="333"/>
      <c r="R1082" s="333"/>
      <c r="S1082" s="333"/>
      <c r="T1082" s="334"/>
      <c r="AT1082" s="329" t="s">
        <v>155</v>
      </c>
      <c r="AU1082" s="329" t="s">
        <v>83</v>
      </c>
      <c r="AV1082" s="326" t="s">
        <v>81</v>
      </c>
      <c r="AW1082" s="326" t="s">
        <v>34</v>
      </c>
      <c r="AX1082" s="326" t="s">
        <v>76</v>
      </c>
      <c r="AY1082" s="329" t="s">
        <v>146</v>
      </c>
    </row>
    <row r="1083" spans="2:51" s="335" customFormat="1" ht="12">
      <c r="B1083" s="336"/>
      <c r="D1083" s="328" t="s">
        <v>155</v>
      </c>
      <c r="E1083" s="337" t="s">
        <v>1</v>
      </c>
      <c r="F1083" s="338" t="s">
        <v>2805</v>
      </c>
      <c r="H1083" s="339">
        <f>0.425*(22.4+12.4)*2</f>
        <v>29.58</v>
      </c>
      <c r="I1083" s="498"/>
      <c r="L1083" s="340"/>
      <c r="M1083" s="341"/>
      <c r="N1083" s="342"/>
      <c r="O1083" s="342"/>
      <c r="P1083" s="342"/>
      <c r="Q1083" s="342"/>
      <c r="R1083" s="342"/>
      <c r="S1083" s="342"/>
      <c r="T1083" s="343"/>
      <c r="AT1083" s="337" t="s">
        <v>155</v>
      </c>
      <c r="AU1083" s="337" t="s">
        <v>83</v>
      </c>
      <c r="AV1083" s="335" t="s">
        <v>83</v>
      </c>
      <c r="AW1083" s="335" t="s">
        <v>34</v>
      </c>
      <c r="AX1083" s="335" t="s">
        <v>76</v>
      </c>
      <c r="AY1083" s="337" t="s">
        <v>146</v>
      </c>
    </row>
    <row r="1084" spans="2:51" s="326" customFormat="1" ht="12">
      <c r="B1084" s="327"/>
      <c r="D1084" s="328" t="s">
        <v>155</v>
      </c>
      <c r="E1084" s="329" t="s">
        <v>1</v>
      </c>
      <c r="F1084" s="330" t="s">
        <v>797</v>
      </c>
      <c r="H1084" s="329" t="s">
        <v>1</v>
      </c>
      <c r="I1084" s="497"/>
      <c r="L1084" s="331"/>
      <c r="M1084" s="332"/>
      <c r="N1084" s="333"/>
      <c r="O1084" s="333"/>
      <c r="P1084" s="333"/>
      <c r="Q1084" s="333"/>
      <c r="R1084" s="333"/>
      <c r="S1084" s="333"/>
      <c r="T1084" s="334"/>
      <c r="AT1084" s="329" t="s">
        <v>155</v>
      </c>
      <c r="AU1084" s="329" t="s">
        <v>83</v>
      </c>
      <c r="AV1084" s="326" t="s">
        <v>81</v>
      </c>
      <c r="AW1084" s="326" t="s">
        <v>34</v>
      </c>
      <c r="AX1084" s="326" t="s">
        <v>76</v>
      </c>
      <c r="AY1084" s="329" t="s">
        <v>146</v>
      </c>
    </row>
    <row r="1085" spans="2:51" s="335" customFormat="1" ht="12">
      <c r="B1085" s="336"/>
      <c r="D1085" s="328" t="s">
        <v>155</v>
      </c>
      <c r="E1085" s="337" t="s">
        <v>1</v>
      </c>
      <c r="F1085" s="338" t="s">
        <v>2806</v>
      </c>
      <c r="H1085" s="339">
        <f>0.3*(23+12.4)*2</f>
        <v>21.24</v>
      </c>
      <c r="I1085" s="498"/>
      <c r="L1085" s="331"/>
      <c r="M1085" s="341"/>
      <c r="N1085" s="342"/>
      <c r="O1085" s="342"/>
      <c r="P1085" s="342"/>
      <c r="Q1085" s="342"/>
      <c r="R1085" s="342"/>
      <c r="S1085" s="342"/>
      <c r="T1085" s="343"/>
      <c r="AT1085" s="337" t="s">
        <v>155</v>
      </c>
      <c r="AU1085" s="337" t="s">
        <v>83</v>
      </c>
      <c r="AV1085" s="335" t="s">
        <v>83</v>
      </c>
      <c r="AW1085" s="335" t="s">
        <v>34</v>
      </c>
      <c r="AX1085" s="335" t="s">
        <v>76</v>
      </c>
      <c r="AY1085" s="337" t="s">
        <v>146</v>
      </c>
    </row>
    <row r="1086" spans="2:51" s="326" customFormat="1" ht="12">
      <c r="B1086" s="327"/>
      <c r="D1086" s="328" t="s">
        <v>155</v>
      </c>
      <c r="E1086" s="329" t="s">
        <v>1</v>
      </c>
      <c r="F1086" s="330" t="s">
        <v>164</v>
      </c>
      <c r="H1086" s="329" t="s">
        <v>1</v>
      </c>
      <c r="I1086" s="497"/>
      <c r="L1086" s="331"/>
      <c r="M1086" s="332"/>
      <c r="N1086" s="333"/>
      <c r="O1086" s="333"/>
      <c r="P1086" s="333"/>
      <c r="Q1086" s="333"/>
      <c r="R1086" s="333"/>
      <c r="S1086" s="333"/>
      <c r="T1086" s="334"/>
      <c r="AT1086" s="329" t="s">
        <v>155</v>
      </c>
      <c r="AU1086" s="329" t="s">
        <v>83</v>
      </c>
      <c r="AV1086" s="326" t="s">
        <v>81</v>
      </c>
      <c r="AW1086" s="326" t="s">
        <v>34</v>
      </c>
      <c r="AX1086" s="326" t="s">
        <v>76</v>
      </c>
      <c r="AY1086" s="329" t="s">
        <v>146</v>
      </c>
    </row>
    <row r="1087" spans="2:51" s="335" customFormat="1" ht="12">
      <c r="B1087" s="336"/>
      <c r="D1087" s="328" t="s">
        <v>155</v>
      </c>
      <c r="E1087" s="337" t="s">
        <v>1</v>
      </c>
      <c r="F1087" s="338" t="s">
        <v>789</v>
      </c>
      <c r="H1087" s="339">
        <v>332.32</v>
      </c>
      <c r="I1087" s="498"/>
      <c r="L1087" s="340"/>
      <c r="M1087" s="341"/>
      <c r="N1087" s="342"/>
      <c r="O1087" s="342"/>
      <c r="P1087" s="342"/>
      <c r="Q1087" s="342"/>
      <c r="R1087" s="342"/>
      <c r="S1087" s="342"/>
      <c r="T1087" s="343"/>
      <c r="AT1087" s="337" t="s">
        <v>155</v>
      </c>
      <c r="AU1087" s="337" t="s">
        <v>83</v>
      </c>
      <c r="AV1087" s="335" t="s">
        <v>83</v>
      </c>
      <c r="AW1087" s="335" t="s">
        <v>34</v>
      </c>
      <c r="AX1087" s="335" t="s">
        <v>76</v>
      </c>
      <c r="AY1087" s="337" t="s">
        <v>146</v>
      </c>
    </row>
    <row r="1088" spans="2:51" s="326" customFormat="1" ht="12">
      <c r="B1088" s="327"/>
      <c r="D1088" s="328" t="s">
        <v>155</v>
      </c>
      <c r="E1088" s="329" t="s">
        <v>1</v>
      </c>
      <c r="F1088" s="330" t="s">
        <v>787</v>
      </c>
      <c r="H1088" s="329" t="s">
        <v>1</v>
      </c>
      <c r="I1088" s="497"/>
      <c r="L1088" s="331"/>
      <c r="M1088" s="332"/>
      <c r="N1088" s="333"/>
      <c r="O1088" s="333"/>
      <c r="P1088" s="333"/>
      <c r="Q1088" s="333"/>
      <c r="R1088" s="333"/>
      <c r="S1088" s="333"/>
      <c r="T1088" s="334"/>
      <c r="AT1088" s="329" t="s">
        <v>155</v>
      </c>
      <c r="AU1088" s="329" t="s">
        <v>83</v>
      </c>
      <c r="AV1088" s="326" t="s">
        <v>81</v>
      </c>
      <c r="AW1088" s="326" t="s">
        <v>34</v>
      </c>
      <c r="AX1088" s="326" t="s">
        <v>76</v>
      </c>
      <c r="AY1088" s="329" t="s">
        <v>146</v>
      </c>
    </row>
    <row r="1089" spans="2:51" s="335" customFormat="1" ht="12">
      <c r="B1089" s="336"/>
      <c r="D1089" s="328" t="s">
        <v>155</v>
      </c>
      <c r="E1089" s="337" t="s">
        <v>1</v>
      </c>
      <c r="F1089" s="338" t="s">
        <v>2807</v>
      </c>
      <c r="H1089" s="339">
        <f>0.5*(26.8+12.4)*2</f>
        <v>39.2</v>
      </c>
      <c r="I1089" s="498"/>
      <c r="L1089" s="340"/>
      <c r="M1089" s="341"/>
      <c r="N1089" s="342"/>
      <c r="O1089" s="342"/>
      <c r="P1089" s="342"/>
      <c r="Q1089" s="342"/>
      <c r="R1089" s="342"/>
      <c r="S1089" s="342"/>
      <c r="T1089" s="343"/>
      <c r="AT1089" s="337" t="s">
        <v>155</v>
      </c>
      <c r="AU1089" s="337" t="s">
        <v>83</v>
      </c>
      <c r="AV1089" s="335" t="s">
        <v>83</v>
      </c>
      <c r="AW1089" s="335" t="s">
        <v>34</v>
      </c>
      <c r="AX1089" s="335" t="s">
        <v>76</v>
      </c>
      <c r="AY1089" s="337" t="s">
        <v>146</v>
      </c>
    </row>
    <row r="1090" spans="2:51" s="326" customFormat="1" ht="12">
      <c r="B1090" s="327"/>
      <c r="D1090" s="328" t="s">
        <v>155</v>
      </c>
      <c r="E1090" s="329" t="s">
        <v>1</v>
      </c>
      <c r="F1090" s="330" t="s">
        <v>797</v>
      </c>
      <c r="H1090" s="329" t="s">
        <v>1</v>
      </c>
      <c r="I1090" s="497"/>
      <c r="L1090" s="331"/>
      <c r="M1090" s="332"/>
      <c r="N1090" s="333"/>
      <c r="O1090" s="333"/>
      <c r="P1090" s="333"/>
      <c r="Q1090" s="333"/>
      <c r="R1090" s="333"/>
      <c r="S1090" s="333"/>
      <c r="T1090" s="334"/>
      <c r="AT1090" s="329" t="s">
        <v>155</v>
      </c>
      <c r="AU1090" s="329" t="s">
        <v>83</v>
      </c>
      <c r="AV1090" s="326" t="s">
        <v>81</v>
      </c>
      <c r="AW1090" s="326" t="s">
        <v>34</v>
      </c>
      <c r="AX1090" s="326" t="s">
        <v>76</v>
      </c>
      <c r="AY1090" s="329" t="s">
        <v>146</v>
      </c>
    </row>
    <row r="1091" spans="2:51" s="335" customFormat="1" ht="12">
      <c r="B1091" s="336"/>
      <c r="D1091" s="328" t="s">
        <v>155</v>
      </c>
      <c r="E1091" s="337" t="s">
        <v>1</v>
      </c>
      <c r="F1091" s="338" t="s">
        <v>2808</v>
      </c>
      <c r="H1091" s="339">
        <f>0.3*(27.4+12.4)*2</f>
        <v>23.88</v>
      </c>
      <c r="I1091" s="498"/>
      <c r="L1091" s="340"/>
      <c r="M1091" s="341"/>
      <c r="N1091" s="342"/>
      <c r="O1091" s="342"/>
      <c r="P1091" s="342"/>
      <c r="Q1091" s="342"/>
      <c r="R1091" s="342"/>
      <c r="S1091" s="342"/>
      <c r="T1091" s="343"/>
      <c r="AT1091" s="337" t="s">
        <v>155</v>
      </c>
      <c r="AU1091" s="337" t="s">
        <v>83</v>
      </c>
      <c r="AV1091" s="335" t="s">
        <v>83</v>
      </c>
      <c r="AW1091" s="335" t="s">
        <v>34</v>
      </c>
      <c r="AX1091" s="335" t="s">
        <v>76</v>
      </c>
      <c r="AY1091" s="337" t="s">
        <v>146</v>
      </c>
    </row>
    <row r="1092" spans="2:51" s="347" customFormat="1" ht="12">
      <c r="B1092" s="348"/>
      <c r="D1092" s="328" t="s">
        <v>155</v>
      </c>
      <c r="E1092" s="349" t="s">
        <v>1</v>
      </c>
      <c r="F1092" s="356" t="s">
        <v>157</v>
      </c>
      <c r="H1092" s="351">
        <f>SUM(H1081:H1091)</f>
        <v>723.98</v>
      </c>
      <c r="I1092" s="499"/>
      <c r="L1092" s="352"/>
      <c r="M1092" s="353"/>
      <c r="N1092" s="354"/>
      <c r="O1092" s="354"/>
      <c r="P1092" s="354"/>
      <c r="Q1092" s="354"/>
      <c r="R1092" s="354"/>
      <c r="S1092" s="354"/>
      <c r="T1092" s="355"/>
      <c r="AT1092" s="349" t="s">
        <v>155</v>
      </c>
      <c r="AU1092" s="349" t="s">
        <v>83</v>
      </c>
      <c r="AV1092" s="347" t="s">
        <v>153</v>
      </c>
      <c r="AW1092" s="347" t="s">
        <v>34</v>
      </c>
      <c r="AX1092" s="347" t="s">
        <v>81</v>
      </c>
      <c r="AY1092" s="349" t="s">
        <v>146</v>
      </c>
    </row>
    <row r="1093" spans="1:65" s="225" customFormat="1" ht="24.2" customHeight="1">
      <c r="A1093" s="222"/>
      <c r="B1093" s="223"/>
      <c r="C1093" s="314">
        <v>189</v>
      </c>
      <c r="D1093" s="314" t="s">
        <v>148</v>
      </c>
      <c r="E1093" s="315" t="s">
        <v>798</v>
      </c>
      <c r="F1093" s="316" t="s">
        <v>799</v>
      </c>
      <c r="G1093" s="317" t="s">
        <v>151</v>
      </c>
      <c r="H1093" s="318">
        <f>H1100</f>
        <v>610.0799999999999</v>
      </c>
      <c r="I1093" s="79"/>
      <c r="J1093" s="319">
        <f>ROUND(I1093*H1093,2)</f>
        <v>0</v>
      </c>
      <c r="K1093" s="316"/>
      <c r="L1093" s="229"/>
      <c r="M1093" s="320" t="s">
        <v>1</v>
      </c>
      <c r="N1093" s="321" t="s">
        <v>42</v>
      </c>
      <c r="O1093" s="322">
        <v>0.179</v>
      </c>
      <c r="P1093" s="322">
        <f>O1093*H1093</f>
        <v>109.20431999999998</v>
      </c>
      <c r="Q1093" s="322">
        <v>0.00088313</v>
      </c>
      <c r="R1093" s="322">
        <f>Q1093*H1093</f>
        <v>0.5387799503999999</v>
      </c>
      <c r="S1093" s="322">
        <v>0</v>
      </c>
      <c r="T1093" s="323">
        <f>S1093*H1093</f>
        <v>0</v>
      </c>
      <c r="U1093" s="222"/>
      <c r="V1093" s="222"/>
      <c r="W1093" s="222"/>
      <c r="X1093" s="222"/>
      <c r="Y1093" s="222"/>
      <c r="Z1093" s="222"/>
      <c r="AA1093" s="222"/>
      <c r="AB1093" s="222"/>
      <c r="AC1093" s="222"/>
      <c r="AD1093" s="222"/>
      <c r="AE1093" s="222"/>
      <c r="AR1093" s="324" t="s">
        <v>212</v>
      </c>
      <c r="AT1093" s="324" t="s">
        <v>148</v>
      </c>
      <c r="AU1093" s="324" t="s">
        <v>83</v>
      </c>
      <c r="AY1093" s="214" t="s">
        <v>146</v>
      </c>
      <c r="BE1093" s="325">
        <f>IF(N1093="základní",J1093,0)</f>
        <v>0</v>
      </c>
      <c r="BF1093" s="325">
        <f>IF(N1093="snížená",J1093,0)</f>
        <v>0</v>
      </c>
      <c r="BG1093" s="325">
        <f>IF(N1093="zákl. přenesená",J1093,0)</f>
        <v>0</v>
      </c>
      <c r="BH1093" s="325">
        <f>IF(N1093="sníž. přenesená",J1093,0)</f>
        <v>0</v>
      </c>
      <c r="BI1093" s="325">
        <f>IF(N1093="nulová",J1093,0)</f>
        <v>0</v>
      </c>
      <c r="BJ1093" s="214" t="s">
        <v>81</v>
      </c>
      <c r="BK1093" s="325">
        <f>ROUND(I1093*H1093,2)</f>
        <v>0</v>
      </c>
      <c r="BL1093" s="214" t="s">
        <v>212</v>
      </c>
      <c r="BM1093" s="324" t="s">
        <v>800</v>
      </c>
    </row>
    <row r="1094" spans="2:51" s="326" customFormat="1" ht="12">
      <c r="B1094" s="327"/>
      <c r="D1094" s="328" t="s">
        <v>155</v>
      </c>
      <c r="E1094" s="329" t="s">
        <v>1</v>
      </c>
      <c r="F1094" s="330" t="s">
        <v>786</v>
      </c>
      <c r="H1094" s="329" t="s">
        <v>1</v>
      </c>
      <c r="I1094" s="497"/>
      <c r="L1094" s="331"/>
      <c r="M1094" s="332"/>
      <c r="N1094" s="333"/>
      <c r="O1094" s="333"/>
      <c r="P1094" s="333"/>
      <c r="Q1094" s="333"/>
      <c r="R1094" s="333"/>
      <c r="S1094" s="333"/>
      <c r="T1094" s="334"/>
      <c r="AT1094" s="329" t="s">
        <v>155</v>
      </c>
      <c r="AU1094" s="329" t="s">
        <v>83</v>
      </c>
      <c r="AV1094" s="326" t="s">
        <v>81</v>
      </c>
      <c r="AW1094" s="326" t="s">
        <v>34</v>
      </c>
      <c r="AX1094" s="326" t="s">
        <v>76</v>
      </c>
      <c r="AY1094" s="329" t="s">
        <v>146</v>
      </c>
    </row>
    <row r="1095" spans="2:51" s="326" customFormat="1" ht="12">
      <c r="B1095" s="327"/>
      <c r="D1095" s="328" t="s">
        <v>155</v>
      </c>
      <c r="E1095" s="329" t="s">
        <v>1</v>
      </c>
      <c r="F1095" s="330" t="s">
        <v>167</v>
      </c>
      <c r="H1095" s="329" t="s">
        <v>1</v>
      </c>
      <c r="I1095" s="497"/>
      <c r="L1095" s="331"/>
      <c r="M1095" s="332"/>
      <c r="N1095" s="333"/>
      <c r="O1095" s="333"/>
      <c r="P1095" s="333"/>
      <c r="Q1095" s="333"/>
      <c r="R1095" s="333"/>
      <c r="S1095" s="333"/>
      <c r="T1095" s="334"/>
      <c r="AT1095" s="329" t="s">
        <v>155</v>
      </c>
      <c r="AU1095" s="329" t="s">
        <v>83</v>
      </c>
      <c r="AV1095" s="326" t="s">
        <v>81</v>
      </c>
      <c r="AW1095" s="326" t="s">
        <v>34</v>
      </c>
      <c r="AX1095" s="326" t="s">
        <v>76</v>
      </c>
      <c r="AY1095" s="329" t="s">
        <v>146</v>
      </c>
    </row>
    <row r="1096" spans="2:51" s="335" customFormat="1" ht="12">
      <c r="B1096" s="336"/>
      <c r="D1096" s="328" t="s">
        <v>155</v>
      </c>
      <c r="E1096" s="337" t="s">
        <v>1</v>
      </c>
      <c r="F1096" s="338" t="s">
        <v>2800</v>
      </c>
      <c r="H1096" s="339">
        <f>22.4*12.4</f>
        <v>277.76</v>
      </c>
      <c r="I1096" s="498"/>
      <c r="L1096" s="340"/>
      <c r="M1096" s="341"/>
      <c r="N1096" s="342"/>
      <c r="O1096" s="342"/>
      <c r="P1096" s="342"/>
      <c r="Q1096" s="342"/>
      <c r="R1096" s="342"/>
      <c r="S1096" s="342"/>
      <c r="T1096" s="343"/>
      <c r="AT1096" s="337" t="s">
        <v>155</v>
      </c>
      <c r="AU1096" s="337" t="s">
        <v>83</v>
      </c>
      <c r="AV1096" s="335" t="s">
        <v>83</v>
      </c>
      <c r="AW1096" s="335" t="s">
        <v>34</v>
      </c>
      <c r="AX1096" s="335" t="s">
        <v>76</v>
      </c>
      <c r="AY1096" s="337" t="s">
        <v>146</v>
      </c>
    </row>
    <row r="1097" spans="2:51" s="326" customFormat="1" ht="12">
      <c r="B1097" s="327"/>
      <c r="D1097" s="328" t="s">
        <v>155</v>
      </c>
      <c r="E1097" s="329" t="s">
        <v>1</v>
      </c>
      <c r="F1097" s="330" t="s">
        <v>788</v>
      </c>
      <c r="H1097" s="329" t="s">
        <v>1</v>
      </c>
      <c r="I1097" s="497"/>
      <c r="L1097" s="331"/>
      <c r="M1097" s="332"/>
      <c r="N1097" s="333"/>
      <c r="O1097" s="333"/>
      <c r="P1097" s="333"/>
      <c r="Q1097" s="333"/>
      <c r="R1097" s="333"/>
      <c r="S1097" s="333"/>
      <c r="T1097" s="334"/>
      <c r="AT1097" s="329" t="s">
        <v>155</v>
      </c>
      <c r="AU1097" s="329" t="s">
        <v>83</v>
      </c>
      <c r="AV1097" s="326" t="s">
        <v>81</v>
      </c>
      <c r="AW1097" s="326" t="s">
        <v>34</v>
      </c>
      <c r="AX1097" s="326" t="s">
        <v>76</v>
      </c>
      <c r="AY1097" s="329" t="s">
        <v>146</v>
      </c>
    </row>
    <row r="1098" spans="2:51" s="326" customFormat="1" ht="12">
      <c r="B1098" s="327"/>
      <c r="D1098" s="328" t="s">
        <v>155</v>
      </c>
      <c r="E1098" s="329" t="s">
        <v>1</v>
      </c>
      <c r="F1098" s="330" t="s">
        <v>164</v>
      </c>
      <c r="H1098" s="329" t="s">
        <v>1</v>
      </c>
      <c r="I1098" s="497"/>
      <c r="L1098" s="331"/>
      <c r="M1098" s="332"/>
      <c r="N1098" s="333"/>
      <c r="O1098" s="333"/>
      <c r="P1098" s="333"/>
      <c r="Q1098" s="333"/>
      <c r="R1098" s="333"/>
      <c r="S1098" s="333"/>
      <c r="T1098" s="334"/>
      <c r="AT1098" s="329" t="s">
        <v>155</v>
      </c>
      <c r="AU1098" s="329" t="s">
        <v>83</v>
      </c>
      <c r="AV1098" s="326" t="s">
        <v>81</v>
      </c>
      <c r="AW1098" s="326" t="s">
        <v>34</v>
      </c>
      <c r="AX1098" s="326" t="s">
        <v>76</v>
      </c>
      <c r="AY1098" s="329" t="s">
        <v>146</v>
      </c>
    </row>
    <row r="1099" spans="2:51" s="335" customFormat="1" ht="12">
      <c r="B1099" s="336"/>
      <c r="D1099" s="328" t="s">
        <v>155</v>
      </c>
      <c r="E1099" s="337" t="s">
        <v>1</v>
      </c>
      <c r="F1099" s="338" t="s">
        <v>789</v>
      </c>
      <c r="H1099" s="339">
        <f>26.8*12.4</f>
        <v>332.32</v>
      </c>
      <c r="I1099" s="498"/>
      <c r="L1099" s="340"/>
      <c r="M1099" s="341"/>
      <c r="N1099" s="342"/>
      <c r="O1099" s="342"/>
      <c r="P1099" s="342"/>
      <c r="Q1099" s="342"/>
      <c r="R1099" s="342"/>
      <c r="S1099" s="342"/>
      <c r="T1099" s="343"/>
      <c r="AT1099" s="337" t="s">
        <v>155</v>
      </c>
      <c r="AU1099" s="337" t="s">
        <v>83</v>
      </c>
      <c r="AV1099" s="335" t="s">
        <v>83</v>
      </c>
      <c r="AW1099" s="335" t="s">
        <v>34</v>
      </c>
      <c r="AX1099" s="335" t="s">
        <v>76</v>
      </c>
      <c r="AY1099" s="337" t="s">
        <v>146</v>
      </c>
    </row>
    <row r="1100" spans="2:51" s="347" customFormat="1" ht="12">
      <c r="B1100" s="348"/>
      <c r="D1100" s="328" t="s">
        <v>155</v>
      </c>
      <c r="E1100" s="349" t="s">
        <v>1</v>
      </c>
      <c r="F1100" s="356" t="s">
        <v>157</v>
      </c>
      <c r="H1100" s="351">
        <f>SUM(H1096:H1099)</f>
        <v>610.0799999999999</v>
      </c>
      <c r="I1100" s="499"/>
      <c r="L1100" s="352"/>
      <c r="M1100" s="353"/>
      <c r="N1100" s="354"/>
      <c r="O1100" s="354"/>
      <c r="P1100" s="354"/>
      <c r="Q1100" s="354"/>
      <c r="R1100" s="354"/>
      <c r="S1100" s="354"/>
      <c r="T1100" s="355"/>
      <c r="AT1100" s="349" t="s">
        <v>155</v>
      </c>
      <c r="AU1100" s="349" t="s">
        <v>83</v>
      </c>
      <c r="AV1100" s="347" t="s">
        <v>153</v>
      </c>
      <c r="AW1100" s="347" t="s">
        <v>34</v>
      </c>
      <c r="AX1100" s="347" t="s">
        <v>81</v>
      </c>
      <c r="AY1100" s="349" t="s">
        <v>146</v>
      </c>
    </row>
    <row r="1101" spans="1:65" s="225" customFormat="1" ht="21.75" customHeight="1">
      <c r="A1101" s="222"/>
      <c r="B1101" s="223"/>
      <c r="C1101" s="358">
        <v>190</v>
      </c>
      <c r="D1101" s="358" t="s">
        <v>208</v>
      </c>
      <c r="E1101" s="359" t="s">
        <v>801</v>
      </c>
      <c r="F1101" s="364" t="s">
        <v>802</v>
      </c>
      <c r="G1101" s="361" t="s">
        <v>151</v>
      </c>
      <c r="H1101" s="362">
        <f>H1102</f>
        <v>701.5919999999999</v>
      </c>
      <c r="I1101" s="80"/>
      <c r="J1101" s="363">
        <f>ROUND(I1101*H1101,2)</f>
        <v>0</v>
      </c>
      <c r="K1101" s="364"/>
      <c r="L1101" s="365"/>
      <c r="M1101" s="366" t="s">
        <v>1</v>
      </c>
      <c r="N1101" s="367" t="s">
        <v>42</v>
      </c>
      <c r="O1101" s="322">
        <v>0</v>
      </c>
      <c r="P1101" s="322">
        <f>O1101*H1101</f>
        <v>0</v>
      </c>
      <c r="Q1101" s="322">
        <v>0.0053</v>
      </c>
      <c r="R1101" s="322">
        <f>Q1101*H1101</f>
        <v>3.7184375999999992</v>
      </c>
      <c r="S1101" s="322">
        <v>0</v>
      </c>
      <c r="T1101" s="323">
        <f>S1101*H1101</f>
        <v>0</v>
      </c>
      <c r="U1101" s="222"/>
      <c r="V1101" s="222"/>
      <c r="W1101" s="222"/>
      <c r="X1101" s="222"/>
      <c r="Y1101" s="222"/>
      <c r="Z1101" s="222"/>
      <c r="AA1101" s="222"/>
      <c r="AB1101" s="222"/>
      <c r="AC1101" s="222"/>
      <c r="AD1101" s="222"/>
      <c r="AE1101" s="222"/>
      <c r="AR1101" s="324" t="s">
        <v>298</v>
      </c>
      <c r="AT1101" s="324" t="s">
        <v>208</v>
      </c>
      <c r="AU1101" s="324" t="s">
        <v>83</v>
      </c>
      <c r="AY1101" s="214" t="s">
        <v>146</v>
      </c>
      <c r="BE1101" s="325">
        <f>IF(N1101="základní",J1101,0)</f>
        <v>0</v>
      </c>
      <c r="BF1101" s="325">
        <f>IF(N1101="snížená",J1101,0)</f>
        <v>0</v>
      </c>
      <c r="BG1101" s="325">
        <f>IF(N1101="zákl. přenesená",J1101,0)</f>
        <v>0</v>
      </c>
      <c r="BH1101" s="325">
        <f>IF(N1101="sníž. přenesená",J1101,0)</f>
        <v>0</v>
      </c>
      <c r="BI1101" s="325">
        <f>IF(N1101="nulová",J1101,0)</f>
        <v>0</v>
      </c>
      <c r="BJ1101" s="214" t="s">
        <v>81</v>
      </c>
      <c r="BK1101" s="325">
        <f>ROUND(I1101*H1101,2)</f>
        <v>0</v>
      </c>
      <c r="BL1101" s="214" t="s">
        <v>212</v>
      </c>
      <c r="BM1101" s="324" t="s">
        <v>803</v>
      </c>
    </row>
    <row r="1102" spans="2:51" s="335" customFormat="1" ht="12">
      <c r="B1102" s="336"/>
      <c r="D1102" s="328" t="s">
        <v>155</v>
      </c>
      <c r="F1102" s="338" t="s">
        <v>2809</v>
      </c>
      <c r="H1102" s="339">
        <f>H1093*1.15</f>
        <v>701.5919999999999</v>
      </c>
      <c r="I1102" s="498"/>
      <c r="L1102" s="340"/>
      <c r="M1102" s="341"/>
      <c r="N1102" s="342"/>
      <c r="O1102" s="342"/>
      <c r="P1102" s="342"/>
      <c r="Q1102" s="342"/>
      <c r="R1102" s="342"/>
      <c r="S1102" s="342"/>
      <c r="T1102" s="343"/>
      <c r="AT1102" s="337" t="s">
        <v>155</v>
      </c>
      <c r="AU1102" s="337" t="s">
        <v>83</v>
      </c>
      <c r="AV1102" s="335" t="s">
        <v>83</v>
      </c>
      <c r="AW1102" s="335" t="s">
        <v>3</v>
      </c>
      <c r="AX1102" s="335" t="s">
        <v>81</v>
      </c>
      <c r="AY1102" s="337" t="s">
        <v>146</v>
      </c>
    </row>
    <row r="1103" spans="1:65" s="225" customFormat="1" ht="24.2" customHeight="1">
      <c r="A1103" s="222"/>
      <c r="B1103" s="223"/>
      <c r="C1103" s="314">
        <v>191</v>
      </c>
      <c r="D1103" s="314" t="s">
        <v>148</v>
      </c>
      <c r="E1103" s="315" t="s">
        <v>804</v>
      </c>
      <c r="F1103" s="316" t="s">
        <v>2910</v>
      </c>
      <c r="G1103" s="317" t="s">
        <v>194</v>
      </c>
      <c r="H1103" s="318">
        <f>R1062</f>
        <v>4.452443150399999</v>
      </c>
      <c r="I1103" s="79"/>
      <c r="J1103" s="319">
        <f>ROUND(I1103*H1103,2)</f>
        <v>0</v>
      </c>
      <c r="K1103" s="316"/>
      <c r="L1103" s="229"/>
      <c r="M1103" s="320" t="s">
        <v>1</v>
      </c>
      <c r="N1103" s="321" t="s">
        <v>42</v>
      </c>
      <c r="O1103" s="322">
        <v>0</v>
      </c>
      <c r="P1103" s="322">
        <f>O1103*H1103</f>
        <v>0</v>
      </c>
      <c r="Q1103" s="322"/>
      <c r="R1103" s="322"/>
      <c r="S1103" s="322"/>
      <c r="T1103" s="323"/>
      <c r="U1103" s="222"/>
      <c r="V1103" s="222"/>
      <c r="W1103" s="222"/>
      <c r="X1103" s="222"/>
      <c r="Y1103" s="222"/>
      <c r="Z1103" s="222"/>
      <c r="AA1103" s="222"/>
      <c r="AB1103" s="222"/>
      <c r="AC1103" s="222"/>
      <c r="AD1103" s="222"/>
      <c r="AE1103" s="222"/>
      <c r="AR1103" s="324" t="s">
        <v>212</v>
      </c>
      <c r="AT1103" s="324" t="s">
        <v>148</v>
      </c>
      <c r="AU1103" s="324" t="s">
        <v>83</v>
      </c>
      <c r="AY1103" s="214" t="s">
        <v>146</v>
      </c>
      <c r="BE1103" s="325">
        <f>IF(N1103="základní",J1103,0)</f>
        <v>0</v>
      </c>
      <c r="BF1103" s="325">
        <f>IF(N1103="snížená",J1103,0)</f>
        <v>0</v>
      </c>
      <c r="BG1103" s="325">
        <f>IF(N1103="zákl. přenesená",J1103,0)</f>
        <v>0</v>
      </c>
      <c r="BH1103" s="325">
        <f>IF(N1103="sníž. přenesená",J1103,0)</f>
        <v>0</v>
      </c>
      <c r="BI1103" s="325">
        <f>IF(N1103="nulová",J1103,0)</f>
        <v>0</v>
      </c>
      <c r="BJ1103" s="214" t="s">
        <v>81</v>
      </c>
      <c r="BK1103" s="325">
        <f>ROUND(I1103*H1103,2)</f>
        <v>0</v>
      </c>
      <c r="BL1103" s="214" t="s">
        <v>212</v>
      </c>
      <c r="BM1103" s="324" t="s">
        <v>805</v>
      </c>
    </row>
    <row r="1104" spans="2:63" s="297" customFormat="1" ht="22.9" customHeight="1">
      <c r="B1104" s="298"/>
      <c r="D1104" s="299" t="s">
        <v>75</v>
      </c>
      <c r="E1104" s="310" t="s">
        <v>806</v>
      </c>
      <c r="F1104" s="310" t="s">
        <v>807</v>
      </c>
      <c r="I1104" s="501"/>
      <c r="J1104" s="311">
        <f>SUM(J1105:J1213)</f>
        <v>0</v>
      </c>
      <c r="L1104" s="302"/>
      <c r="M1104" s="303"/>
      <c r="N1104" s="304"/>
      <c r="O1104" s="304"/>
      <c r="P1104" s="305">
        <f>SUM(P1105:P1213)</f>
        <v>966.4956011999999</v>
      </c>
      <c r="Q1104" s="304"/>
      <c r="R1104" s="305">
        <f>SUM(R1105:R1213)</f>
        <v>4.5476624997199995</v>
      </c>
      <c r="S1104" s="304"/>
      <c r="T1104" s="313">
        <f>SUM(T1105:T1213)</f>
        <v>184.12306859999995</v>
      </c>
      <c r="AR1104" s="299" t="s">
        <v>83</v>
      </c>
      <c r="AT1104" s="308" t="s">
        <v>75</v>
      </c>
      <c r="AU1104" s="308" t="s">
        <v>81</v>
      </c>
      <c r="AY1104" s="299" t="s">
        <v>146</v>
      </c>
      <c r="BK1104" s="309">
        <f>SUM(BK1105:BK1213)</f>
        <v>0</v>
      </c>
    </row>
    <row r="1105" spans="1:65" s="225" customFormat="1" ht="24.2" customHeight="1">
      <c r="A1105" s="222"/>
      <c r="B1105" s="223"/>
      <c r="C1105" s="314">
        <v>192</v>
      </c>
      <c r="D1105" s="314" t="s">
        <v>148</v>
      </c>
      <c r="E1105" s="315" t="s">
        <v>808</v>
      </c>
      <c r="F1105" s="344" t="s">
        <v>809</v>
      </c>
      <c r="G1105" s="317" t="s">
        <v>151</v>
      </c>
      <c r="H1105" s="318">
        <f>H1107</f>
        <v>74.83</v>
      </c>
      <c r="I1105" s="79"/>
      <c r="J1105" s="319">
        <f>ROUND(I1105*H1105,2)</f>
        <v>0</v>
      </c>
      <c r="K1105" s="316"/>
      <c r="L1105" s="229"/>
      <c r="M1105" s="320" t="s">
        <v>1</v>
      </c>
      <c r="N1105" s="321" t="s">
        <v>42</v>
      </c>
      <c r="O1105" s="322">
        <v>0.038</v>
      </c>
      <c r="P1105" s="322">
        <f>O1105*H1105</f>
        <v>2.84354</v>
      </c>
      <c r="Q1105" s="322">
        <v>0</v>
      </c>
      <c r="R1105" s="322">
        <f>Q1105*H1105</f>
        <v>0</v>
      </c>
      <c r="S1105" s="322">
        <v>0.00042</v>
      </c>
      <c r="T1105" s="323">
        <f>S1105*H1105</f>
        <v>0.0314286</v>
      </c>
      <c r="U1105" s="222"/>
      <c r="V1105" s="222"/>
      <c r="W1105" s="222"/>
      <c r="X1105" s="222"/>
      <c r="Y1105" s="222"/>
      <c r="Z1105" s="222"/>
      <c r="AA1105" s="222"/>
      <c r="AB1105" s="222"/>
      <c r="AC1105" s="222"/>
      <c r="AD1105" s="222"/>
      <c r="AE1105" s="222"/>
      <c r="AR1105" s="324" t="s">
        <v>212</v>
      </c>
      <c r="AT1105" s="324" t="s">
        <v>148</v>
      </c>
      <c r="AU1105" s="324" t="s">
        <v>83</v>
      </c>
      <c r="AY1105" s="214" t="s">
        <v>146</v>
      </c>
      <c r="BE1105" s="325">
        <f>IF(N1105="základní",J1105,0)</f>
        <v>0</v>
      </c>
      <c r="BF1105" s="325">
        <f>IF(N1105="snížená",J1105,0)</f>
        <v>0</v>
      </c>
      <c r="BG1105" s="325">
        <f>IF(N1105="zákl. přenesená",J1105,0)</f>
        <v>0</v>
      </c>
      <c r="BH1105" s="325">
        <f>IF(N1105="sníž. přenesená",J1105,0)</f>
        <v>0</v>
      </c>
      <c r="BI1105" s="325">
        <f>IF(N1105="nulová",J1105,0)</f>
        <v>0</v>
      </c>
      <c r="BJ1105" s="214" t="s">
        <v>81</v>
      </c>
      <c r="BK1105" s="325">
        <f>ROUND(I1105*H1105,2)</f>
        <v>0</v>
      </c>
      <c r="BL1105" s="214" t="s">
        <v>212</v>
      </c>
      <c r="BM1105" s="324" t="s">
        <v>810</v>
      </c>
    </row>
    <row r="1106" spans="2:51" s="326" customFormat="1" ht="12">
      <c r="B1106" s="327"/>
      <c r="D1106" s="328" t="s">
        <v>155</v>
      </c>
      <c r="E1106" s="329" t="s">
        <v>1</v>
      </c>
      <c r="F1106" s="345" t="s">
        <v>665</v>
      </c>
      <c r="H1106" s="329" t="s">
        <v>1</v>
      </c>
      <c r="I1106" s="497"/>
      <c r="L1106" s="331"/>
      <c r="M1106" s="332"/>
      <c r="N1106" s="333"/>
      <c r="O1106" s="333"/>
      <c r="P1106" s="333"/>
      <c r="Q1106" s="333"/>
      <c r="R1106" s="333"/>
      <c r="S1106" s="333"/>
      <c r="T1106" s="334"/>
      <c r="AT1106" s="329" t="s">
        <v>155</v>
      </c>
      <c r="AU1106" s="329" t="s">
        <v>83</v>
      </c>
      <c r="AV1106" s="326" t="s">
        <v>81</v>
      </c>
      <c r="AW1106" s="326" t="s">
        <v>34</v>
      </c>
      <c r="AX1106" s="326" t="s">
        <v>76</v>
      </c>
      <c r="AY1106" s="329" t="s">
        <v>146</v>
      </c>
    </row>
    <row r="1107" spans="2:51" s="335" customFormat="1" ht="12">
      <c r="B1107" s="336"/>
      <c r="D1107" s="328" t="s">
        <v>155</v>
      </c>
      <c r="E1107" s="337" t="s">
        <v>1</v>
      </c>
      <c r="F1107" s="346" t="s">
        <v>667</v>
      </c>
      <c r="H1107" s="339">
        <f>18.13+28.29+28.41</f>
        <v>74.83</v>
      </c>
      <c r="I1107" s="498"/>
      <c r="L1107" s="340"/>
      <c r="M1107" s="341"/>
      <c r="N1107" s="342"/>
      <c r="O1107" s="342"/>
      <c r="P1107" s="342"/>
      <c r="Q1107" s="342"/>
      <c r="R1107" s="342"/>
      <c r="S1107" s="342"/>
      <c r="T1107" s="343"/>
      <c r="AT1107" s="337" t="s">
        <v>155</v>
      </c>
      <c r="AU1107" s="337" t="s">
        <v>83</v>
      </c>
      <c r="AV1107" s="335" t="s">
        <v>83</v>
      </c>
      <c r="AW1107" s="335" t="s">
        <v>34</v>
      </c>
      <c r="AX1107" s="335" t="s">
        <v>76</v>
      </c>
      <c r="AY1107" s="337" t="s">
        <v>146</v>
      </c>
    </row>
    <row r="1108" spans="1:65" s="225" customFormat="1" ht="24.2" customHeight="1">
      <c r="A1108" s="222"/>
      <c r="B1108" s="223"/>
      <c r="C1108" s="314">
        <v>193</v>
      </c>
      <c r="D1108" s="314" t="s">
        <v>148</v>
      </c>
      <c r="E1108" s="315" t="s">
        <v>811</v>
      </c>
      <c r="F1108" s="344" t="s">
        <v>812</v>
      </c>
      <c r="G1108" s="317" t="s">
        <v>151</v>
      </c>
      <c r="H1108" s="318">
        <f>H1111</f>
        <v>67.53</v>
      </c>
      <c r="I1108" s="79"/>
      <c r="J1108" s="319">
        <f>ROUND(I1108*H1108,2)</f>
        <v>0</v>
      </c>
      <c r="K1108" s="316"/>
      <c r="L1108" s="229"/>
      <c r="M1108" s="320" t="s">
        <v>1</v>
      </c>
      <c r="N1108" s="321" t="s">
        <v>42</v>
      </c>
      <c r="O1108" s="322">
        <v>0.06</v>
      </c>
      <c r="P1108" s="322">
        <f>O1108*H1108</f>
        <v>4.0518</v>
      </c>
      <c r="Q1108" s="322">
        <v>0</v>
      </c>
      <c r="R1108" s="322">
        <f>Q1108*H1108</f>
        <v>0</v>
      </c>
      <c r="S1108" s="322">
        <v>0</v>
      </c>
      <c r="T1108" s="323">
        <f>S1108*H1108</f>
        <v>0</v>
      </c>
      <c r="U1108" s="222"/>
      <c r="V1108" s="222"/>
      <c r="W1108" s="222"/>
      <c r="X1108" s="222"/>
      <c r="Y1108" s="222"/>
      <c r="Z1108" s="222"/>
      <c r="AA1108" s="222"/>
      <c r="AB1108" s="222"/>
      <c r="AC1108" s="222"/>
      <c r="AD1108" s="222"/>
      <c r="AE1108" s="222"/>
      <c r="AR1108" s="324" t="s">
        <v>212</v>
      </c>
      <c r="AT1108" s="324" t="s">
        <v>148</v>
      </c>
      <c r="AU1108" s="324" t="s">
        <v>83</v>
      </c>
      <c r="AY1108" s="214" t="s">
        <v>146</v>
      </c>
      <c r="BE1108" s="325">
        <f>IF(N1108="základní",J1108,0)</f>
        <v>0</v>
      </c>
      <c r="BF1108" s="325">
        <f>IF(N1108="snížená",J1108,0)</f>
        <v>0</v>
      </c>
      <c r="BG1108" s="325">
        <f>IF(N1108="zákl. přenesená",J1108,0)</f>
        <v>0</v>
      </c>
      <c r="BH1108" s="325">
        <f>IF(N1108="sníž. přenesená",J1108,0)</f>
        <v>0</v>
      </c>
      <c r="BI1108" s="325">
        <f>IF(N1108="nulová",J1108,0)</f>
        <v>0</v>
      </c>
      <c r="BJ1108" s="214" t="s">
        <v>81</v>
      </c>
      <c r="BK1108" s="325">
        <f>ROUND(I1108*H1108,2)</f>
        <v>0</v>
      </c>
      <c r="BL1108" s="214" t="s">
        <v>212</v>
      </c>
      <c r="BM1108" s="324" t="s">
        <v>813</v>
      </c>
    </row>
    <row r="1109" spans="2:51" s="326" customFormat="1" ht="12">
      <c r="B1109" s="327"/>
      <c r="D1109" s="328" t="s">
        <v>155</v>
      </c>
      <c r="E1109" s="329" t="s">
        <v>1</v>
      </c>
      <c r="F1109" s="345" t="s">
        <v>814</v>
      </c>
      <c r="H1109" s="329" t="s">
        <v>1</v>
      </c>
      <c r="I1109" s="497"/>
      <c r="L1109" s="331"/>
      <c r="M1109" s="332"/>
      <c r="N1109" s="333"/>
      <c r="O1109" s="333"/>
      <c r="P1109" s="333"/>
      <c r="Q1109" s="333"/>
      <c r="R1109" s="333"/>
      <c r="S1109" s="333"/>
      <c r="T1109" s="334"/>
      <c r="AT1109" s="329" t="s">
        <v>155</v>
      </c>
      <c r="AU1109" s="329" t="s">
        <v>83</v>
      </c>
      <c r="AV1109" s="326" t="s">
        <v>81</v>
      </c>
      <c r="AW1109" s="326" t="s">
        <v>34</v>
      </c>
      <c r="AX1109" s="326" t="s">
        <v>76</v>
      </c>
      <c r="AY1109" s="329" t="s">
        <v>146</v>
      </c>
    </row>
    <row r="1110" spans="2:51" s="326" customFormat="1" ht="12">
      <c r="B1110" s="327"/>
      <c r="D1110" s="328" t="s">
        <v>155</v>
      </c>
      <c r="E1110" s="329" t="s">
        <v>1</v>
      </c>
      <c r="F1110" s="345" t="s">
        <v>815</v>
      </c>
      <c r="H1110" s="329" t="s">
        <v>1</v>
      </c>
      <c r="I1110" s="497"/>
      <c r="L1110" s="331"/>
      <c r="M1110" s="332"/>
      <c r="N1110" s="333"/>
      <c r="O1110" s="333"/>
      <c r="P1110" s="333"/>
      <c r="Q1110" s="333"/>
      <c r="R1110" s="333"/>
      <c r="S1110" s="333"/>
      <c r="T1110" s="334"/>
      <c r="AT1110" s="329" t="s">
        <v>155</v>
      </c>
      <c r="AU1110" s="329" t="s">
        <v>83</v>
      </c>
      <c r="AV1110" s="326" t="s">
        <v>81</v>
      </c>
      <c r="AW1110" s="326" t="s">
        <v>34</v>
      </c>
      <c r="AX1110" s="326" t="s">
        <v>76</v>
      </c>
      <c r="AY1110" s="329" t="s">
        <v>146</v>
      </c>
    </row>
    <row r="1111" spans="2:51" s="335" customFormat="1" ht="12">
      <c r="B1111" s="336"/>
      <c r="D1111" s="328" t="s">
        <v>155</v>
      </c>
      <c r="E1111" s="337" t="s">
        <v>1</v>
      </c>
      <c r="F1111" s="346" t="s">
        <v>2810</v>
      </c>
      <c r="H1111" s="339">
        <f>9.84+3.4+1.4+25.75+10.38+12.01+4.75</f>
        <v>67.53</v>
      </c>
      <c r="I1111" s="498"/>
      <c r="L1111" s="340"/>
      <c r="M1111" s="341"/>
      <c r="N1111" s="342"/>
      <c r="O1111" s="342"/>
      <c r="P1111" s="342"/>
      <c r="Q1111" s="342"/>
      <c r="R1111" s="342"/>
      <c r="S1111" s="342"/>
      <c r="T1111" s="343"/>
      <c r="AT1111" s="337" t="s">
        <v>155</v>
      </c>
      <c r="AU1111" s="337" t="s">
        <v>83</v>
      </c>
      <c r="AV1111" s="335" t="s">
        <v>83</v>
      </c>
      <c r="AW1111" s="335" t="s">
        <v>34</v>
      </c>
      <c r="AX1111" s="335" t="s">
        <v>76</v>
      </c>
      <c r="AY1111" s="337" t="s">
        <v>146</v>
      </c>
    </row>
    <row r="1112" spans="1:65" s="225" customFormat="1" ht="24.2" customHeight="1">
      <c r="A1112" s="222"/>
      <c r="B1112" s="223"/>
      <c r="C1112" s="358">
        <v>194</v>
      </c>
      <c r="D1112" s="358" t="s">
        <v>208</v>
      </c>
      <c r="E1112" s="359" t="s">
        <v>816</v>
      </c>
      <c r="F1112" s="360" t="s">
        <v>3715</v>
      </c>
      <c r="G1112" s="361" t="s">
        <v>151</v>
      </c>
      <c r="H1112" s="362">
        <f>H1113</f>
        <v>1.3506</v>
      </c>
      <c r="I1112" s="80"/>
      <c r="J1112" s="363">
        <f>ROUND(I1112*H1112,2)</f>
        <v>0</v>
      </c>
      <c r="K1112" s="364"/>
      <c r="L1112" s="229"/>
      <c r="M1112" s="366" t="s">
        <v>1</v>
      </c>
      <c r="N1112" s="367" t="s">
        <v>42</v>
      </c>
      <c r="O1112" s="322">
        <v>0</v>
      </c>
      <c r="P1112" s="322">
        <f>O1112*H1112</f>
        <v>0</v>
      </c>
      <c r="Q1112" s="322">
        <v>0.0004</v>
      </c>
      <c r="R1112" s="322">
        <f>Q1112*H1112</f>
        <v>0.00054024</v>
      </c>
      <c r="S1112" s="322">
        <v>0</v>
      </c>
      <c r="T1112" s="323">
        <f>S1112*H1112</f>
        <v>0</v>
      </c>
      <c r="U1112" s="222"/>
      <c r="V1112" s="222"/>
      <c r="W1112" s="222"/>
      <c r="X1112" s="222"/>
      <c r="Y1112" s="222"/>
      <c r="Z1112" s="222"/>
      <c r="AA1112" s="222"/>
      <c r="AB1112" s="222"/>
      <c r="AC1112" s="222"/>
      <c r="AD1112" s="222"/>
      <c r="AE1112" s="222"/>
      <c r="AR1112" s="324" t="s">
        <v>298</v>
      </c>
      <c r="AT1112" s="324" t="s">
        <v>208</v>
      </c>
      <c r="AU1112" s="324" t="s">
        <v>83</v>
      </c>
      <c r="AY1112" s="214" t="s">
        <v>146</v>
      </c>
      <c r="BE1112" s="325">
        <f>IF(N1112="základní",J1112,0)</f>
        <v>0</v>
      </c>
      <c r="BF1112" s="325">
        <f>IF(N1112="snížená",J1112,0)</f>
        <v>0</v>
      </c>
      <c r="BG1112" s="325">
        <f>IF(N1112="zákl. přenesená",J1112,0)</f>
        <v>0</v>
      </c>
      <c r="BH1112" s="325">
        <f>IF(N1112="sníž. přenesená",J1112,0)</f>
        <v>0</v>
      </c>
      <c r="BI1112" s="325">
        <f>IF(N1112="nulová",J1112,0)</f>
        <v>0</v>
      </c>
      <c r="BJ1112" s="214" t="s">
        <v>81</v>
      </c>
      <c r="BK1112" s="325">
        <f>ROUND(I1112*H1112,2)</f>
        <v>0</v>
      </c>
      <c r="BL1112" s="214" t="s">
        <v>212</v>
      </c>
      <c r="BM1112" s="324" t="s">
        <v>817</v>
      </c>
    </row>
    <row r="1113" spans="2:51" s="335" customFormat="1" ht="12">
      <c r="B1113" s="336"/>
      <c r="D1113" s="328" t="s">
        <v>155</v>
      </c>
      <c r="F1113" s="346" t="s">
        <v>2811</v>
      </c>
      <c r="H1113" s="339">
        <f>H1108*0.02</f>
        <v>1.3506</v>
      </c>
      <c r="I1113" s="498"/>
      <c r="L1113" s="340"/>
      <c r="M1113" s="341"/>
      <c r="N1113" s="342"/>
      <c r="O1113" s="342"/>
      <c r="P1113" s="342"/>
      <c r="Q1113" s="342"/>
      <c r="R1113" s="342"/>
      <c r="S1113" s="342"/>
      <c r="T1113" s="343"/>
      <c r="AT1113" s="337" t="s">
        <v>155</v>
      </c>
      <c r="AU1113" s="337" t="s">
        <v>83</v>
      </c>
      <c r="AV1113" s="335" t="s">
        <v>83</v>
      </c>
      <c r="AW1113" s="335" t="s">
        <v>3</v>
      </c>
      <c r="AX1113" s="335" t="s">
        <v>81</v>
      </c>
      <c r="AY1113" s="337" t="s">
        <v>146</v>
      </c>
    </row>
    <row r="1114" spans="1:65" s="225" customFormat="1" ht="24.2" customHeight="1">
      <c r="A1114" s="222"/>
      <c r="B1114" s="223"/>
      <c r="C1114" s="314">
        <v>195</v>
      </c>
      <c r="D1114" s="314" t="s">
        <v>148</v>
      </c>
      <c r="E1114" s="315" t="s">
        <v>819</v>
      </c>
      <c r="F1114" s="344" t="s">
        <v>820</v>
      </c>
      <c r="G1114" s="317" t="s">
        <v>151</v>
      </c>
      <c r="H1114" s="318">
        <f>H1117</f>
        <v>146.93</v>
      </c>
      <c r="I1114" s="79"/>
      <c r="J1114" s="319">
        <f>ROUND(I1114*H1114,2)</f>
        <v>0</v>
      </c>
      <c r="K1114" s="316"/>
      <c r="L1114" s="229"/>
      <c r="M1114" s="320" t="s">
        <v>1</v>
      </c>
      <c r="N1114" s="321" t="s">
        <v>42</v>
      </c>
      <c r="O1114" s="322">
        <v>0.14</v>
      </c>
      <c r="P1114" s="322">
        <f>O1114*H1114</f>
        <v>20.570200000000003</v>
      </c>
      <c r="Q1114" s="322">
        <v>0</v>
      </c>
      <c r="R1114" s="322">
        <f>Q1114*H1114</f>
        <v>0</v>
      </c>
      <c r="S1114" s="322">
        <v>0</v>
      </c>
      <c r="T1114" s="323">
        <f>S1114*H1114</f>
        <v>0</v>
      </c>
      <c r="U1114" s="222"/>
      <c r="V1114" s="222"/>
      <c r="W1114" s="222"/>
      <c r="X1114" s="222"/>
      <c r="Y1114" s="222"/>
      <c r="Z1114" s="222"/>
      <c r="AA1114" s="222"/>
      <c r="AB1114" s="222"/>
      <c r="AC1114" s="222"/>
      <c r="AD1114" s="222"/>
      <c r="AE1114" s="222"/>
      <c r="AR1114" s="324" t="s">
        <v>212</v>
      </c>
      <c r="AT1114" s="324" t="s">
        <v>148</v>
      </c>
      <c r="AU1114" s="324" t="s">
        <v>83</v>
      </c>
      <c r="AY1114" s="214" t="s">
        <v>146</v>
      </c>
      <c r="BE1114" s="325">
        <f>IF(N1114="základní",J1114,0)</f>
        <v>0</v>
      </c>
      <c r="BF1114" s="325">
        <f>IF(N1114="snížená",J1114,0)</f>
        <v>0</v>
      </c>
      <c r="BG1114" s="325">
        <f>IF(N1114="zákl. přenesená",J1114,0)</f>
        <v>0</v>
      </c>
      <c r="BH1114" s="325">
        <f>IF(N1114="sníž. přenesená",J1114,0)</f>
        <v>0</v>
      </c>
      <c r="BI1114" s="325">
        <f>IF(N1114="nulová",J1114,0)</f>
        <v>0</v>
      </c>
      <c r="BJ1114" s="214" t="s">
        <v>81</v>
      </c>
      <c r="BK1114" s="325">
        <f>ROUND(I1114*H1114,2)</f>
        <v>0</v>
      </c>
      <c r="BL1114" s="214" t="s">
        <v>212</v>
      </c>
      <c r="BM1114" s="324" t="s">
        <v>821</v>
      </c>
    </row>
    <row r="1115" spans="2:51" s="326" customFormat="1" ht="12">
      <c r="B1115" s="327"/>
      <c r="D1115" s="328" t="s">
        <v>155</v>
      </c>
      <c r="E1115" s="329" t="s">
        <v>1</v>
      </c>
      <c r="F1115" s="345" t="s">
        <v>754</v>
      </c>
      <c r="H1115" s="329" t="s">
        <v>1</v>
      </c>
      <c r="I1115" s="497"/>
      <c r="L1115" s="331"/>
      <c r="M1115" s="332"/>
      <c r="N1115" s="333"/>
      <c r="O1115" s="333"/>
      <c r="P1115" s="333"/>
      <c r="Q1115" s="333"/>
      <c r="R1115" s="333"/>
      <c r="S1115" s="333"/>
      <c r="T1115" s="334"/>
      <c r="AT1115" s="329" t="s">
        <v>155</v>
      </c>
      <c r="AU1115" s="329" t="s">
        <v>83</v>
      </c>
      <c r="AV1115" s="326" t="s">
        <v>81</v>
      </c>
      <c r="AW1115" s="326" t="s">
        <v>34</v>
      </c>
      <c r="AX1115" s="326" t="s">
        <v>76</v>
      </c>
      <c r="AY1115" s="329" t="s">
        <v>146</v>
      </c>
    </row>
    <row r="1116" spans="2:51" s="326" customFormat="1" ht="22.5">
      <c r="B1116" s="327"/>
      <c r="D1116" s="328" t="s">
        <v>155</v>
      </c>
      <c r="E1116" s="329" t="s">
        <v>1</v>
      </c>
      <c r="F1116" s="345" t="s">
        <v>2796</v>
      </c>
      <c r="H1116" s="329" t="s">
        <v>1</v>
      </c>
      <c r="I1116" s="497"/>
      <c r="L1116" s="331"/>
      <c r="M1116" s="332"/>
      <c r="N1116" s="333"/>
      <c r="O1116" s="333"/>
      <c r="P1116" s="333"/>
      <c r="Q1116" s="333"/>
      <c r="R1116" s="333"/>
      <c r="S1116" s="333"/>
      <c r="T1116" s="334"/>
      <c r="AT1116" s="329" t="s">
        <v>155</v>
      </c>
      <c r="AU1116" s="329" t="s">
        <v>83</v>
      </c>
      <c r="AV1116" s="326" t="s">
        <v>81</v>
      </c>
      <c r="AW1116" s="326" t="s">
        <v>34</v>
      </c>
      <c r="AX1116" s="326" t="s">
        <v>76</v>
      </c>
      <c r="AY1116" s="329" t="s">
        <v>146</v>
      </c>
    </row>
    <row r="1117" spans="2:51" s="335" customFormat="1" ht="22.5">
      <c r="B1117" s="336"/>
      <c r="D1117" s="328" t="s">
        <v>155</v>
      </c>
      <c r="E1117" s="337" t="s">
        <v>1</v>
      </c>
      <c r="F1117" s="346" t="s">
        <v>2795</v>
      </c>
      <c r="H1117" s="339">
        <f>13.16+26.4+16.74+15.04+3.06+1.48+7.37+2.1+2.18+6.28+1.5+1.45+18.5+7.13+14.98+9.56</f>
        <v>146.93</v>
      </c>
      <c r="I1117" s="498"/>
      <c r="L1117" s="340"/>
      <c r="M1117" s="341"/>
      <c r="N1117" s="342"/>
      <c r="O1117" s="342"/>
      <c r="P1117" s="342"/>
      <c r="Q1117" s="342"/>
      <c r="R1117" s="342"/>
      <c r="S1117" s="342"/>
      <c r="T1117" s="343"/>
      <c r="AT1117" s="337" t="s">
        <v>155</v>
      </c>
      <c r="AU1117" s="337" t="s">
        <v>83</v>
      </c>
      <c r="AV1117" s="335" t="s">
        <v>83</v>
      </c>
      <c r="AW1117" s="335" t="s">
        <v>34</v>
      </c>
      <c r="AX1117" s="335" t="s">
        <v>76</v>
      </c>
      <c r="AY1117" s="337" t="s">
        <v>146</v>
      </c>
    </row>
    <row r="1118" spans="1:65" s="225" customFormat="1" ht="24.2" customHeight="1">
      <c r="A1118" s="222"/>
      <c r="B1118" s="223"/>
      <c r="C1118" s="358">
        <v>196</v>
      </c>
      <c r="D1118" s="358" t="s">
        <v>208</v>
      </c>
      <c r="E1118" s="359" t="s">
        <v>822</v>
      </c>
      <c r="F1118" s="360" t="s">
        <v>3716</v>
      </c>
      <c r="G1118" s="361" t="s">
        <v>151</v>
      </c>
      <c r="H1118" s="362">
        <f>H1120</f>
        <v>299.73720000000003</v>
      </c>
      <c r="I1118" s="80"/>
      <c r="J1118" s="363">
        <f>ROUND(I1118*H1118,2)</f>
        <v>0</v>
      </c>
      <c r="K1118" s="364"/>
      <c r="L1118" s="229"/>
      <c r="M1118" s="366" t="s">
        <v>1</v>
      </c>
      <c r="N1118" s="367" t="s">
        <v>42</v>
      </c>
      <c r="O1118" s="322">
        <v>0</v>
      </c>
      <c r="P1118" s="322">
        <f>O1118*H1118</f>
        <v>0</v>
      </c>
      <c r="Q1118" s="322">
        <v>0.0004</v>
      </c>
      <c r="R1118" s="322">
        <f>Q1118*H1118</f>
        <v>0.11989488000000002</v>
      </c>
      <c r="S1118" s="322">
        <v>0</v>
      </c>
      <c r="T1118" s="323">
        <f>S1118*H1118</f>
        <v>0</v>
      </c>
      <c r="U1118" s="222"/>
      <c r="V1118" s="222"/>
      <c r="W1118" s="222"/>
      <c r="X1118" s="222"/>
      <c r="Y1118" s="222"/>
      <c r="Z1118" s="222"/>
      <c r="AA1118" s="222"/>
      <c r="AB1118" s="222"/>
      <c r="AC1118" s="222"/>
      <c r="AD1118" s="222"/>
      <c r="AE1118" s="222"/>
      <c r="AR1118" s="324" t="s">
        <v>298</v>
      </c>
      <c r="AT1118" s="324" t="s">
        <v>208</v>
      </c>
      <c r="AU1118" s="324" t="s">
        <v>83</v>
      </c>
      <c r="AY1118" s="214" t="s">
        <v>146</v>
      </c>
      <c r="BE1118" s="325">
        <f>IF(N1118="základní",J1118,0)</f>
        <v>0</v>
      </c>
      <c r="BF1118" s="325">
        <f>IF(N1118="snížená",J1118,0)</f>
        <v>0</v>
      </c>
      <c r="BG1118" s="325">
        <f>IF(N1118="zákl. přenesená",J1118,0)</f>
        <v>0</v>
      </c>
      <c r="BH1118" s="325">
        <f>IF(N1118="sníž. přenesená",J1118,0)</f>
        <v>0</v>
      </c>
      <c r="BI1118" s="325">
        <f>IF(N1118="nulová",J1118,0)</f>
        <v>0</v>
      </c>
      <c r="BJ1118" s="214" t="s">
        <v>81</v>
      </c>
      <c r="BK1118" s="325">
        <f>ROUND(I1118*H1118,2)</f>
        <v>0</v>
      </c>
      <c r="BL1118" s="214" t="s">
        <v>212</v>
      </c>
      <c r="BM1118" s="324" t="s">
        <v>823</v>
      </c>
    </row>
    <row r="1119" spans="2:51" s="347" customFormat="1" ht="12">
      <c r="B1119" s="348"/>
      <c r="D1119" s="328" t="s">
        <v>155</v>
      </c>
      <c r="E1119" s="349" t="s">
        <v>1</v>
      </c>
      <c r="F1119" s="350" t="s">
        <v>157</v>
      </c>
      <c r="H1119" s="351">
        <f>H1117</f>
        <v>146.93</v>
      </c>
      <c r="I1119" s="499"/>
      <c r="L1119" s="352"/>
      <c r="M1119" s="353"/>
      <c r="N1119" s="354"/>
      <c r="O1119" s="354"/>
      <c r="P1119" s="354"/>
      <c r="Q1119" s="354"/>
      <c r="R1119" s="354"/>
      <c r="S1119" s="354"/>
      <c r="T1119" s="355"/>
      <c r="AT1119" s="349" t="s">
        <v>155</v>
      </c>
      <c r="AU1119" s="349" t="s">
        <v>83</v>
      </c>
      <c r="AV1119" s="347" t="s">
        <v>153</v>
      </c>
      <c r="AW1119" s="347" t="s">
        <v>34</v>
      </c>
      <c r="AX1119" s="347" t="s">
        <v>81</v>
      </c>
      <c r="AY1119" s="349" t="s">
        <v>146</v>
      </c>
    </row>
    <row r="1120" spans="2:51" s="335" customFormat="1" ht="12">
      <c r="B1120" s="336"/>
      <c r="D1120" s="328" t="s">
        <v>155</v>
      </c>
      <c r="F1120" s="346" t="s">
        <v>2812</v>
      </c>
      <c r="H1120" s="339">
        <f>H1119*2.04</f>
        <v>299.73720000000003</v>
      </c>
      <c r="I1120" s="498"/>
      <c r="L1120" s="340"/>
      <c r="M1120" s="341"/>
      <c r="N1120" s="342"/>
      <c r="O1120" s="342"/>
      <c r="P1120" s="342"/>
      <c r="Q1120" s="342"/>
      <c r="R1120" s="342"/>
      <c r="S1120" s="342"/>
      <c r="T1120" s="343"/>
      <c r="AT1120" s="337" t="s">
        <v>155</v>
      </c>
      <c r="AU1120" s="337" t="s">
        <v>83</v>
      </c>
      <c r="AV1120" s="335" t="s">
        <v>83</v>
      </c>
      <c r="AW1120" s="335" t="s">
        <v>3</v>
      </c>
      <c r="AX1120" s="335" t="s">
        <v>81</v>
      </c>
      <c r="AY1120" s="337" t="s">
        <v>146</v>
      </c>
    </row>
    <row r="1121" spans="1:65" s="225" customFormat="1" ht="24.2" customHeight="1">
      <c r="A1121" s="222"/>
      <c r="B1121" s="223"/>
      <c r="C1121" s="314">
        <v>197</v>
      </c>
      <c r="D1121" s="314" t="s">
        <v>148</v>
      </c>
      <c r="E1121" s="315" t="s">
        <v>824</v>
      </c>
      <c r="F1121" s="344" t="s">
        <v>825</v>
      </c>
      <c r="G1121" s="317" t="s">
        <v>151</v>
      </c>
      <c r="H1121" s="318">
        <f>H1123</f>
        <v>16.9575</v>
      </c>
      <c r="I1121" s="79"/>
      <c r="J1121" s="319">
        <f>ROUND(I1121*H1121,2)</f>
        <v>0</v>
      </c>
      <c r="K1121" s="316"/>
      <c r="L1121" s="229"/>
      <c r="M1121" s="320" t="s">
        <v>1</v>
      </c>
      <c r="N1121" s="321" t="s">
        <v>42</v>
      </c>
      <c r="O1121" s="322">
        <v>0.241</v>
      </c>
      <c r="P1121" s="322">
        <f>O1121*H1121</f>
        <v>4.0867575</v>
      </c>
      <c r="Q1121" s="322">
        <v>0.006</v>
      </c>
      <c r="R1121" s="322">
        <f>Q1121*H1121</f>
        <v>0.101745</v>
      </c>
      <c r="S1121" s="322">
        <v>0</v>
      </c>
      <c r="T1121" s="323">
        <f>S1121*H1121</f>
        <v>0</v>
      </c>
      <c r="U1121" s="222"/>
      <c r="V1121" s="222"/>
      <c r="W1121" s="222"/>
      <c r="X1121" s="222"/>
      <c r="Y1121" s="222"/>
      <c r="Z1121" s="222"/>
      <c r="AA1121" s="222"/>
      <c r="AB1121" s="222"/>
      <c r="AC1121" s="222"/>
      <c r="AD1121" s="222"/>
      <c r="AE1121" s="222"/>
      <c r="AR1121" s="324" t="s">
        <v>212</v>
      </c>
      <c r="AT1121" s="324" t="s">
        <v>148</v>
      </c>
      <c r="AU1121" s="324" t="s">
        <v>83</v>
      </c>
      <c r="AY1121" s="214" t="s">
        <v>146</v>
      </c>
      <c r="BE1121" s="325">
        <f>IF(N1121="základní",J1121,0)</f>
        <v>0</v>
      </c>
      <c r="BF1121" s="325">
        <f>IF(N1121="snížená",J1121,0)</f>
        <v>0</v>
      </c>
      <c r="BG1121" s="325">
        <f>IF(N1121="zákl. přenesená",J1121,0)</f>
        <v>0</v>
      </c>
      <c r="BH1121" s="325">
        <f>IF(N1121="sníž. přenesená",J1121,0)</f>
        <v>0</v>
      </c>
      <c r="BI1121" s="325">
        <f>IF(N1121="nulová",J1121,0)</f>
        <v>0</v>
      </c>
      <c r="BJ1121" s="214" t="s">
        <v>81</v>
      </c>
      <c r="BK1121" s="325">
        <f>ROUND(I1121*H1121,2)</f>
        <v>0</v>
      </c>
      <c r="BL1121" s="214" t="s">
        <v>212</v>
      </c>
      <c r="BM1121" s="324" t="s">
        <v>826</v>
      </c>
    </row>
    <row r="1122" spans="2:51" s="326" customFormat="1" ht="12">
      <c r="B1122" s="327"/>
      <c r="D1122" s="328" t="s">
        <v>155</v>
      </c>
      <c r="E1122" s="329" t="s">
        <v>1</v>
      </c>
      <c r="F1122" s="345" t="s">
        <v>827</v>
      </c>
      <c r="H1122" s="329" t="s">
        <v>1</v>
      </c>
      <c r="I1122" s="497"/>
      <c r="L1122" s="331"/>
      <c r="M1122" s="332"/>
      <c r="N1122" s="333"/>
      <c r="O1122" s="333"/>
      <c r="P1122" s="333"/>
      <c r="Q1122" s="333"/>
      <c r="R1122" s="333"/>
      <c r="S1122" s="333"/>
      <c r="T1122" s="334"/>
      <c r="AT1122" s="329" t="s">
        <v>155</v>
      </c>
      <c r="AU1122" s="329" t="s">
        <v>83</v>
      </c>
      <c r="AV1122" s="326" t="s">
        <v>81</v>
      </c>
      <c r="AW1122" s="326" t="s">
        <v>34</v>
      </c>
      <c r="AX1122" s="326" t="s">
        <v>76</v>
      </c>
      <c r="AY1122" s="329" t="s">
        <v>146</v>
      </c>
    </row>
    <row r="1123" spans="2:51" s="335" customFormat="1" ht="12">
      <c r="B1123" s="336"/>
      <c r="D1123" s="328" t="s">
        <v>155</v>
      </c>
      <c r="E1123" s="337" t="s">
        <v>1</v>
      </c>
      <c r="F1123" s="346" t="s">
        <v>2813</v>
      </c>
      <c r="H1123" s="339">
        <f>(2.85+3.1)*2.85</f>
        <v>16.9575</v>
      </c>
      <c r="I1123" s="498"/>
      <c r="L1123" s="340"/>
      <c r="M1123" s="341"/>
      <c r="N1123" s="342"/>
      <c r="O1123" s="342"/>
      <c r="P1123" s="342"/>
      <c r="Q1123" s="342"/>
      <c r="R1123" s="342"/>
      <c r="S1123" s="342"/>
      <c r="T1123" s="343"/>
      <c r="AT1123" s="337" t="s">
        <v>155</v>
      </c>
      <c r="AU1123" s="337" t="s">
        <v>83</v>
      </c>
      <c r="AV1123" s="335" t="s">
        <v>83</v>
      </c>
      <c r="AW1123" s="335" t="s">
        <v>34</v>
      </c>
      <c r="AX1123" s="335" t="s">
        <v>76</v>
      </c>
      <c r="AY1123" s="337" t="s">
        <v>146</v>
      </c>
    </row>
    <row r="1124" spans="1:65" s="225" customFormat="1" ht="16.5" customHeight="1">
      <c r="A1124" s="222"/>
      <c r="B1124" s="223"/>
      <c r="C1124" s="358">
        <v>198</v>
      </c>
      <c r="D1124" s="358" t="s">
        <v>208</v>
      </c>
      <c r="E1124" s="359" t="s">
        <v>828</v>
      </c>
      <c r="F1124" s="360" t="s">
        <v>829</v>
      </c>
      <c r="G1124" s="361" t="s">
        <v>151</v>
      </c>
      <c r="H1124" s="362">
        <f>H1125</f>
        <v>17.805375</v>
      </c>
      <c r="I1124" s="80"/>
      <c r="J1124" s="363">
        <f>ROUND(I1124*H1124,2)</f>
        <v>0</v>
      </c>
      <c r="K1124" s="364"/>
      <c r="L1124" s="229"/>
      <c r="M1124" s="366" t="s">
        <v>1</v>
      </c>
      <c r="N1124" s="367" t="s">
        <v>42</v>
      </c>
      <c r="O1124" s="322">
        <v>0</v>
      </c>
      <c r="P1124" s="322">
        <f>O1124*H1124</f>
        <v>0</v>
      </c>
      <c r="Q1124" s="322">
        <v>0.0008</v>
      </c>
      <c r="R1124" s="322">
        <f>Q1124*H1124</f>
        <v>0.014244300000000001</v>
      </c>
      <c r="S1124" s="322">
        <v>0</v>
      </c>
      <c r="T1124" s="323">
        <f>S1124*H1124</f>
        <v>0</v>
      </c>
      <c r="U1124" s="222"/>
      <c r="V1124" s="222"/>
      <c r="W1124" s="222"/>
      <c r="X1124" s="222"/>
      <c r="Y1124" s="222"/>
      <c r="Z1124" s="222"/>
      <c r="AA1124" s="222"/>
      <c r="AB1124" s="222"/>
      <c r="AC1124" s="222"/>
      <c r="AD1124" s="222"/>
      <c r="AE1124" s="222"/>
      <c r="AR1124" s="324" t="s">
        <v>298</v>
      </c>
      <c r="AT1124" s="324" t="s">
        <v>208</v>
      </c>
      <c r="AU1124" s="324" t="s">
        <v>83</v>
      </c>
      <c r="AY1124" s="214" t="s">
        <v>146</v>
      </c>
      <c r="BE1124" s="325">
        <f>IF(N1124="základní",J1124,0)</f>
        <v>0</v>
      </c>
      <c r="BF1124" s="325">
        <f>IF(N1124="snížená",J1124,0)</f>
        <v>0</v>
      </c>
      <c r="BG1124" s="325">
        <f>IF(N1124="zákl. přenesená",J1124,0)</f>
        <v>0</v>
      </c>
      <c r="BH1124" s="325">
        <f>IF(N1124="sníž. přenesená",J1124,0)</f>
        <v>0</v>
      </c>
      <c r="BI1124" s="325">
        <f>IF(N1124="nulová",J1124,0)</f>
        <v>0</v>
      </c>
      <c r="BJ1124" s="214" t="s">
        <v>81</v>
      </c>
      <c r="BK1124" s="325">
        <f>ROUND(I1124*H1124,2)</f>
        <v>0</v>
      </c>
      <c r="BL1124" s="214" t="s">
        <v>212</v>
      </c>
      <c r="BM1124" s="324" t="s">
        <v>830</v>
      </c>
    </row>
    <row r="1125" spans="2:51" s="335" customFormat="1" ht="12">
      <c r="B1125" s="336"/>
      <c r="D1125" s="328" t="s">
        <v>155</v>
      </c>
      <c r="F1125" s="346" t="s">
        <v>2814</v>
      </c>
      <c r="H1125" s="339">
        <f>H1121*1.05</f>
        <v>17.805375</v>
      </c>
      <c r="I1125" s="498"/>
      <c r="L1125" s="340"/>
      <c r="M1125" s="341"/>
      <c r="N1125" s="342"/>
      <c r="O1125" s="342"/>
      <c r="P1125" s="342"/>
      <c r="Q1125" s="342"/>
      <c r="R1125" s="342"/>
      <c r="S1125" s="342"/>
      <c r="T1125" s="343"/>
      <c r="AT1125" s="337" t="s">
        <v>155</v>
      </c>
      <c r="AU1125" s="337" t="s">
        <v>83</v>
      </c>
      <c r="AV1125" s="335" t="s">
        <v>83</v>
      </c>
      <c r="AW1125" s="335" t="s">
        <v>3</v>
      </c>
      <c r="AX1125" s="335" t="s">
        <v>81</v>
      </c>
      <c r="AY1125" s="337" t="s">
        <v>146</v>
      </c>
    </row>
    <row r="1126" spans="1:65" s="225" customFormat="1" ht="24.2" customHeight="1">
      <c r="A1126" s="222"/>
      <c r="B1126" s="223"/>
      <c r="C1126" s="314">
        <v>199</v>
      </c>
      <c r="D1126" s="314" t="s">
        <v>148</v>
      </c>
      <c r="E1126" s="315" t="s">
        <v>824</v>
      </c>
      <c r="F1126" s="344" t="s">
        <v>825</v>
      </c>
      <c r="G1126" s="317" t="s">
        <v>151</v>
      </c>
      <c r="H1126" s="318">
        <v>123.686</v>
      </c>
      <c r="I1126" s="79"/>
      <c r="J1126" s="319">
        <f>ROUND(I1126*H1126,2)</f>
        <v>0</v>
      </c>
      <c r="K1126" s="316"/>
      <c r="L1126" s="229"/>
      <c r="M1126" s="320" t="s">
        <v>1</v>
      </c>
      <c r="N1126" s="321" t="s">
        <v>42</v>
      </c>
      <c r="O1126" s="322">
        <v>0.241</v>
      </c>
      <c r="P1126" s="322">
        <f>O1126*H1126</f>
        <v>29.808326</v>
      </c>
      <c r="Q1126" s="322">
        <v>0.006</v>
      </c>
      <c r="R1126" s="322">
        <f>Q1126*H1126</f>
        <v>0.7421160000000001</v>
      </c>
      <c r="S1126" s="322">
        <v>0</v>
      </c>
      <c r="T1126" s="323">
        <f>S1126*H1126</f>
        <v>0</v>
      </c>
      <c r="U1126" s="222"/>
      <c r="V1126" s="222"/>
      <c r="W1126" s="222"/>
      <c r="X1126" s="222"/>
      <c r="Y1126" s="222"/>
      <c r="Z1126" s="222"/>
      <c r="AA1126" s="222"/>
      <c r="AB1126" s="222"/>
      <c r="AC1126" s="222"/>
      <c r="AD1126" s="222"/>
      <c r="AE1126" s="222"/>
      <c r="AR1126" s="324" t="s">
        <v>212</v>
      </c>
      <c r="AT1126" s="324" t="s">
        <v>148</v>
      </c>
      <c r="AU1126" s="324" t="s">
        <v>83</v>
      </c>
      <c r="AY1126" s="214" t="s">
        <v>146</v>
      </c>
      <c r="BE1126" s="325">
        <f>IF(N1126="základní",J1126,0)</f>
        <v>0</v>
      </c>
      <c r="BF1126" s="325">
        <f>IF(N1126="snížená",J1126,0)</f>
        <v>0</v>
      </c>
      <c r="BG1126" s="325">
        <f>IF(N1126="zákl. přenesená",J1126,0)</f>
        <v>0</v>
      </c>
      <c r="BH1126" s="325">
        <f>IF(N1126="sníž. přenesená",J1126,0)</f>
        <v>0</v>
      </c>
      <c r="BI1126" s="325">
        <f>IF(N1126="nulová",J1126,0)</f>
        <v>0</v>
      </c>
      <c r="BJ1126" s="214" t="s">
        <v>81</v>
      </c>
      <c r="BK1126" s="325">
        <f>ROUND(I1126*H1126,2)</f>
        <v>0</v>
      </c>
      <c r="BL1126" s="214" t="s">
        <v>212</v>
      </c>
      <c r="BM1126" s="324" t="s">
        <v>831</v>
      </c>
    </row>
    <row r="1127" spans="2:51" s="326" customFormat="1" ht="12">
      <c r="B1127" s="327"/>
      <c r="D1127" s="328" t="s">
        <v>155</v>
      </c>
      <c r="E1127" s="329" t="s">
        <v>1</v>
      </c>
      <c r="F1127" s="345" t="s">
        <v>508</v>
      </c>
      <c r="H1127" s="329" t="s">
        <v>1</v>
      </c>
      <c r="I1127" s="497"/>
      <c r="L1127" s="331"/>
      <c r="M1127" s="332"/>
      <c r="N1127" s="333"/>
      <c r="O1127" s="333"/>
      <c r="P1127" s="333"/>
      <c r="Q1127" s="333"/>
      <c r="R1127" s="333"/>
      <c r="S1127" s="333"/>
      <c r="T1127" s="334"/>
      <c r="AT1127" s="329" t="s">
        <v>155</v>
      </c>
      <c r="AU1127" s="329" t="s">
        <v>83</v>
      </c>
      <c r="AV1127" s="326" t="s">
        <v>81</v>
      </c>
      <c r="AW1127" s="326" t="s">
        <v>34</v>
      </c>
      <c r="AX1127" s="326" t="s">
        <v>76</v>
      </c>
      <c r="AY1127" s="329" t="s">
        <v>146</v>
      </c>
    </row>
    <row r="1128" spans="2:51" s="326" customFormat="1" ht="12">
      <c r="B1128" s="327"/>
      <c r="D1128" s="328" t="s">
        <v>155</v>
      </c>
      <c r="E1128" s="329" t="s">
        <v>1</v>
      </c>
      <c r="F1128" s="345" t="s">
        <v>509</v>
      </c>
      <c r="H1128" s="329" t="s">
        <v>1</v>
      </c>
      <c r="I1128" s="497"/>
      <c r="L1128" s="331"/>
      <c r="M1128" s="332"/>
      <c r="N1128" s="333"/>
      <c r="O1128" s="333"/>
      <c r="P1128" s="333"/>
      <c r="Q1128" s="333"/>
      <c r="R1128" s="333"/>
      <c r="S1128" s="333"/>
      <c r="T1128" s="334"/>
      <c r="AT1128" s="329" t="s">
        <v>155</v>
      </c>
      <c r="AU1128" s="329" t="s">
        <v>83</v>
      </c>
      <c r="AV1128" s="326" t="s">
        <v>81</v>
      </c>
      <c r="AW1128" s="326" t="s">
        <v>34</v>
      </c>
      <c r="AX1128" s="326" t="s">
        <v>76</v>
      </c>
      <c r="AY1128" s="329" t="s">
        <v>146</v>
      </c>
    </row>
    <row r="1129" spans="2:51" s="326" customFormat="1" ht="12">
      <c r="B1129" s="327"/>
      <c r="D1129" s="328" t="s">
        <v>155</v>
      </c>
      <c r="E1129" s="329" t="s">
        <v>1</v>
      </c>
      <c r="F1129" s="345" t="s">
        <v>164</v>
      </c>
      <c r="H1129" s="329" t="s">
        <v>1</v>
      </c>
      <c r="I1129" s="497"/>
      <c r="L1129" s="331"/>
      <c r="M1129" s="332"/>
      <c r="N1129" s="333"/>
      <c r="O1129" s="333"/>
      <c r="P1129" s="333"/>
      <c r="Q1129" s="333"/>
      <c r="R1129" s="333"/>
      <c r="S1129" s="333"/>
      <c r="T1129" s="334"/>
      <c r="AT1129" s="329" t="s">
        <v>155</v>
      </c>
      <c r="AU1129" s="329" t="s">
        <v>83</v>
      </c>
      <c r="AV1129" s="326" t="s">
        <v>81</v>
      </c>
      <c r="AW1129" s="326" t="s">
        <v>34</v>
      </c>
      <c r="AX1129" s="326" t="s">
        <v>76</v>
      </c>
      <c r="AY1129" s="329" t="s">
        <v>146</v>
      </c>
    </row>
    <row r="1130" spans="2:51" s="335" customFormat="1" ht="12">
      <c r="B1130" s="336"/>
      <c r="D1130" s="328" t="s">
        <v>155</v>
      </c>
      <c r="E1130" s="337" t="s">
        <v>1</v>
      </c>
      <c r="F1130" s="346" t="s">
        <v>2816</v>
      </c>
      <c r="H1130" s="339">
        <f>0.925*(26.8+12.4)*2+12.4*0.96+(26.8*2+12.4)*0.5</f>
        <v>117.424</v>
      </c>
      <c r="I1130" s="498"/>
      <c r="L1130" s="340"/>
      <c r="M1130" s="341"/>
      <c r="N1130" s="342"/>
      <c r="O1130" s="342"/>
      <c r="P1130" s="342"/>
      <c r="Q1130" s="342"/>
      <c r="R1130" s="342"/>
      <c r="S1130" s="342"/>
      <c r="T1130" s="343"/>
      <c r="AT1130" s="337" t="s">
        <v>155</v>
      </c>
      <c r="AU1130" s="337" t="s">
        <v>83</v>
      </c>
      <c r="AV1130" s="335" t="s">
        <v>83</v>
      </c>
      <c r="AW1130" s="335" t="s">
        <v>34</v>
      </c>
      <c r="AX1130" s="335" t="s">
        <v>76</v>
      </c>
      <c r="AY1130" s="337" t="s">
        <v>146</v>
      </c>
    </row>
    <row r="1131" spans="2:51" s="326" customFormat="1" ht="12">
      <c r="B1131" s="327"/>
      <c r="D1131" s="328" t="s">
        <v>155</v>
      </c>
      <c r="E1131" s="329" t="s">
        <v>1</v>
      </c>
      <c r="F1131" s="345" t="s">
        <v>167</v>
      </c>
      <c r="H1131" s="329" t="s">
        <v>1</v>
      </c>
      <c r="I1131" s="497"/>
      <c r="L1131" s="331"/>
      <c r="M1131" s="332"/>
      <c r="N1131" s="333"/>
      <c r="O1131" s="333"/>
      <c r="P1131" s="333"/>
      <c r="Q1131" s="333"/>
      <c r="R1131" s="333"/>
      <c r="S1131" s="333"/>
      <c r="T1131" s="334"/>
      <c r="AT1131" s="329" t="s">
        <v>155</v>
      </c>
      <c r="AU1131" s="329" t="s">
        <v>83</v>
      </c>
      <c r="AV1131" s="326" t="s">
        <v>81</v>
      </c>
      <c r="AW1131" s="326" t="s">
        <v>34</v>
      </c>
      <c r="AX1131" s="326" t="s">
        <v>76</v>
      </c>
      <c r="AY1131" s="329" t="s">
        <v>146</v>
      </c>
    </row>
    <row r="1132" spans="2:51" s="335" customFormat="1" ht="12">
      <c r="B1132" s="336"/>
      <c r="D1132" s="328" t="s">
        <v>155</v>
      </c>
      <c r="E1132" s="337" t="s">
        <v>1</v>
      </c>
      <c r="F1132" s="346" t="s">
        <v>2815</v>
      </c>
      <c r="H1132" s="339">
        <f>0.925*(22.4+12.4)*2+22.4*0.5*2</f>
        <v>86.78</v>
      </c>
      <c r="I1132" s="498"/>
      <c r="L1132" s="340"/>
      <c r="M1132" s="341"/>
      <c r="N1132" s="342"/>
      <c r="O1132" s="342"/>
      <c r="P1132" s="342"/>
      <c r="Q1132" s="342"/>
      <c r="R1132" s="342"/>
      <c r="S1132" s="342"/>
      <c r="T1132" s="343"/>
      <c r="AT1132" s="337" t="s">
        <v>155</v>
      </c>
      <c r="AU1132" s="337" t="s">
        <v>83</v>
      </c>
      <c r="AV1132" s="335" t="s">
        <v>83</v>
      </c>
      <c r="AW1132" s="335" t="s">
        <v>34</v>
      </c>
      <c r="AX1132" s="335" t="s">
        <v>76</v>
      </c>
      <c r="AY1132" s="337" t="s">
        <v>146</v>
      </c>
    </row>
    <row r="1133" spans="2:51" s="347" customFormat="1" ht="12">
      <c r="B1133" s="348"/>
      <c r="D1133" s="328" t="s">
        <v>155</v>
      </c>
      <c r="E1133" s="349" t="s">
        <v>1</v>
      </c>
      <c r="F1133" s="350" t="s">
        <v>157</v>
      </c>
      <c r="H1133" s="351">
        <f>SUM(H1130:H1132)</f>
        <v>204.204</v>
      </c>
      <c r="I1133" s="499"/>
      <c r="L1133" s="352"/>
      <c r="M1133" s="353"/>
      <c r="N1133" s="354"/>
      <c r="O1133" s="354"/>
      <c r="P1133" s="354"/>
      <c r="Q1133" s="354"/>
      <c r="R1133" s="354"/>
      <c r="S1133" s="354"/>
      <c r="T1133" s="355"/>
      <c r="AT1133" s="349" t="s">
        <v>155</v>
      </c>
      <c r="AU1133" s="349" t="s">
        <v>83</v>
      </c>
      <c r="AV1133" s="347" t="s">
        <v>153</v>
      </c>
      <c r="AW1133" s="347" t="s">
        <v>34</v>
      </c>
      <c r="AX1133" s="347" t="s">
        <v>81</v>
      </c>
      <c r="AY1133" s="349" t="s">
        <v>146</v>
      </c>
    </row>
    <row r="1134" spans="1:65" s="225" customFormat="1" ht="24.2" customHeight="1">
      <c r="A1134" s="222"/>
      <c r="B1134" s="223"/>
      <c r="C1134" s="358">
        <v>200</v>
      </c>
      <c r="D1134" s="358" t="s">
        <v>208</v>
      </c>
      <c r="E1134" s="359" t="s">
        <v>2411</v>
      </c>
      <c r="F1134" s="360" t="s">
        <v>2412</v>
      </c>
      <c r="G1134" s="361" t="s">
        <v>151</v>
      </c>
      <c r="H1134" s="362">
        <f>H1135</f>
        <v>129.87030000000001</v>
      </c>
      <c r="I1134" s="80"/>
      <c r="J1134" s="363">
        <f>ROUND(I1134*H1134,2)</f>
        <v>0</v>
      </c>
      <c r="K1134" s="364"/>
      <c r="L1134" s="229"/>
      <c r="M1134" s="366" t="s">
        <v>1</v>
      </c>
      <c r="N1134" s="367" t="s">
        <v>42</v>
      </c>
      <c r="O1134" s="322">
        <v>0</v>
      </c>
      <c r="P1134" s="322">
        <f>O1134*H1134</f>
        <v>0</v>
      </c>
      <c r="Q1134" s="322">
        <v>0.001</v>
      </c>
      <c r="R1134" s="322">
        <f>Q1134*H1134</f>
        <v>0.12987030000000002</v>
      </c>
      <c r="S1134" s="322">
        <v>0</v>
      </c>
      <c r="T1134" s="323">
        <f>S1134*H1134</f>
        <v>0</v>
      </c>
      <c r="U1134" s="222"/>
      <c r="V1134" s="222"/>
      <c r="W1134" s="222"/>
      <c r="X1134" s="222"/>
      <c r="Y1134" s="222"/>
      <c r="Z1134" s="222"/>
      <c r="AA1134" s="222"/>
      <c r="AB1134" s="222"/>
      <c r="AC1134" s="222"/>
      <c r="AD1134" s="222"/>
      <c r="AE1134" s="222"/>
      <c r="AR1134" s="324" t="s">
        <v>298</v>
      </c>
      <c r="AT1134" s="324" t="s">
        <v>208</v>
      </c>
      <c r="AU1134" s="324" t="s">
        <v>83</v>
      </c>
      <c r="AY1134" s="214" t="s">
        <v>146</v>
      </c>
      <c r="BE1134" s="325">
        <f>IF(N1134="základní",J1134,0)</f>
        <v>0</v>
      </c>
      <c r="BF1134" s="325">
        <f>IF(N1134="snížená",J1134,0)</f>
        <v>0</v>
      </c>
      <c r="BG1134" s="325">
        <f>IF(N1134="zákl. přenesená",J1134,0)</f>
        <v>0</v>
      </c>
      <c r="BH1134" s="325">
        <f>IF(N1134="sníž. přenesená",J1134,0)</f>
        <v>0</v>
      </c>
      <c r="BI1134" s="325">
        <f>IF(N1134="nulová",J1134,0)</f>
        <v>0</v>
      </c>
      <c r="BJ1134" s="214" t="s">
        <v>81</v>
      </c>
      <c r="BK1134" s="325">
        <f>ROUND(I1134*H1134,2)</f>
        <v>0</v>
      </c>
      <c r="BL1134" s="214" t="s">
        <v>212</v>
      </c>
      <c r="BM1134" s="324" t="s">
        <v>832</v>
      </c>
    </row>
    <row r="1135" spans="2:51" s="335" customFormat="1" ht="12">
      <c r="B1135" s="336"/>
      <c r="D1135" s="328" t="s">
        <v>155</v>
      </c>
      <c r="F1135" s="346" t="s">
        <v>2814</v>
      </c>
      <c r="H1135" s="339">
        <f>H1126*1.05</f>
        <v>129.87030000000001</v>
      </c>
      <c r="I1135" s="498"/>
      <c r="L1135" s="340"/>
      <c r="M1135" s="341"/>
      <c r="N1135" s="342"/>
      <c r="O1135" s="342"/>
      <c r="P1135" s="342"/>
      <c r="Q1135" s="342"/>
      <c r="R1135" s="342"/>
      <c r="S1135" s="342"/>
      <c r="T1135" s="343"/>
      <c r="AT1135" s="337" t="s">
        <v>155</v>
      </c>
      <c r="AU1135" s="337" t="s">
        <v>83</v>
      </c>
      <c r="AV1135" s="335" t="s">
        <v>83</v>
      </c>
      <c r="AW1135" s="335" t="s">
        <v>3</v>
      </c>
      <c r="AX1135" s="335" t="s">
        <v>81</v>
      </c>
      <c r="AY1135" s="337" t="s">
        <v>146</v>
      </c>
    </row>
    <row r="1136" spans="1:65" s="225" customFormat="1" ht="24.2" customHeight="1">
      <c r="A1136" s="222"/>
      <c r="B1136" s="223"/>
      <c r="C1136" s="314">
        <v>201</v>
      </c>
      <c r="D1136" s="314" t="s">
        <v>148</v>
      </c>
      <c r="E1136" s="315" t="s">
        <v>833</v>
      </c>
      <c r="F1136" s="344" t="s">
        <v>834</v>
      </c>
      <c r="G1136" s="317" t="s">
        <v>151</v>
      </c>
      <c r="H1136" s="318">
        <f>H1141</f>
        <v>93.04000000000002</v>
      </c>
      <c r="I1136" s="79"/>
      <c r="J1136" s="319">
        <f>ROUND(I1136*H1136,2)</f>
        <v>0</v>
      </c>
      <c r="K1136" s="316"/>
      <c r="L1136" s="229"/>
      <c r="M1136" s="320" t="s">
        <v>1</v>
      </c>
      <c r="N1136" s="321" t="s">
        <v>42</v>
      </c>
      <c r="O1136" s="322">
        <v>0.199</v>
      </c>
      <c r="P1136" s="322">
        <f>O1136*H1136</f>
        <v>18.514960000000006</v>
      </c>
      <c r="Q1136" s="322">
        <v>0.003</v>
      </c>
      <c r="R1136" s="322">
        <f>Q1136*H1136</f>
        <v>0.2791200000000001</v>
      </c>
      <c r="S1136" s="322">
        <v>0</v>
      </c>
      <c r="T1136" s="323">
        <f>S1136*H1136</f>
        <v>0</v>
      </c>
      <c r="U1136" s="222"/>
      <c r="V1136" s="222"/>
      <c r="W1136" s="222"/>
      <c r="X1136" s="222"/>
      <c r="Y1136" s="222"/>
      <c r="Z1136" s="222"/>
      <c r="AA1136" s="222"/>
      <c r="AB1136" s="222"/>
      <c r="AC1136" s="222"/>
      <c r="AD1136" s="222"/>
      <c r="AE1136" s="222"/>
      <c r="AR1136" s="324" t="s">
        <v>212</v>
      </c>
      <c r="AT1136" s="324" t="s">
        <v>148</v>
      </c>
      <c r="AU1136" s="324" t="s">
        <v>83</v>
      </c>
      <c r="AY1136" s="214" t="s">
        <v>146</v>
      </c>
      <c r="BE1136" s="325">
        <f>IF(N1136="základní",J1136,0)</f>
        <v>0</v>
      </c>
      <c r="BF1136" s="325">
        <f>IF(N1136="snížená",J1136,0)</f>
        <v>0</v>
      </c>
      <c r="BG1136" s="325">
        <f>IF(N1136="zákl. přenesená",J1136,0)</f>
        <v>0</v>
      </c>
      <c r="BH1136" s="325">
        <f>IF(N1136="sníž. přenesená",J1136,0)</f>
        <v>0</v>
      </c>
      <c r="BI1136" s="325">
        <f>IF(N1136="nulová",J1136,0)</f>
        <v>0</v>
      </c>
      <c r="BJ1136" s="214" t="s">
        <v>81</v>
      </c>
      <c r="BK1136" s="325">
        <f>ROUND(I1136*H1136,2)</f>
        <v>0</v>
      </c>
      <c r="BL1136" s="214" t="s">
        <v>212</v>
      </c>
      <c r="BM1136" s="324" t="s">
        <v>835</v>
      </c>
    </row>
    <row r="1137" spans="2:51" s="326" customFormat="1" ht="12">
      <c r="B1137" s="327"/>
      <c r="D1137" s="328" t="s">
        <v>155</v>
      </c>
      <c r="E1137" s="329" t="s">
        <v>1</v>
      </c>
      <c r="F1137" s="345" t="s">
        <v>2817</v>
      </c>
      <c r="H1137" s="329" t="s">
        <v>1</v>
      </c>
      <c r="I1137" s="497"/>
      <c r="L1137" s="331"/>
      <c r="M1137" s="332"/>
      <c r="N1137" s="333"/>
      <c r="O1137" s="333"/>
      <c r="P1137" s="333"/>
      <c r="Q1137" s="333"/>
      <c r="R1137" s="333"/>
      <c r="S1137" s="333"/>
      <c r="T1137" s="334"/>
      <c r="AT1137" s="329" t="s">
        <v>155</v>
      </c>
      <c r="AU1137" s="329" t="s">
        <v>83</v>
      </c>
      <c r="AV1137" s="326" t="s">
        <v>81</v>
      </c>
      <c r="AW1137" s="326" t="s">
        <v>34</v>
      </c>
      <c r="AX1137" s="326" t="s">
        <v>76</v>
      </c>
      <c r="AY1137" s="329" t="s">
        <v>146</v>
      </c>
    </row>
    <row r="1138" spans="2:51" s="335" customFormat="1" ht="12">
      <c r="B1138" s="336"/>
      <c r="D1138" s="328" t="s">
        <v>155</v>
      </c>
      <c r="E1138" s="337" t="s">
        <v>1</v>
      </c>
      <c r="F1138" s="346" t="s">
        <v>2818</v>
      </c>
      <c r="H1138" s="339">
        <f>(36.33+13.61+23.2-2.46-1.75-1.45)*0.8</f>
        <v>53.98400000000001</v>
      </c>
      <c r="I1138" s="498"/>
      <c r="L1138" s="340"/>
      <c r="M1138" s="341"/>
      <c r="N1138" s="342"/>
      <c r="O1138" s="342"/>
      <c r="P1138" s="342"/>
      <c r="Q1138" s="342"/>
      <c r="R1138" s="342"/>
      <c r="S1138" s="342"/>
      <c r="T1138" s="343"/>
      <c r="AT1138" s="337" t="s">
        <v>155</v>
      </c>
      <c r="AU1138" s="337" t="s">
        <v>83</v>
      </c>
      <c r="AV1138" s="335" t="s">
        <v>83</v>
      </c>
      <c r="AW1138" s="335" t="s">
        <v>34</v>
      </c>
      <c r="AX1138" s="335" t="s">
        <v>81</v>
      </c>
      <c r="AY1138" s="337" t="s">
        <v>146</v>
      </c>
    </row>
    <row r="1139" spans="2:51" s="326" customFormat="1" ht="12">
      <c r="B1139" s="327"/>
      <c r="D1139" s="328" t="s">
        <v>155</v>
      </c>
      <c r="E1139" s="329" t="s">
        <v>1</v>
      </c>
      <c r="F1139" s="345" t="s">
        <v>165</v>
      </c>
      <c r="H1139" s="329" t="s">
        <v>1</v>
      </c>
      <c r="I1139" s="497"/>
      <c r="L1139" s="331"/>
      <c r="M1139" s="332"/>
      <c r="N1139" s="333"/>
      <c r="O1139" s="333"/>
      <c r="P1139" s="333"/>
      <c r="Q1139" s="333"/>
      <c r="R1139" s="333"/>
      <c r="S1139" s="333"/>
      <c r="T1139" s="334"/>
      <c r="AT1139" s="329" t="s">
        <v>155</v>
      </c>
      <c r="AU1139" s="329" t="s">
        <v>83</v>
      </c>
      <c r="AV1139" s="326" t="s">
        <v>81</v>
      </c>
      <c r="AW1139" s="326" t="s">
        <v>34</v>
      </c>
      <c r="AX1139" s="326" t="s">
        <v>76</v>
      </c>
      <c r="AY1139" s="329" t="s">
        <v>146</v>
      </c>
    </row>
    <row r="1140" spans="2:51" s="335" customFormat="1" ht="12">
      <c r="B1140" s="336"/>
      <c r="D1140" s="328" t="s">
        <v>155</v>
      </c>
      <c r="E1140" s="337" t="s">
        <v>1</v>
      </c>
      <c r="F1140" s="346" t="s">
        <v>2819</v>
      </c>
      <c r="H1140" s="339">
        <f>(14.3+13.36+28.66-2.4*2-2.7)*0.8</f>
        <v>39.056000000000004</v>
      </c>
      <c r="I1140" s="498"/>
      <c r="L1140" s="340"/>
      <c r="M1140" s="341"/>
      <c r="N1140" s="342"/>
      <c r="O1140" s="342"/>
      <c r="P1140" s="342"/>
      <c r="Q1140" s="342"/>
      <c r="R1140" s="342"/>
      <c r="S1140" s="342"/>
      <c r="T1140" s="343"/>
      <c r="AT1140" s="337" t="s">
        <v>155</v>
      </c>
      <c r="AU1140" s="337" t="s">
        <v>83</v>
      </c>
      <c r="AV1140" s="335" t="s">
        <v>83</v>
      </c>
      <c r="AW1140" s="335" t="s">
        <v>34</v>
      </c>
      <c r="AX1140" s="335" t="s">
        <v>81</v>
      </c>
      <c r="AY1140" s="337" t="s">
        <v>146</v>
      </c>
    </row>
    <row r="1141" spans="2:51" s="347" customFormat="1" ht="12">
      <c r="B1141" s="348"/>
      <c r="D1141" s="328" t="s">
        <v>155</v>
      </c>
      <c r="E1141" s="349" t="s">
        <v>1</v>
      </c>
      <c r="F1141" s="350" t="s">
        <v>157</v>
      </c>
      <c r="H1141" s="351">
        <f>SUM(H1138:H1140)</f>
        <v>93.04000000000002</v>
      </c>
      <c r="I1141" s="499"/>
      <c r="L1141" s="352"/>
      <c r="M1141" s="353"/>
      <c r="N1141" s="354"/>
      <c r="O1141" s="354"/>
      <c r="P1141" s="354"/>
      <c r="Q1141" s="354"/>
      <c r="R1141" s="354"/>
      <c r="S1141" s="354"/>
      <c r="T1141" s="355"/>
      <c r="AT1141" s="349" t="s">
        <v>155</v>
      </c>
      <c r="AU1141" s="349" t="s">
        <v>83</v>
      </c>
      <c r="AV1141" s="347" t="s">
        <v>153</v>
      </c>
      <c r="AW1141" s="347" t="s">
        <v>34</v>
      </c>
      <c r="AX1141" s="347" t="s">
        <v>81</v>
      </c>
      <c r="AY1141" s="349" t="s">
        <v>146</v>
      </c>
    </row>
    <row r="1142" spans="1:65" s="225" customFormat="1" ht="24.2" customHeight="1">
      <c r="A1142" s="222"/>
      <c r="B1142" s="223"/>
      <c r="C1142" s="358">
        <v>202</v>
      </c>
      <c r="D1142" s="358" t="s">
        <v>208</v>
      </c>
      <c r="E1142" s="359" t="s">
        <v>2413</v>
      </c>
      <c r="F1142" s="360" t="s">
        <v>2414</v>
      </c>
      <c r="G1142" s="361" t="s">
        <v>151</v>
      </c>
      <c r="H1142" s="362">
        <f>H1143</f>
        <v>56.68320000000001</v>
      </c>
      <c r="I1142" s="80"/>
      <c r="J1142" s="363">
        <f>ROUND(I1142*H1142,2)</f>
        <v>0</v>
      </c>
      <c r="K1142" s="364"/>
      <c r="L1142" s="365"/>
      <c r="M1142" s="366" t="s">
        <v>1</v>
      </c>
      <c r="N1142" s="367" t="s">
        <v>42</v>
      </c>
      <c r="O1142" s="322">
        <v>0</v>
      </c>
      <c r="P1142" s="322">
        <f>O1142*H1142</f>
        <v>0</v>
      </c>
      <c r="Q1142" s="322">
        <v>0.002</v>
      </c>
      <c r="R1142" s="322">
        <f>Q1142*H1142</f>
        <v>0.11336640000000002</v>
      </c>
      <c r="S1142" s="322">
        <v>0</v>
      </c>
      <c r="T1142" s="323">
        <f>S1142*H1142</f>
        <v>0</v>
      </c>
      <c r="U1142" s="222"/>
      <c r="V1142" s="222"/>
      <c r="W1142" s="222"/>
      <c r="X1142" s="222"/>
      <c r="Y1142" s="222"/>
      <c r="Z1142" s="222"/>
      <c r="AA1142" s="222"/>
      <c r="AB1142" s="222"/>
      <c r="AC1142" s="222"/>
      <c r="AD1142" s="222"/>
      <c r="AE1142" s="222"/>
      <c r="AR1142" s="324" t="s">
        <v>298</v>
      </c>
      <c r="AT1142" s="324" t="s">
        <v>208</v>
      </c>
      <c r="AU1142" s="324" t="s">
        <v>83</v>
      </c>
      <c r="AY1142" s="214" t="s">
        <v>146</v>
      </c>
      <c r="BE1142" s="325">
        <f>IF(N1142="základní",J1142,0)</f>
        <v>0</v>
      </c>
      <c r="BF1142" s="325">
        <f>IF(N1142="snížená",J1142,0)</f>
        <v>0</v>
      </c>
      <c r="BG1142" s="325">
        <f>IF(N1142="zákl. přenesená",J1142,0)</f>
        <v>0</v>
      </c>
      <c r="BH1142" s="325">
        <f>IF(N1142="sníž. přenesená",J1142,0)</f>
        <v>0</v>
      </c>
      <c r="BI1142" s="325">
        <f>IF(N1142="nulová",J1142,0)</f>
        <v>0</v>
      </c>
      <c r="BJ1142" s="214" t="s">
        <v>81</v>
      </c>
      <c r="BK1142" s="325">
        <f>ROUND(I1142*H1142,2)</f>
        <v>0</v>
      </c>
      <c r="BL1142" s="214" t="s">
        <v>212</v>
      </c>
      <c r="BM1142" s="324" t="s">
        <v>2415</v>
      </c>
    </row>
    <row r="1143" spans="2:51" s="335" customFormat="1" ht="12">
      <c r="B1143" s="336"/>
      <c r="D1143" s="328" t="s">
        <v>155</v>
      </c>
      <c r="F1143" s="346" t="s">
        <v>2820</v>
      </c>
      <c r="H1143" s="339">
        <f>53.984*1.05</f>
        <v>56.68320000000001</v>
      </c>
      <c r="I1143" s="498"/>
      <c r="L1143" s="340"/>
      <c r="M1143" s="341"/>
      <c r="N1143" s="342"/>
      <c r="O1143" s="342"/>
      <c r="P1143" s="342"/>
      <c r="Q1143" s="342"/>
      <c r="R1143" s="342"/>
      <c r="S1143" s="342"/>
      <c r="T1143" s="343"/>
      <c r="AT1143" s="337" t="s">
        <v>155</v>
      </c>
      <c r="AU1143" s="337" t="s">
        <v>83</v>
      </c>
      <c r="AV1143" s="335" t="s">
        <v>83</v>
      </c>
      <c r="AW1143" s="335" t="s">
        <v>3</v>
      </c>
      <c r="AX1143" s="335" t="s">
        <v>81</v>
      </c>
      <c r="AY1143" s="337" t="s">
        <v>146</v>
      </c>
    </row>
    <row r="1144" spans="1:65" s="225" customFormat="1" ht="24.2" customHeight="1">
      <c r="A1144" s="222"/>
      <c r="B1144" s="223"/>
      <c r="C1144" s="358">
        <v>203</v>
      </c>
      <c r="D1144" s="358" t="s">
        <v>208</v>
      </c>
      <c r="E1144" s="359" t="s">
        <v>836</v>
      </c>
      <c r="F1144" s="360" t="s">
        <v>837</v>
      </c>
      <c r="G1144" s="361" t="s">
        <v>151</v>
      </c>
      <c r="H1144" s="362">
        <f>H1145</f>
        <v>41.0088</v>
      </c>
      <c r="I1144" s="80"/>
      <c r="J1144" s="363">
        <f>ROUND(I1144*H1144,2)</f>
        <v>0</v>
      </c>
      <c r="K1144" s="364"/>
      <c r="L1144" s="229"/>
      <c r="M1144" s="366" t="s">
        <v>1</v>
      </c>
      <c r="N1144" s="367" t="s">
        <v>42</v>
      </c>
      <c r="O1144" s="322">
        <v>0</v>
      </c>
      <c r="P1144" s="322">
        <f>O1144*H1144</f>
        <v>0</v>
      </c>
      <c r="Q1144" s="322">
        <v>0.001</v>
      </c>
      <c r="R1144" s="322">
        <f>Q1144*H1144</f>
        <v>0.041008800000000005</v>
      </c>
      <c r="S1144" s="322">
        <v>0</v>
      </c>
      <c r="T1144" s="323">
        <f>S1144*H1144</f>
        <v>0</v>
      </c>
      <c r="U1144" s="222"/>
      <c r="V1144" s="222"/>
      <c r="W1144" s="222"/>
      <c r="X1144" s="222"/>
      <c r="Y1144" s="222"/>
      <c r="Z1144" s="222"/>
      <c r="AA1144" s="222"/>
      <c r="AB1144" s="222"/>
      <c r="AC1144" s="222"/>
      <c r="AD1144" s="222"/>
      <c r="AE1144" s="222"/>
      <c r="AR1144" s="324" t="s">
        <v>298</v>
      </c>
      <c r="AT1144" s="324" t="s">
        <v>208</v>
      </c>
      <c r="AU1144" s="324" t="s">
        <v>83</v>
      </c>
      <c r="AY1144" s="214" t="s">
        <v>146</v>
      </c>
      <c r="BE1144" s="325">
        <f>IF(N1144="základní",J1144,0)</f>
        <v>0</v>
      </c>
      <c r="BF1144" s="325">
        <f>IF(N1144="snížená",J1144,0)</f>
        <v>0</v>
      </c>
      <c r="BG1144" s="325">
        <f>IF(N1144="zákl. přenesená",J1144,0)</f>
        <v>0</v>
      </c>
      <c r="BH1144" s="325">
        <f>IF(N1144="sníž. přenesená",J1144,0)</f>
        <v>0</v>
      </c>
      <c r="BI1144" s="325">
        <f>IF(N1144="nulová",J1144,0)</f>
        <v>0</v>
      </c>
      <c r="BJ1144" s="214" t="s">
        <v>81</v>
      </c>
      <c r="BK1144" s="325">
        <f>ROUND(I1144*H1144,2)</f>
        <v>0</v>
      </c>
      <c r="BL1144" s="214" t="s">
        <v>212</v>
      </c>
      <c r="BM1144" s="324" t="s">
        <v>838</v>
      </c>
    </row>
    <row r="1145" spans="2:51" s="335" customFormat="1" ht="12">
      <c r="B1145" s="336"/>
      <c r="D1145" s="328" t="s">
        <v>155</v>
      </c>
      <c r="F1145" s="346" t="s">
        <v>2821</v>
      </c>
      <c r="H1145" s="339">
        <f>39.056*1.05</f>
        <v>41.0088</v>
      </c>
      <c r="I1145" s="498"/>
      <c r="L1145" s="340"/>
      <c r="M1145" s="341"/>
      <c r="N1145" s="342"/>
      <c r="O1145" s="342"/>
      <c r="P1145" s="342"/>
      <c r="Q1145" s="342"/>
      <c r="R1145" s="342"/>
      <c r="S1145" s="342"/>
      <c r="T1145" s="343"/>
      <c r="AT1145" s="337" t="s">
        <v>155</v>
      </c>
      <c r="AU1145" s="337" t="s">
        <v>83</v>
      </c>
      <c r="AV1145" s="335" t="s">
        <v>83</v>
      </c>
      <c r="AW1145" s="335" t="s">
        <v>3</v>
      </c>
      <c r="AX1145" s="335" t="s">
        <v>81</v>
      </c>
      <c r="AY1145" s="337" t="s">
        <v>146</v>
      </c>
    </row>
    <row r="1146" spans="1:65" s="225" customFormat="1" ht="21.75" customHeight="1">
      <c r="A1146" s="222"/>
      <c r="B1146" s="223"/>
      <c r="C1146" s="314">
        <v>204</v>
      </c>
      <c r="D1146" s="314" t="s">
        <v>148</v>
      </c>
      <c r="E1146" s="315"/>
      <c r="F1146" s="344" t="s">
        <v>2877</v>
      </c>
      <c r="G1146" s="317" t="s">
        <v>151</v>
      </c>
      <c r="H1146" s="318">
        <f>H1152</f>
        <v>330.2832</v>
      </c>
      <c r="I1146" s="79"/>
      <c r="J1146" s="319">
        <f>ROUND(I1146*H1146,2)</f>
        <v>0</v>
      </c>
      <c r="K1146" s="316"/>
      <c r="L1146" s="229"/>
      <c r="M1146" s="320" t="s">
        <v>1</v>
      </c>
      <c r="N1146" s="321" t="s">
        <v>42</v>
      </c>
      <c r="O1146" s="322">
        <v>0.072</v>
      </c>
      <c r="P1146" s="322">
        <f>O1146*H1146</f>
        <v>23.780390399999998</v>
      </c>
      <c r="Q1146" s="322">
        <v>1E-05</v>
      </c>
      <c r="R1146" s="322">
        <f>Q1146*H1146</f>
        <v>0.0033028320000000003</v>
      </c>
      <c r="S1146" s="322">
        <v>0</v>
      </c>
      <c r="T1146" s="323">
        <f>S1146*H1146</f>
        <v>0</v>
      </c>
      <c r="U1146" s="222"/>
      <c r="V1146" s="222"/>
      <c r="W1146" s="222"/>
      <c r="X1146" s="222"/>
      <c r="Y1146" s="222"/>
      <c r="Z1146" s="222"/>
      <c r="AA1146" s="222"/>
      <c r="AB1146" s="222"/>
      <c r="AC1146" s="222"/>
      <c r="AD1146" s="222"/>
      <c r="AE1146" s="222"/>
      <c r="AR1146" s="324" t="s">
        <v>212</v>
      </c>
      <c r="AT1146" s="324" t="s">
        <v>148</v>
      </c>
      <c r="AU1146" s="324" t="s">
        <v>83</v>
      </c>
      <c r="AY1146" s="214" t="s">
        <v>146</v>
      </c>
      <c r="BE1146" s="325">
        <f>IF(N1146="základní",J1146,0)</f>
        <v>0</v>
      </c>
      <c r="BF1146" s="325">
        <f>IF(N1146="snížená",J1146,0)</f>
        <v>0</v>
      </c>
      <c r="BG1146" s="325">
        <f>IF(N1146="zákl. přenesená",J1146,0)</f>
        <v>0</v>
      </c>
      <c r="BH1146" s="325">
        <f>IF(N1146="sníž. přenesená",J1146,0)</f>
        <v>0</v>
      </c>
      <c r="BI1146" s="325">
        <f>IF(N1146="nulová",J1146,0)</f>
        <v>0</v>
      </c>
      <c r="BJ1146" s="214" t="s">
        <v>81</v>
      </c>
      <c r="BK1146" s="325">
        <f>ROUND(I1146*H1146,2)</f>
        <v>0</v>
      </c>
      <c r="BL1146" s="214" t="s">
        <v>212</v>
      </c>
      <c r="BM1146" s="324" t="s">
        <v>841</v>
      </c>
    </row>
    <row r="1147" spans="2:51" s="326" customFormat="1" ht="12">
      <c r="B1147" s="327"/>
      <c r="D1147" s="328" t="s">
        <v>155</v>
      </c>
      <c r="E1147" s="329" t="s">
        <v>1</v>
      </c>
      <c r="F1147" s="330" t="s">
        <v>164</v>
      </c>
      <c r="H1147" s="329" t="s">
        <v>1</v>
      </c>
      <c r="I1147" s="497"/>
      <c r="L1147" s="331"/>
      <c r="M1147" s="332"/>
      <c r="N1147" s="333"/>
      <c r="O1147" s="333"/>
      <c r="P1147" s="333"/>
      <c r="Q1147" s="333"/>
      <c r="R1147" s="333"/>
      <c r="S1147" s="333"/>
      <c r="T1147" s="334"/>
      <c r="AT1147" s="329" t="s">
        <v>155</v>
      </c>
      <c r="AU1147" s="329" t="s">
        <v>83</v>
      </c>
      <c r="AV1147" s="326" t="s">
        <v>81</v>
      </c>
      <c r="AW1147" s="326" t="s">
        <v>34</v>
      </c>
      <c r="AX1147" s="326" t="s">
        <v>76</v>
      </c>
      <c r="AY1147" s="329" t="s">
        <v>146</v>
      </c>
    </row>
    <row r="1148" spans="2:51" s="326" customFormat="1" ht="12">
      <c r="B1148" s="327"/>
      <c r="D1148" s="328" t="s">
        <v>155</v>
      </c>
      <c r="E1148" s="329" t="s">
        <v>1</v>
      </c>
      <c r="F1148" s="330" t="s">
        <v>549</v>
      </c>
      <c r="H1148" s="329" t="s">
        <v>1</v>
      </c>
      <c r="I1148" s="497"/>
      <c r="L1148" s="331"/>
      <c r="M1148" s="332"/>
      <c r="N1148" s="333"/>
      <c r="O1148" s="333"/>
      <c r="P1148" s="333"/>
      <c r="Q1148" s="333"/>
      <c r="R1148" s="333"/>
      <c r="S1148" s="333"/>
      <c r="T1148" s="334"/>
      <c r="AT1148" s="329" t="s">
        <v>155</v>
      </c>
      <c r="AU1148" s="329" t="s">
        <v>83</v>
      </c>
      <c r="AV1148" s="326" t="s">
        <v>81</v>
      </c>
      <c r="AW1148" s="326" t="s">
        <v>34</v>
      </c>
      <c r="AX1148" s="326" t="s">
        <v>76</v>
      </c>
      <c r="AY1148" s="329" t="s">
        <v>146</v>
      </c>
    </row>
    <row r="1149" spans="2:51" s="335" customFormat="1" ht="12">
      <c r="B1149" s="336"/>
      <c r="D1149" s="328" t="s">
        <v>155</v>
      </c>
      <c r="E1149" s="337" t="s">
        <v>1</v>
      </c>
      <c r="F1149" s="338" t="s">
        <v>2879</v>
      </c>
      <c r="H1149" s="339">
        <f>6.7*(14.4+13.36+27.86)</f>
        <v>372.654</v>
      </c>
      <c r="I1149" s="498"/>
      <c r="L1149" s="340"/>
      <c r="M1149" s="341"/>
      <c r="N1149" s="342"/>
      <c r="O1149" s="342"/>
      <c r="P1149" s="342"/>
      <c r="Q1149" s="342"/>
      <c r="R1149" s="342"/>
      <c r="S1149" s="342"/>
      <c r="T1149" s="343"/>
      <c r="AT1149" s="337" t="s">
        <v>155</v>
      </c>
      <c r="AU1149" s="337" t="s">
        <v>83</v>
      </c>
      <c r="AV1149" s="335" t="s">
        <v>83</v>
      </c>
      <c r="AW1149" s="335" t="s">
        <v>34</v>
      </c>
      <c r="AX1149" s="335" t="s">
        <v>76</v>
      </c>
      <c r="AY1149" s="337" t="s">
        <v>146</v>
      </c>
    </row>
    <row r="1150" spans="2:51" s="326" customFormat="1" ht="12">
      <c r="B1150" s="327"/>
      <c r="D1150" s="328" t="s">
        <v>155</v>
      </c>
      <c r="E1150" s="329" t="s">
        <v>1</v>
      </c>
      <c r="F1150" s="330" t="s">
        <v>548</v>
      </c>
      <c r="H1150" s="329" t="s">
        <v>1</v>
      </c>
      <c r="I1150" s="497"/>
      <c r="L1150" s="331"/>
      <c r="M1150" s="332"/>
      <c r="N1150" s="333"/>
      <c r="O1150" s="333"/>
      <c r="P1150" s="333"/>
      <c r="Q1150" s="333"/>
      <c r="R1150" s="333"/>
      <c r="S1150" s="333"/>
      <c r="T1150" s="334"/>
      <c r="AT1150" s="329" t="s">
        <v>155</v>
      </c>
      <c r="AU1150" s="329" t="s">
        <v>83</v>
      </c>
      <c r="AV1150" s="326" t="s">
        <v>81</v>
      </c>
      <c r="AW1150" s="326" t="s">
        <v>34</v>
      </c>
      <c r="AX1150" s="326" t="s">
        <v>76</v>
      </c>
      <c r="AY1150" s="329" t="s">
        <v>146</v>
      </c>
    </row>
    <row r="1151" spans="2:51" s="335" customFormat="1" ht="12">
      <c r="B1151" s="336"/>
      <c r="D1151" s="328" t="s">
        <v>155</v>
      </c>
      <c r="E1151" s="337" t="s">
        <v>1</v>
      </c>
      <c r="F1151" s="424">
        <f>-(2.96*3.3+2.96*3.3+3.218*3.6+1.5*1.5*5)</f>
        <v>-42.370799999999996</v>
      </c>
      <c r="H1151" s="339">
        <f>-(2.96*3.3+2.96*3.3+3.218*3.6+1.5*1.5*5)</f>
        <v>-42.370799999999996</v>
      </c>
      <c r="I1151" s="498"/>
      <c r="L1151" s="340"/>
      <c r="M1151" s="341"/>
      <c r="N1151" s="342"/>
      <c r="O1151" s="342"/>
      <c r="P1151" s="342"/>
      <c r="Q1151" s="342"/>
      <c r="R1151" s="342"/>
      <c r="S1151" s="342"/>
      <c r="T1151" s="343"/>
      <c r="AT1151" s="337" t="s">
        <v>155</v>
      </c>
      <c r="AU1151" s="337" t="s">
        <v>83</v>
      </c>
      <c r="AV1151" s="335" t="s">
        <v>83</v>
      </c>
      <c r="AW1151" s="335" t="s">
        <v>34</v>
      </c>
      <c r="AX1151" s="335" t="s">
        <v>76</v>
      </c>
      <c r="AY1151" s="337" t="s">
        <v>146</v>
      </c>
    </row>
    <row r="1152" spans="2:51" s="347" customFormat="1" ht="12">
      <c r="B1152" s="348"/>
      <c r="D1152" s="328" t="s">
        <v>155</v>
      </c>
      <c r="E1152" s="349" t="s">
        <v>1</v>
      </c>
      <c r="F1152" s="356" t="s">
        <v>157</v>
      </c>
      <c r="H1152" s="351">
        <f>SUM(H1149:H1151)</f>
        <v>330.2832</v>
      </c>
      <c r="I1152" s="499"/>
      <c r="L1152" s="352"/>
      <c r="M1152" s="353"/>
      <c r="N1152" s="354"/>
      <c r="O1152" s="354"/>
      <c r="P1152" s="354"/>
      <c r="Q1152" s="354"/>
      <c r="R1152" s="354"/>
      <c r="S1152" s="354"/>
      <c r="T1152" s="355"/>
      <c r="AT1152" s="349" t="s">
        <v>155</v>
      </c>
      <c r="AU1152" s="349" t="s">
        <v>83</v>
      </c>
      <c r="AV1152" s="347" t="s">
        <v>153</v>
      </c>
      <c r="AW1152" s="347" t="s">
        <v>34</v>
      </c>
      <c r="AX1152" s="347" t="s">
        <v>81</v>
      </c>
      <c r="AY1152" s="349" t="s">
        <v>146</v>
      </c>
    </row>
    <row r="1153" spans="1:65" s="225" customFormat="1" ht="42.75" customHeight="1">
      <c r="A1153" s="222"/>
      <c r="B1153" s="223"/>
      <c r="C1153" s="358">
        <v>205</v>
      </c>
      <c r="D1153" s="358" t="s">
        <v>208</v>
      </c>
      <c r="E1153" s="359"/>
      <c r="F1153" s="360" t="s">
        <v>3717</v>
      </c>
      <c r="G1153" s="361" t="s">
        <v>151</v>
      </c>
      <c r="H1153" s="362">
        <f>H1154</f>
        <v>336.888864</v>
      </c>
      <c r="I1153" s="80"/>
      <c r="J1153" s="363">
        <f>ROUND(I1153*H1153,2)</f>
        <v>0</v>
      </c>
      <c r="K1153" s="364"/>
      <c r="L1153" s="365"/>
      <c r="M1153" s="366" t="s">
        <v>1</v>
      </c>
      <c r="N1153" s="367" t="s">
        <v>42</v>
      </c>
      <c r="O1153" s="322">
        <v>0</v>
      </c>
      <c r="P1153" s="322">
        <f>O1153*H1153</f>
        <v>0</v>
      </c>
      <c r="Q1153" s="322">
        <v>0.001</v>
      </c>
      <c r="R1153" s="322">
        <f>Q1153*H1153</f>
        <v>0.336888864</v>
      </c>
      <c r="S1153" s="322">
        <v>0</v>
      </c>
      <c r="T1153" s="323">
        <f>S1153*H1153</f>
        <v>0</v>
      </c>
      <c r="U1153" s="222"/>
      <c r="V1153" s="222"/>
      <c r="W1153" s="222"/>
      <c r="X1153" s="222"/>
      <c r="Y1153" s="222"/>
      <c r="Z1153" s="222"/>
      <c r="AA1153" s="222"/>
      <c r="AB1153" s="222"/>
      <c r="AC1153" s="222"/>
      <c r="AD1153" s="222"/>
      <c r="AE1153" s="222"/>
      <c r="AR1153" s="324" t="s">
        <v>298</v>
      </c>
      <c r="AT1153" s="324" t="s">
        <v>208</v>
      </c>
      <c r="AU1153" s="324" t="s">
        <v>83</v>
      </c>
      <c r="AY1153" s="214" t="s">
        <v>146</v>
      </c>
      <c r="BE1153" s="325">
        <f>IF(N1153="základní",J1153,0)</f>
        <v>0</v>
      </c>
      <c r="BF1153" s="325">
        <f>IF(N1153="snížená",J1153,0)</f>
        <v>0</v>
      </c>
      <c r="BG1153" s="325">
        <f>IF(N1153="zákl. přenesená",J1153,0)</f>
        <v>0</v>
      </c>
      <c r="BH1153" s="325">
        <f>IF(N1153="sníž. přenesená",J1153,0)</f>
        <v>0</v>
      </c>
      <c r="BI1153" s="325">
        <f>IF(N1153="nulová",J1153,0)</f>
        <v>0</v>
      </c>
      <c r="BJ1153" s="214" t="s">
        <v>81</v>
      </c>
      <c r="BK1153" s="325">
        <f>ROUND(I1153*H1153,2)</f>
        <v>0</v>
      </c>
      <c r="BL1153" s="214" t="s">
        <v>212</v>
      </c>
      <c r="BM1153" s="324" t="s">
        <v>854</v>
      </c>
    </row>
    <row r="1154" spans="2:51" s="335" customFormat="1" ht="12">
      <c r="B1154" s="336"/>
      <c r="D1154" s="328" t="s">
        <v>155</v>
      </c>
      <c r="F1154" s="346" t="s">
        <v>2811</v>
      </c>
      <c r="H1154" s="339">
        <f>H1146*1.02</f>
        <v>336.888864</v>
      </c>
      <c r="I1154" s="498"/>
      <c r="L1154" s="340"/>
      <c r="M1154" s="341"/>
      <c r="N1154" s="342"/>
      <c r="O1154" s="342"/>
      <c r="P1154" s="342"/>
      <c r="Q1154" s="342"/>
      <c r="R1154" s="342"/>
      <c r="S1154" s="342"/>
      <c r="T1154" s="343"/>
      <c r="AT1154" s="337" t="s">
        <v>155</v>
      </c>
      <c r="AU1154" s="337" t="s">
        <v>83</v>
      </c>
      <c r="AV1154" s="335" t="s">
        <v>83</v>
      </c>
      <c r="AW1154" s="335" t="s">
        <v>3</v>
      </c>
      <c r="AX1154" s="335" t="s">
        <v>81</v>
      </c>
      <c r="AY1154" s="337" t="s">
        <v>146</v>
      </c>
    </row>
    <row r="1155" spans="1:65" s="225" customFormat="1" ht="21.75" customHeight="1">
      <c r="A1155" s="222"/>
      <c r="B1155" s="223"/>
      <c r="C1155" s="314">
        <v>206</v>
      </c>
      <c r="D1155" s="314" t="s">
        <v>148</v>
      </c>
      <c r="E1155" s="315"/>
      <c r="F1155" s="344" t="s">
        <v>2878</v>
      </c>
      <c r="G1155" s="317" t="s">
        <v>151</v>
      </c>
      <c r="H1155" s="318">
        <f>H1164</f>
        <v>458.6636</v>
      </c>
      <c r="I1155" s="79"/>
      <c r="J1155" s="319">
        <f>ROUND(I1155*H1155,2)</f>
        <v>0</v>
      </c>
      <c r="K1155" s="316"/>
      <c r="L1155" s="229"/>
      <c r="M1155" s="320" t="s">
        <v>1</v>
      </c>
      <c r="N1155" s="321" t="s">
        <v>42</v>
      </c>
      <c r="O1155" s="322">
        <v>0.072</v>
      </c>
      <c r="P1155" s="322">
        <f>O1155*H1155</f>
        <v>33.02377919999999</v>
      </c>
      <c r="Q1155" s="322">
        <v>1E-05</v>
      </c>
      <c r="R1155" s="322">
        <f>Q1155*H1155</f>
        <v>0.004586636</v>
      </c>
      <c r="S1155" s="322">
        <v>0</v>
      </c>
      <c r="T1155" s="323">
        <f>S1155*H1155</f>
        <v>0</v>
      </c>
      <c r="U1155" s="222"/>
      <c r="V1155" s="222"/>
      <c r="W1155" s="222"/>
      <c r="X1155" s="222"/>
      <c r="Y1155" s="222"/>
      <c r="Z1155" s="222"/>
      <c r="AA1155" s="222"/>
      <c r="AB1155" s="222"/>
      <c r="AC1155" s="222"/>
      <c r="AD1155" s="222"/>
      <c r="AE1155" s="222"/>
      <c r="AR1155" s="324" t="s">
        <v>212</v>
      </c>
      <c r="AT1155" s="324" t="s">
        <v>148</v>
      </c>
      <c r="AU1155" s="324" t="s">
        <v>83</v>
      </c>
      <c r="AY1155" s="214" t="s">
        <v>146</v>
      </c>
      <c r="BE1155" s="325">
        <f>IF(N1155="základní",J1155,0)</f>
        <v>0</v>
      </c>
      <c r="BF1155" s="325">
        <f>IF(N1155="snížená",J1155,0)</f>
        <v>0</v>
      </c>
      <c r="BG1155" s="325">
        <f>IF(N1155="zákl. přenesená",J1155,0)</f>
        <v>0</v>
      </c>
      <c r="BH1155" s="325">
        <f>IF(N1155="sníž. přenesená",J1155,0)</f>
        <v>0</v>
      </c>
      <c r="BI1155" s="325">
        <f>IF(N1155="nulová",J1155,0)</f>
        <v>0</v>
      </c>
      <c r="BJ1155" s="214" t="s">
        <v>81</v>
      </c>
      <c r="BK1155" s="325">
        <f>ROUND(I1155*H1155,2)</f>
        <v>0</v>
      </c>
      <c r="BL1155" s="214" t="s">
        <v>212</v>
      </c>
      <c r="BM1155" s="324" t="s">
        <v>841</v>
      </c>
    </row>
    <row r="1156" spans="2:51" s="326" customFormat="1" ht="12">
      <c r="B1156" s="327"/>
      <c r="D1156" s="328" t="s">
        <v>155</v>
      </c>
      <c r="E1156" s="329" t="s">
        <v>1</v>
      </c>
      <c r="F1156" s="330" t="s">
        <v>167</v>
      </c>
      <c r="H1156" s="329" t="s">
        <v>1</v>
      </c>
      <c r="I1156" s="497"/>
      <c r="L1156" s="331"/>
      <c r="M1156" s="332"/>
      <c r="N1156" s="333"/>
      <c r="O1156" s="333"/>
      <c r="P1156" s="333"/>
      <c r="Q1156" s="333"/>
      <c r="R1156" s="333"/>
      <c r="S1156" s="333"/>
      <c r="T1156" s="334"/>
      <c r="AT1156" s="329" t="s">
        <v>155</v>
      </c>
      <c r="AU1156" s="329" t="s">
        <v>83</v>
      </c>
      <c r="AV1156" s="326" t="s">
        <v>81</v>
      </c>
      <c r="AW1156" s="326" t="s">
        <v>34</v>
      </c>
      <c r="AX1156" s="326" t="s">
        <v>76</v>
      </c>
      <c r="AY1156" s="329" t="s">
        <v>146</v>
      </c>
    </row>
    <row r="1157" spans="2:51" s="326" customFormat="1" ht="12">
      <c r="B1157" s="327"/>
      <c r="D1157" s="328" t="s">
        <v>155</v>
      </c>
      <c r="E1157" s="329" t="s">
        <v>1</v>
      </c>
      <c r="F1157" s="330" t="s">
        <v>546</v>
      </c>
      <c r="H1157" s="329" t="s">
        <v>1</v>
      </c>
      <c r="I1157" s="497"/>
      <c r="L1157" s="331"/>
      <c r="M1157" s="332"/>
      <c r="N1157" s="333"/>
      <c r="O1157" s="333"/>
      <c r="P1157" s="333"/>
      <c r="Q1157" s="333"/>
      <c r="R1157" s="333"/>
      <c r="S1157" s="333"/>
      <c r="T1157" s="334"/>
      <c r="AT1157" s="329" t="s">
        <v>155</v>
      </c>
      <c r="AU1157" s="329" t="s">
        <v>83</v>
      </c>
      <c r="AV1157" s="326" t="s">
        <v>81</v>
      </c>
      <c r="AW1157" s="326" t="s">
        <v>34</v>
      </c>
      <c r="AX1157" s="326" t="s">
        <v>76</v>
      </c>
      <c r="AY1157" s="329" t="s">
        <v>146</v>
      </c>
    </row>
    <row r="1158" spans="2:51" s="335" customFormat="1" ht="12">
      <c r="B1158" s="336"/>
      <c r="D1158" s="328" t="s">
        <v>155</v>
      </c>
      <c r="E1158" s="337" t="s">
        <v>1</v>
      </c>
      <c r="F1158" s="338" t="s">
        <v>2880</v>
      </c>
      <c r="H1158" s="339">
        <f>(7.93-0.15)*(23.13*2+13.56)+6.7*13.18</f>
        <v>553.7056</v>
      </c>
      <c r="I1158" s="498"/>
      <c r="L1158" s="340"/>
      <c r="M1158" s="341"/>
      <c r="N1158" s="342"/>
      <c r="O1158" s="342"/>
      <c r="P1158" s="342"/>
      <c r="Q1158" s="342"/>
      <c r="R1158" s="342"/>
      <c r="S1158" s="342"/>
      <c r="T1158" s="343"/>
      <c r="AT1158" s="337" t="s">
        <v>155</v>
      </c>
      <c r="AU1158" s="337" t="s">
        <v>83</v>
      </c>
      <c r="AV1158" s="335" t="s">
        <v>83</v>
      </c>
      <c r="AW1158" s="335" t="s">
        <v>34</v>
      </c>
      <c r="AX1158" s="335" t="s">
        <v>76</v>
      </c>
      <c r="AY1158" s="337" t="s">
        <v>146</v>
      </c>
    </row>
    <row r="1159" spans="2:51" s="326" customFormat="1" ht="12">
      <c r="B1159" s="327"/>
      <c r="D1159" s="328" t="s">
        <v>155</v>
      </c>
      <c r="E1159" s="329" t="s">
        <v>1</v>
      </c>
      <c r="F1159" s="330" t="s">
        <v>548</v>
      </c>
      <c r="H1159" s="329" t="s">
        <v>1</v>
      </c>
      <c r="I1159" s="497"/>
      <c r="L1159" s="331"/>
      <c r="M1159" s="332"/>
      <c r="N1159" s="333"/>
      <c r="O1159" s="333"/>
      <c r="P1159" s="333"/>
      <c r="Q1159" s="333"/>
      <c r="R1159" s="333"/>
      <c r="S1159" s="333"/>
      <c r="T1159" s="334"/>
      <c r="AT1159" s="329" t="s">
        <v>155</v>
      </c>
      <c r="AU1159" s="329" t="s">
        <v>83</v>
      </c>
      <c r="AV1159" s="326" t="s">
        <v>81</v>
      </c>
      <c r="AW1159" s="326" t="s">
        <v>34</v>
      </c>
      <c r="AX1159" s="326" t="s">
        <v>76</v>
      </c>
      <c r="AY1159" s="329" t="s">
        <v>146</v>
      </c>
    </row>
    <row r="1160" spans="2:51" s="326" customFormat="1" ht="12">
      <c r="B1160" s="327"/>
      <c r="D1160" s="328" t="s">
        <v>155</v>
      </c>
      <c r="E1160" s="329" t="s">
        <v>1</v>
      </c>
      <c r="F1160" s="330" t="s">
        <v>304</v>
      </c>
      <c r="H1160" s="329" t="s">
        <v>1</v>
      </c>
      <c r="I1160" s="497"/>
      <c r="L1160" s="331"/>
      <c r="M1160" s="332"/>
      <c r="N1160" s="333"/>
      <c r="O1160" s="333"/>
      <c r="P1160" s="333"/>
      <c r="Q1160" s="333"/>
      <c r="R1160" s="333"/>
      <c r="S1160" s="333"/>
      <c r="T1160" s="334"/>
      <c r="AT1160" s="329" t="s">
        <v>155</v>
      </c>
      <c r="AU1160" s="329" t="s">
        <v>83</v>
      </c>
      <c r="AV1160" s="326" t="s">
        <v>81</v>
      </c>
      <c r="AW1160" s="326" t="s">
        <v>34</v>
      </c>
      <c r="AX1160" s="326" t="s">
        <v>76</v>
      </c>
      <c r="AY1160" s="329" t="s">
        <v>146</v>
      </c>
    </row>
    <row r="1161" spans="2:51" s="335" customFormat="1" ht="36" customHeight="1">
      <c r="B1161" s="336"/>
      <c r="D1161" s="328" t="s">
        <v>155</v>
      </c>
      <c r="E1161" s="337" t="s">
        <v>1</v>
      </c>
      <c r="F1161" s="424" t="s">
        <v>2777</v>
      </c>
      <c r="H1161" s="339">
        <f>-(1.75*2.4*2+0.9*1.5+1.45*2.4*2+2.8*(6.26-2.63)+1.8*2.4+2.1*1.5*6+0.6*0.75*3+0.6*0.63*3)</f>
        <v>-52.57800000000001</v>
      </c>
      <c r="I1161" s="498"/>
      <c r="L1161" s="340"/>
      <c r="M1161" s="341"/>
      <c r="N1161" s="342"/>
      <c r="O1161" s="342"/>
      <c r="P1161" s="342"/>
      <c r="Q1161" s="342"/>
      <c r="R1161" s="342"/>
      <c r="S1161" s="342"/>
      <c r="T1161" s="343"/>
      <c r="AT1161" s="337" t="s">
        <v>155</v>
      </c>
      <c r="AU1161" s="337" t="s">
        <v>83</v>
      </c>
      <c r="AV1161" s="335" t="s">
        <v>83</v>
      </c>
      <c r="AW1161" s="335" t="s">
        <v>34</v>
      </c>
      <c r="AX1161" s="335" t="s">
        <v>76</v>
      </c>
      <c r="AY1161" s="337" t="s">
        <v>146</v>
      </c>
    </row>
    <row r="1162" spans="2:51" s="326" customFormat="1" ht="12">
      <c r="B1162" s="327"/>
      <c r="D1162" s="328" t="s">
        <v>155</v>
      </c>
      <c r="E1162" s="329" t="s">
        <v>1</v>
      </c>
      <c r="F1162" s="330" t="s">
        <v>309</v>
      </c>
      <c r="H1162" s="329" t="s">
        <v>1</v>
      </c>
      <c r="I1162" s="497"/>
      <c r="L1162" s="331"/>
      <c r="M1162" s="332"/>
      <c r="N1162" s="333"/>
      <c r="O1162" s="333"/>
      <c r="P1162" s="333"/>
      <c r="Q1162" s="333"/>
      <c r="R1162" s="333"/>
      <c r="S1162" s="333"/>
      <c r="T1162" s="334"/>
      <c r="AT1162" s="329" t="s">
        <v>155</v>
      </c>
      <c r="AU1162" s="329" t="s">
        <v>83</v>
      </c>
      <c r="AV1162" s="326" t="s">
        <v>81</v>
      </c>
      <c r="AW1162" s="326" t="s">
        <v>34</v>
      </c>
      <c r="AX1162" s="326" t="s">
        <v>76</v>
      </c>
      <c r="AY1162" s="329" t="s">
        <v>146</v>
      </c>
    </row>
    <row r="1163" spans="2:51" s="335" customFormat="1" ht="12">
      <c r="B1163" s="336"/>
      <c r="D1163" s="328" t="s">
        <v>155</v>
      </c>
      <c r="E1163" s="337" t="s">
        <v>1</v>
      </c>
      <c r="F1163" s="424" t="s">
        <v>2775</v>
      </c>
      <c r="H1163" s="339">
        <f>-(2.1*1.5*10+0.6*0.75*3+1.5*1.5+2.8*2.63)</f>
        <v>-42.464</v>
      </c>
      <c r="I1163" s="498"/>
      <c r="L1163" s="340"/>
      <c r="M1163" s="341"/>
      <c r="N1163" s="342"/>
      <c r="O1163" s="342"/>
      <c r="P1163" s="342"/>
      <c r="Q1163" s="342"/>
      <c r="R1163" s="342"/>
      <c r="S1163" s="342"/>
      <c r="T1163" s="343"/>
      <c r="AT1163" s="337" t="s">
        <v>155</v>
      </c>
      <c r="AU1163" s="337" t="s">
        <v>83</v>
      </c>
      <c r="AV1163" s="335" t="s">
        <v>83</v>
      </c>
      <c r="AW1163" s="335" t="s">
        <v>34</v>
      </c>
      <c r="AX1163" s="335" t="s">
        <v>76</v>
      </c>
      <c r="AY1163" s="337" t="s">
        <v>146</v>
      </c>
    </row>
    <row r="1164" spans="2:51" s="347" customFormat="1" ht="12">
      <c r="B1164" s="348"/>
      <c r="D1164" s="328" t="s">
        <v>155</v>
      </c>
      <c r="E1164" s="349" t="s">
        <v>1</v>
      </c>
      <c r="F1164" s="356" t="s">
        <v>157</v>
      </c>
      <c r="H1164" s="351">
        <f>SUM(H1158:H1163)</f>
        <v>458.6636</v>
      </c>
      <c r="I1164" s="499"/>
      <c r="L1164" s="352"/>
      <c r="M1164" s="353"/>
      <c r="N1164" s="354"/>
      <c r="O1164" s="354"/>
      <c r="P1164" s="354"/>
      <c r="Q1164" s="354"/>
      <c r="R1164" s="354"/>
      <c r="S1164" s="354"/>
      <c r="T1164" s="355"/>
      <c r="AT1164" s="349" t="s">
        <v>155</v>
      </c>
      <c r="AU1164" s="349" t="s">
        <v>83</v>
      </c>
      <c r="AV1164" s="347" t="s">
        <v>153</v>
      </c>
      <c r="AW1164" s="347" t="s">
        <v>34</v>
      </c>
      <c r="AX1164" s="347" t="s">
        <v>81</v>
      </c>
      <c r="AY1164" s="349" t="s">
        <v>146</v>
      </c>
    </row>
    <row r="1165" spans="1:65" s="225" customFormat="1" ht="52.5" customHeight="1">
      <c r="A1165" s="222"/>
      <c r="B1165" s="223"/>
      <c r="C1165" s="358">
        <v>207</v>
      </c>
      <c r="D1165" s="358" t="s">
        <v>208</v>
      </c>
      <c r="E1165" s="359"/>
      <c r="F1165" s="360" t="s">
        <v>3717</v>
      </c>
      <c r="G1165" s="361" t="s">
        <v>151</v>
      </c>
      <c r="H1165" s="362">
        <f>H1166</f>
        <v>935.6737439999999</v>
      </c>
      <c r="I1165" s="80"/>
      <c r="J1165" s="363">
        <f>ROUND(I1165*H1165,2)</f>
        <v>0</v>
      </c>
      <c r="K1165" s="364"/>
      <c r="L1165" s="365"/>
      <c r="M1165" s="366" t="s">
        <v>1</v>
      </c>
      <c r="N1165" s="367" t="s">
        <v>42</v>
      </c>
      <c r="O1165" s="322">
        <v>0</v>
      </c>
      <c r="P1165" s="322">
        <f>O1165*H1165</f>
        <v>0</v>
      </c>
      <c r="Q1165" s="322">
        <v>0.001</v>
      </c>
      <c r="R1165" s="322">
        <f>Q1165*H1165</f>
        <v>0.9356737439999999</v>
      </c>
      <c r="S1165" s="322">
        <v>0</v>
      </c>
      <c r="T1165" s="323">
        <f>S1165*H1165</f>
        <v>0</v>
      </c>
      <c r="U1165" s="222"/>
      <c r="V1165" s="222"/>
      <c r="W1165" s="222"/>
      <c r="X1165" s="222"/>
      <c r="Y1165" s="222"/>
      <c r="Z1165" s="222"/>
      <c r="AA1165" s="222"/>
      <c r="AB1165" s="222"/>
      <c r="AC1165" s="222"/>
      <c r="AD1165" s="222"/>
      <c r="AE1165" s="222"/>
      <c r="AR1165" s="324" t="s">
        <v>298</v>
      </c>
      <c r="AT1165" s="324" t="s">
        <v>208</v>
      </c>
      <c r="AU1165" s="324" t="s">
        <v>83</v>
      </c>
      <c r="AY1165" s="214" t="s">
        <v>146</v>
      </c>
      <c r="BE1165" s="325">
        <f>IF(N1165="základní",J1165,0)</f>
        <v>0</v>
      </c>
      <c r="BF1165" s="325">
        <f>IF(N1165="snížená",J1165,0)</f>
        <v>0</v>
      </c>
      <c r="BG1165" s="325">
        <f>IF(N1165="zákl. přenesená",J1165,0)</f>
        <v>0</v>
      </c>
      <c r="BH1165" s="325">
        <f>IF(N1165="sníž. přenesená",J1165,0)</f>
        <v>0</v>
      </c>
      <c r="BI1165" s="325">
        <f>IF(N1165="nulová",J1165,0)</f>
        <v>0</v>
      </c>
      <c r="BJ1165" s="214" t="s">
        <v>81</v>
      </c>
      <c r="BK1165" s="325">
        <f>ROUND(I1165*H1165,2)</f>
        <v>0</v>
      </c>
      <c r="BL1165" s="214" t="s">
        <v>212</v>
      </c>
      <c r="BM1165" s="324" t="s">
        <v>854</v>
      </c>
    </row>
    <row r="1166" spans="2:51" s="335" customFormat="1" ht="12">
      <c r="B1166" s="336"/>
      <c r="D1166" s="328" t="s">
        <v>155</v>
      </c>
      <c r="F1166" s="346" t="s">
        <v>2881</v>
      </c>
      <c r="H1166" s="339">
        <f>H1155*1.02*2</f>
        <v>935.6737439999999</v>
      </c>
      <c r="I1166" s="498"/>
      <c r="L1166" s="340"/>
      <c r="M1166" s="341"/>
      <c r="N1166" s="342"/>
      <c r="O1166" s="342"/>
      <c r="P1166" s="342"/>
      <c r="Q1166" s="342"/>
      <c r="R1166" s="342"/>
      <c r="S1166" s="342"/>
      <c r="T1166" s="343"/>
      <c r="AT1166" s="337" t="s">
        <v>155</v>
      </c>
      <c r="AU1166" s="337" t="s">
        <v>83</v>
      </c>
      <c r="AV1166" s="335" t="s">
        <v>83</v>
      </c>
      <c r="AW1166" s="335" t="s">
        <v>3</v>
      </c>
      <c r="AX1166" s="335" t="s">
        <v>81</v>
      </c>
      <c r="AY1166" s="337" t="s">
        <v>146</v>
      </c>
    </row>
    <row r="1167" spans="1:65" s="225" customFormat="1" ht="21.75" customHeight="1">
      <c r="A1167" s="222"/>
      <c r="B1167" s="223"/>
      <c r="C1167" s="314">
        <v>208</v>
      </c>
      <c r="D1167" s="314" t="s">
        <v>148</v>
      </c>
      <c r="E1167" s="315" t="s">
        <v>839</v>
      </c>
      <c r="F1167" s="344" t="s">
        <v>840</v>
      </c>
      <c r="G1167" s="317" t="s">
        <v>151</v>
      </c>
      <c r="H1167" s="318">
        <f>H1172</f>
        <v>838.6248</v>
      </c>
      <c r="I1167" s="79"/>
      <c r="J1167" s="319">
        <f>ROUND(I1167*H1167,2)</f>
        <v>0</v>
      </c>
      <c r="K1167" s="316"/>
      <c r="L1167" s="229"/>
      <c r="M1167" s="320" t="s">
        <v>1</v>
      </c>
      <c r="N1167" s="321" t="s">
        <v>42</v>
      </c>
      <c r="O1167" s="322">
        <v>0.072</v>
      </c>
      <c r="P1167" s="322">
        <f>O1167*H1167</f>
        <v>60.3809856</v>
      </c>
      <c r="Q1167" s="322">
        <v>1E-05</v>
      </c>
      <c r="R1167" s="322">
        <f>Q1167*H1167</f>
        <v>0.008386248</v>
      </c>
      <c r="S1167" s="322">
        <v>0</v>
      </c>
      <c r="T1167" s="323">
        <f>S1167*H1167</f>
        <v>0</v>
      </c>
      <c r="U1167" s="222"/>
      <c r="V1167" s="222"/>
      <c r="W1167" s="222"/>
      <c r="X1167" s="222"/>
      <c r="Y1167" s="222"/>
      <c r="Z1167" s="222"/>
      <c r="AA1167" s="222"/>
      <c r="AB1167" s="222"/>
      <c r="AC1167" s="222"/>
      <c r="AD1167" s="222"/>
      <c r="AE1167" s="222"/>
      <c r="AR1167" s="324" t="s">
        <v>212</v>
      </c>
      <c r="AT1167" s="324" t="s">
        <v>148</v>
      </c>
      <c r="AU1167" s="324" t="s">
        <v>83</v>
      </c>
      <c r="AY1167" s="214" t="s">
        <v>146</v>
      </c>
      <c r="BE1167" s="325">
        <f>IF(N1167="základní",J1167,0)</f>
        <v>0</v>
      </c>
      <c r="BF1167" s="325">
        <f>IF(N1167="snížená",J1167,0)</f>
        <v>0</v>
      </c>
      <c r="BG1167" s="325">
        <f>IF(N1167="zákl. přenesená",J1167,0)</f>
        <v>0</v>
      </c>
      <c r="BH1167" s="325">
        <f>IF(N1167="sníž. přenesená",J1167,0)</f>
        <v>0</v>
      </c>
      <c r="BI1167" s="325">
        <f>IF(N1167="nulová",J1167,0)</f>
        <v>0</v>
      </c>
      <c r="BJ1167" s="214" t="s">
        <v>81</v>
      </c>
      <c r="BK1167" s="325">
        <f>ROUND(I1167*H1167,2)</f>
        <v>0</v>
      </c>
      <c r="BL1167" s="214" t="s">
        <v>212</v>
      </c>
      <c r="BM1167" s="324" t="s">
        <v>841</v>
      </c>
    </row>
    <row r="1168" spans="2:51" s="326" customFormat="1" ht="12">
      <c r="B1168" s="327"/>
      <c r="D1168" s="328" t="s">
        <v>155</v>
      </c>
      <c r="E1168" s="329" t="s">
        <v>1</v>
      </c>
      <c r="F1168" s="345" t="s">
        <v>2823</v>
      </c>
      <c r="H1168" s="329" t="s">
        <v>1</v>
      </c>
      <c r="I1168" s="497"/>
      <c r="L1168" s="331"/>
      <c r="M1168" s="332"/>
      <c r="N1168" s="333"/>
      <c r="O1168" s="333"/>
      <c r="P1168" s="333"/>
      <c r="Q1168" s="333"/>
      <c r="R1168" s="333"/>
      <c r="S1168" s="333"/>
      <c r="T1168" s="334"/>
      <c r="AT1168" s="329" t="s">
        <v>155</v>
      </c>
      <c r="AU1168" s="329" t="s">
        <v>83</v>
      </c>
      <c r="AV1168" s="326" t="s">
        <v>81</v>
      </c>
      <c r="AW1168" s="326" t="s">
        <v>34</v>
      </c>
      <c r="AX1168" s="326" t="s">
        <v>76</v>
      </c>
      <c r="AY1168" s="329" t="s">
        <v>146</v>
      </c>
    </row>
    <row r="1169" spans="2:51" s="335" customFormat="1" ht="12">
      <c r="B1169" s="336"/>
      <c r="D1169" s="328" t="s">
        <v>155</v>
      </c>
      <c r="E1169" s="337" t="s">
        <v>1</v>
      </c>
      <c r="F1169" s="346" t="s">
        <v>2822</v>
      </c>
      <c r="H1169" s="339">
        <f>480.495+147.98*0.2</f>
        <v>510.091</v>
      </c>
      <c r="I1169" s="498"/>
      <c r="L1169" s="340"/>
      <c r="M1169" s="341"/>
      <c r="N1169" s="342"/>
      <c r="O1169" s="342"/>
      <c r="P1169" s="342"/>
      <c r="Q1169" s="342"/>
      <c r="R1169" s="342"/>
      <c r="S1169" s="342"/>
      <c r="T1169" s="343"/>
      <c r="AT1169" s="337" t="s">
        <v>155</v>
      </c>
      <c r="AU1169" s="337" t="s">
        <v>83</v>
      </c>
      <c r="AV1169" s="335" t="s">
        <v>83</v>
      </c>
      <c r="AW1169" s="335" t="s">
        <v>34</v>
      </c>
      <c r="AX1169" s="335" t="s">
        <v>81</v>
      </c>
      <c r="AY1169" s="337" t="s">
        <v>146</v>
      </c>
    </row>
    <row r="1170" spans="2:51" s="326" customFormat="1" ht="12">
      <c r="B1170" s="327"/>
      <c r="D1170" s="328" t="s">
        <v>155</v>
      </c>
      <c r="E1170" s="329" t="s">
        <v>1</v>
      </c>
      <c r="F1170" s="345" t="s">
        <v>2824</v>
      </c>
      <c r="H1170" s="329" t="s">
        <v>1</v>
      </c>
      <c r="I1170" s="497"/>
      <c r="L1170" s="331"/>
      <c r="M1170" s="332"/>
      <c r="N1170" s="333"/>
      <c r="O1170" s="333"/>
      <c r="P1170" s="333"/>
      <c r="Q1170" s="333"/>
      <c r="R1170" s="333"/>
      <c r="S1170" s="333"/>
      <c r="T1170" s="334"/>
      <c r="AT1170" s="329" t="s">
        <v>155</v>
      </c>
      <c r="AU1170" s="329" t="s">
        <v>83</v>
      </c>
      <c r="AV1170" s="326" t="s">
        <v>81</v>
      </c>
      <c r="AW1170" s="326" t="s">
        <v>34</v>
      </c>
      <c r="AX1170" s="326" t="s">
        <v>76</v>
      </c>
      <c r="AY1170" s="329" t="s">
        <v>146</v>
      </c>
    </row>
    <row r="1171" spans="2:51" s="335" customFormat="1" ht="12">
      <c r="B1171" s="336"/>
      <c r="D1171" s="328" t="s">
        <v>155</v>
      </c>
      <c r="E1171" s="337" t="s">
        <v>1</v>
      </c>
      <c r="F1171" s="346" t="s">
        <v>2825</v>
      </c>
      <c r="H1171" s="339">
        <f>323.33+52.038*0.1</f>
        <v>328.5338</v>
      </c>
      <c r="I1171" s="498"/>
      <c r="L1171" s="340"/>
      <c r="M1171" s="341"/>
      <c r="N1171" s="342"/>
      <c r="O1171" s="342"/>
      <c r="P1171" s="342"/>
      <c r="Q1171" s="342"/>
      <c r="R1171" s="342"/>
      <c r="S1171" s="342"/>
      <c r="T1171" s="343"/>
      <c r="AT1171" s="337" t="s">
        <v>155</v>
      </c>
      <c r="AU1171" s="337" t="s">
        <v>83</v>
      </c>
      <c r="AV1171" s="335" t="s">
        <v>83</v>
      </c>
      <c r="AW1171" s="335" t="s">
        <v>34</v>
      </c>
      <c r="AX1171" s="335" t="s">
        <v>81</v>
      </c>
      <c r="AY1171" s="337" t="s">
        <v>146</v>
      </c>
    </row>
    <row r="1172" spans="2:51" s="347" customFormat="1" ht="12">
      <c r="B1172" s="348"/>
      <c r="D1172" s="328" t="s">
        <v>155</v>
      </c>
      <c r="E1172" s="349" t="s">
        <v>1</v>
      </c>
      <c r="F1172" s="350" t="s">
        <v>157</v>
      </c>
      <c r="H1172" s="351">
        <f>SUM(H1169:H1171)</f>
        <v>838.6248</v>
      </c>
      <c r="I1172" s="499"/>
      <c r="L1172" s="352"/>
      <c r="M1172" s="353"/>
      <c r="N1172" s="354"/>
      <c r="O1172" s="354"/>
      <c r="P1172" s="354"/>
      <c r="Q1172" s="354"/>
      <c r="R1172" s="354"/>
      <c r="S1172" s="354"/>
      <c r="T1172" s="355"/>
      <c r="AT1172" s="349" t="s">
        <v>155</v>
      </c>
      <c r="AU1172" s="349" t="s">
        <v>83</v>
      </c>
      <c r="AV1172" s="347" t="s">
        <v>153</v>
      </c>
      <c r="AW1172" s="347" t="s">
        <v>34</v>
      </c>
      <c r="AX1172" s="347" t="s">
        <v>81</v>
      </c>
      <c r="AY1172" s="349" t="s">
        <v>146</v>
      </c>
    </row>
    <row r="1173" spans="1:65" s="225" customFormat="1" ht="44.25" customHeight="1">
      <c r="A1173" s="222"/>
      <c r="B1173" s="223"/>
      <c r="C1173" s="358">
        <v>209</v>
      </c>
      <c r="D1173" s="358" t="s">
        <v>208</v>
      </c>
      <c r="E1173" s="359" t="s">
        <v>842</v>
      </c>
      <c r="F1173" s="360" t="s">
        <v>843</v>
      </c>
      <c r="G1173" s="361" t="s">
        <v>151</v>
      </c>
      <c r="H1173" s="362">
        <f>H1174</f>
        <v>863.7835440000001</v>
      </c>
      <c r="I1173" s="80"/>
      <c r="J1173" s="363">
        <f>ROUND(I1173*H1173,2)</f>
        <v>0</v>
      </c>
      <c r="K1173" s="364"/>
      <c r="L1173" s="229"/>
      <c r="M1173" s="366" t="s">
        <v>1</v>
      </c>
      <c r="N1173" s="367" t="s">
        <v>42</v>
      </c>
      <c r="O1173" s="322">
        <v>0</v>
      </c>
      <c r="P1173" s="322">
        <f>O1173*H1173</f>
        <v>0</v>
      </c>
      <c r="Q1173" s="322">
        <v>0.00013</v>
      </c>
      <c r="R1173" s="322">
        <f>Q1173*H1173</f>
        <v>0.11229186072000001</v>
      </c>
      <c r="S1173" s="322">
        <v>0</v>
      </c>
      <c r="T1173" s="323">
        <f>S1173*H1173</f>
        <v>0</v>
      </c>
      <c r="U1173" s="222"/>
      <c r="V1173" s="222"/>
      <c r="W1173" s="222"/>
      <c r="X1173" s="222"/>
      <c r="Y1173" s="222"/>
      <c r="Z1173" s="222"/>
      <c r="AA1173" s="222"/>
      <c r="AB1173" s="222"/>
      <c r="AC1173" s="222"/>
      <c r="AD1173" s="222"/>
      <c r="AE1173" s="222"/>
      <c r="AR1173" s="324" t="s">
        <v>298</v>
      </c>
      <c r="AT1173" s="324" t="s">
        <v>208</v>
      </c>
      <c r="AU1173" s="324" t="s">
        <v>83</v>
      </c>
      <c r="AY1173" s="214" t="s">
        <v>146</v>
      </c>
      <c r="BE1173" s="325">
        <f>IF(N1173="základní",J1173,0)</f>
        <v>0</v>
      </c>
      <c r="BF1173" s="325">
        <f>IF(N1173="snížená",J1173,0)</f>
        <v>0</v>
      </c>
      <c r="BG1173" s="325">
        <f>IF(N1173="zákl. přenesená",J1173,0)</f>
        <v>0</v>
      </c>
      <c r="BH1173" s="325">
        <f>IF(N1173="sníž. přenesená",J1173,0)</f>
        <v>0</v>
      </c>
      <c r="BI1173" s="325">
        <f>IF(N1173="nulová",J1173,0)</f>
        <v>0</v>
      </c>
      <c r="BJ1173" s="214" t="s">
        <v>81</v>
      </c>
      <c r="BK1173" s="325">
        <f>ROUND(I1173*H1173,2)</f>
        <v>0</v>
      </c>
      <c r="BL1173" s="214" t="s">
        <v>212</v>
      </c>
      <c r="BM1173" s="324" t="s">
        <v>844</v>
      </c>
    </row>
    <row r="1174" spans="2:51" s="335" customFormat="1" ht="12">
      <c r="B1174" s="336"/>
      <c r="D1174" s="328" t="s">
        <v>155</v>
      </c>
      <c r="F1174" s="346" t="s">
        <v>3718</v>
      </c>
      <c r="H1174" s="339">
        <f>H1167*1.03</f>
        <v>863.7835440000001</v>
      </c>
      <c r="I1174" s="498"/>
      <c r="L1174" s="340"/>
      <c r="M1174" s="341"/>
      <c r="N1174" s="342"/>
      <c r="O1174" s="342"/>
      <c r="P1174" s="342"/>
      <c r="Q1174" s="342"/>
      <c r="R1174" s="342"/>
      <c r="S1174" s="342"/>
      <c r="T1174" s="343"/>
      <c r="AT1174" s="337" t="s">
        <v>155</v>
      </c>
      <c r="AU1174" s="337" t="s">
        <v>83</v>
      </c>
      <c r="AV1174" s="335" t="s">
        <v>83</v>
      </c>
      <c r="AW1174" s="335" t="s">
        <v>3</v>
      </c>
      <c r="AX1174" s="335" t="s">
        <v>81</v>
      </c>
      <c r="AY1174" s="337" t="s">
        <v>146</v>
      </c>
    </row>
    <row r="1175" spans="1:65" s="225" customFormat="1" ht="33" customHeight="1">
      <c r="A1175" s="222"/>
      <c r="B1175" s="223"/>
      <c r="C1175" s="314">
        <v>210</v>
      </c>
      <c r="D1175" s="314" t="s">
        <v>148</v>
      </c>
      <c r="E1175" s="315" t="s">
        <v>845</v>
      </c>
      <c r="F1175" s="344" t="s">
        <v>846</v>
      </c>
      <c r="G1175" s="317" t="s">
        <v>151</v>
      </c>
      <c r="H1175" s="318">
        <f>H1180</f>
        <v>610.0799999999999</v>
      </c>
      <c r="I1175" s="79"/>
      <c r="J1175" s="319">
        <f>ROUND(I1175*H1175,2)</f>
        <v>0</v>
      </c>
      <c r="K1175" s="316"/>
      <c r="L1175" s="230"/>
      <c r="M1175" s="320" t="s">
        <v>1</v>
      </c>
      <c r="N1175" s="321" t="s">
        <v>42</v>
      </c>
      <c r="O1175" s="322">
        <v>0.35</v>
      </c>
      <c r="P1175" s="322">
        <f>O1175*H1175</f>
        <v>213.52799999999996</v>
      </c>
      <c r="Q1175" s="322">
        <v>0</v>
      </c>
      <c r="R1175" s="322">
        <f>Q1175*H1175</f>
        <v>0</v>
      </c>
      <c r="S1175" s="322">
        <v>0.12</v>
      </c>
      <c r="T1175" s="441">
        <f>S1175*H1175</f>
        <v>73.2096</v>
      </c>
      <c r="U1175" s="222"/>
      <c r="V1175" s="222"/>
      <c r="W1175" s="222"/>
      <c r="X1175" s="222"/>
      <c r="Y1175" s="222"/>
      <c r="Z1175" s="222"/>
      <c r="AA1175" s="222"/>
      <c r="AB1175" s="222"/>
      <c r="AC1175" s="222"/>
      <c r="AD1175" s="222"/>
      <c r="AE1175" s="222"/>
      <c r="AR1175" s="324" t="s">
        <v>212</v>
      </c>
      <c r="AT1175" s="324" t="s">
        <v>148</v>
      </c>
      <c r="AU1175" s="324" t="s">
        <v>83</v>
      </c>
      <c r="AY1175" s="214" t="s">
        <v>146</v>
      </c>
      <c r="BE1175" s="325">
        <f>IF(N1175="základní",J1175,0)</f>
        <v>0</v>
      </c>
      <c r="BF1175" s="325">
        <f>IF(N1175="snížená",J1175,0)</f>
        <v>0</v>
      </c>
      <c r="BG1175" s="325">
        <f>IF(N1175="zákl. přenesená",J1175,0)</f>
        <v>0</v>
      </c>
      <c r="BH1175" s="325">
        <f>IF(N1175="sníž. přenesená",J1175,0)</f>
        <v>0</v>
      </c>
      <c r="BI1175" s="325">
        <f>IF(N1175="nulová",J1175,0)</f>
        <v>0</v>
      </c>
      <c r="BJ1175" s="214" t="s">
        <v>81</v>
      </c>
      <c r="BK1175" s="325">
        <f>ROUND(I1175*H1175,2)</f>
        <v>0</v>
      </c>
      <c r="BL1175" s="214" t="s">
        <v>212</v>
      </c>
      <c r="BM1175" s="324" t="s">
        <v>847</v>
      </c>
    </row>
    <row r="1176" spans="2:51" s="326" customFormat="1" ht="12">
      <c r="B1176" s="327"/>
      <c r="D1176" s="328" t="s">
        <v>155</v>
      </c>
      <c r="E1176" s="329" t="s">
        <v>1</v>
      </c>
      <c r="F1176" s="345" t="s">
        <v>167</v>
      </c>
      <c r="H1176" s="329" t="s">
        <v>1</v>
      </c>
      <c r="I1176" s="497"/>
      <c r="L1176" s="229"/>
      <c r="M1176" s="332"/>
      <c r="N1176" s="333"/>
      <c r="O1176" s="333"/>
      <c r="P1176" s="333"/>
      <c r="Q1176" s="333"/>
      <c r="R1176" s="333"/>
      <c r="S1176" s="333"/>
      <c r="T1176" s="334"/>
      <c r="AT1176" s="329" t="s">
        <v>155</v>
      </c>
      <c r="AU1176" s="329" t="s">
        <v>83</v>
      </c>
      <c r="AV1176" s="326" t="s">
        <v>81</v>
      </c>
      <c r="AW1176" s="326" t="s">
        <v>34</v>
      </c>
      <c r="AX1176" s="326" t="s">
        <v>76</v>
      </c>
      <c r="AY1176" s="329" t="s">
        <v>146</v>
      </c>
    </row>
    <row r="1177" spans="2:51" s="335" customFormat="1" ht="12">
      <c r="B1177" s="336"/>
      <c r="D1177" s="328" t="s">
        <v>155</v>
      </c>
      <c r="E1177" s="337" t="s">
        <v>1</v>
      </c>
      <c r="F1177" s="346" t="s">
        <v>2804</v>
      </c>
      <c r="H1177" s="339">
        <f>22.4*12.4</f>
        <v>277.76</v>
      </c>
      <c r="I1177" s="498"/>
      <c r="L1177" s="340"/>
      <c r="M1177" s="341"/>
      <c r="N1177" s="342"/>
      <c r="O1177" s="342"/>
      <c r="P1177" s="342"/>
      <c r="Q1177" s="342"/>
      <c r="R1177" s="342"/>
      <c r="S1177" s="342"/>
      <c r="T1177" s="343"/>
      <c r="AT1177" s="337" t="s">
        <v>155</v>
      </c>
      <c r="AU1177" s="337" t="s">
        <v>83</v>
      </c>
      <c r="AV1177" s="335" t="s">
        <v>83</v>
      </c>
      <c r="AW1177" s="335" t="s">
        <v>34</v>
      </c>
      <c r="AX1177" s="335" t="s">
        <v>76</v>
      </c>
      <c r="AY1177" s="337" t="s">
        <v>146</v>
      </c>
    </row>
    <row r="1178" spans="2:51" s="326" customFormat="1" ht="12">
      <c r="B1178" s="327"/>
      <c r="D1178" s="328" t="s">
        <v>155</v>
      </c>
      <c r="E1178" s="329" t="s">
        <v>1</v>
      </c>
      <c r="F1178" s="345" t="s">
        <v>164</v>
      </c>
      <c r="H1178" s="329" t="s">
        <v>1</v>
      </c>
      <c r="I1178" s="497"/>
      <c r="L1178" s="331"/>
      <c r="M1178" s="332"/>
      <c r="N1178" s="333"/>
      <c r="O1178" s="333"/>
      <c r="P1178" s="333"/>
      <c r="Q1178" s="333"/>
      <c r="R1178" s="333"/>
      <c r="S1178" s="333"/>
      <c r="T1178" s="334"/>
      <c r="AT1178" s="329" t="s">
        <v>155</v>
      </c>
      <c r="AU1178" s="329" t="s">
        <v>83</v>
      </c>
      <c r="AV1178" s="326" t="s">
        <v>81</v>
      </c>
      <c r="AW1178" s="326" t="s">
        <v>34</v>
      </c>
      <c r="AX1178" s="326" t="s">
        <v>76</v>
      </c>
      <c r="AY1178" s="329" t="s">
        <v>146</v>
      </c>
    </row>
    <row r="1179" spans="2:51" s="335" customFormat="1" ht="12">
      <c r="B1179" s="336"/>
      <c r="D1179" s="328" t="s">
        <v>155</v>
      </c>
      <c r="E1179" s="337" t="s">
        <v>1</v>
      </c>
      <c r="F1179" s="346" t="s">
        <v>789</v>
      </c>
      <c r="H1179" s="339">
        <f>26.8*12.4</f>
        <v>332.32</v>
      </c>
      <c r="I1179" s="498"/>
      <c r="L1179" s="340"/>
      <c r="M1179" s="341"/>
      <c r="N1179" s="342"/>
      <c r="O1179" s="342"/>
      <c r="P1179" s="342"/>
      <c r="Q1179" s="342"/>
      <c r="R1179" s="342"/>
      <c r="S1179" s="342"/>
      <c r="T1179" s="343"/>
      <c r="AT1179" s="337" t="s">
        <v>155</v>
      </c>
      <c r="AU1179" s="337" t="s">
        <v>83</v>
      </c>
      <c r="AV1179" s="335" t="s">
        <v>83</v>
      </c>
      <c r="AW1179" s="335" t="s">
        <v>34</v>
      </c>
      <c r="AX1179" s="335" t="s">
        <v>76</v>
      </c>
      <c r="AY1179" s="337" t="s">
        <v>146</v>
      </c>
    </row>
    <row r="1180" spans="2:51" s="347" customFormat="1" ht="12">
      <c r="B1180" s="348"/>
      <c r="D1180" s="328" t="s">
        <v>155</v>
      </c>
      <c r="E1180" s="349" t="s">
        <v>1</v>
      </c>
      <c r="F1180" s="350" t="s">
        <v>157</v>
      </c>
      <c r="H1180" s="351">
        <f>SUM(H1177:H1179)</f>
        <v>610.0799999999999</v>
      </c>
      <c r="I1180" s="499"/>
      <c r="L1180" s="352"/>
      <c r="M1180" s="353"/>
      <c r="N1180" s="354"/>
      <c r="O1180" s="354"/>
      <c r="P1180" s="354"/>
      <c r="Q1180" s="354"/>
      <c r="R1180" s="354"/>
      <c r="S1180" s="354"/>
      <c r="T1180" s="355"/>
      <c r="AT1180" s="349" t="s">
        <v>155</v>
      </c>
      <c r="AU1180" s="349" t="s">
        <v>83</v>
      </c>
      <c r="AV1180" s="347" t="s">
        <v>153</v>
      </c>
      <c r="AW1180" s="347" t="s">
        <v>34</v>
      </c>
      <c r="AX1180" s="347" t="s">
        <v>81</v>
      </c>
      <c r="AY1180" s="349" t="s">
        <v>146</v>
      </c>
    </row>
    <row r="1181" spans="1:65" s="225" customFormat="1" ht="33" customHeight="1">
      <c r="A1181" s="222"/>
      <c r="B1181" s="223"/>
      <c r="C1181" s="314">
        <v>211</v>
      </c>
      <c r="D1181" s="314" t="s">
        <v>148</v>
      </c>
      <c r="E1181" s="315" t="s">
        <v>848</v>
      </c>
      <c r="F1181" s="344" t="s">
        <v>849</v>
      </c>
      <c r="G1181" s="317" t="s">
        <v>151</v>
      </c>
      <c r="H1181" s="318">
        <f>H1186</f>
        <v>610.0799999999999</v>
      </c>
      <c r="I1181" s="79"/>
      <c r="J1181" s="319">
        <f>ROUND(I1181*H1181,2)</f>
        <v>0</v>
      </c>
      <c r="K1181" s="316"/>
      <c r="L1181" s="230"/>
      <c r="M1181" s="320" t="s">
        <v>1</v>
      </c>
      <c r="N1181" s="321" t="s">
        <v>42</v>
      </c>
      <c r="O1181" s="322">
        <v>0.07</v>
      </c>
      <c r="P1181" s="322">
        <f>O1181*H1181</f>
        <v>42.7056</v>
      </c>
      <c r="Q1181" s="322">
        <v>0</v>
      </c>
      <c r="R1181" s="322">
        <f>Q1181*H1181</f>
        <v>0</v>
      </c>
      <c r="S1181" s="322">
        <v>0.00175</v>
      </c>
      <c r="T1181" s="442">
        <f>S1181*H1181</f>
        <v>1.06764</v>
      </c>
      <c r="U1181" s="222"/>
      <c r="V1181" s="222"/>
      <c r="W1181" s="222"/>
      <c r="X1181" s="222"/>
      <c r="Y1181" s="222"/>
      <c r="Z1181" s="222"/>
      <c r="AA1181" s="222"/>
      <c r="AB1181" s="222"/>
      <c r="AC1181" s="222"/>
      <c r="AD1181" s="222"/>
      <c r="AE1181" s="222"/>
      <c r="AR1181" s="324" t="s">
        <v>212</v>
      </c>
      <c r="AT1181" s="324" t="s">
        <v>148</v>
      </c>
      <c r="AU1181" s="324" t="s">
        <v>83</v>
      </c>
      <c r="AY1181" s="214" t="s">
        <v>146</v>
      </c>
      <c r="BE1181" s="325">
        <f>IF(N1181="základní",J1181,0)</f>
        <v>0</v>
      </c>
      <c r="BF1181" s="325">
        <f>IF(N1181="snížená",J1181,0)</f>
        <v>0</v>
      </c>
      <c r="BG1181" s="325">
        <f>IF(N1181="zákl. přenesená",J1181,0)</f>
        <v>0</v>
      </c>
      <c r="BH1181" s="325">
        <f>IF(N1181="sníž. přenesená",J1181,0)</f>
        <v>0</v>
      </c>
      <c r="BI1181" s="325">
        <f>IF(N1181="nulová",J1181,0)</f>
        <v>0</v>
      </c>
      <c r="BJ1181" s="214" t="s">
        <v>81</v>
      </c>
      <c r="BK1181" s="325">
        <f>ROUND(I1181*H1181,2)</f>
        <v>0</v>
      </c>
      <c r="BL1181" s="214" t="s">
        <v>212</v>
      </c>
      <c r="BM1181" s="324" t="s">
        <v>850</v>
      </c>
    </row>
    <row r="1182" spans="2:51" s="326" customFormat="1" ht="12">
      <c r="B1182" s="327"/>
      <c r="D1182" s="328" t="s">
        <v>155</v>
      </c>
      <c r="E1182" s="329" t="s">
        <v>1</v>
      </c>
      <c r="F1182" s="345" t="s">
        <v>167</v>
      </c>
      <c r="H1182" s="329" t="s">
        <v>1</v>
      </c>
      <c r="I1182" s="497"/>
      <c r="L1182" s="229"/>
      <c r="M1182" s="332"/>
      <c r="N1182" s="333"/>
      <c r="O1182" s="333"/>
      <c r="P1182" s="333"/>
      <c r="Q1182" s="333"/>
      <c r="R1182" s="333"/>
      <c r="S1182" s="333"/>
      <c r="T1182" s="334"/>
      <c r="AT1182" s="329" t="s">
        <v>155</v>
      </c>
      <c r="AU1182" s="329" t="s">
        <v>83</v>
      </c>
      <c r="AV1182" s="326" t="s">
        <v>81</v>
      </c>
      <c r="AW1182" s="326" t="s">
        <v>34</v>
      </c>
      <c r="AX1182" s="326" t="s">
        <v>76</v>
      </c>
      <c r="AY1182" s="329" t="s">
        <v>146</v>
      </c>
    </row>
    <row r="1183" spans="2:51" s="335" customFormat="1" ht="12">
      <c r="B1183" s="336"/>
      <c r="D1183" s="328" t="s">
        <v>155</v>
      </c>
      <c r="E1183" s="337" t="s">
        <v>1</v>
      </c>
      <c r="F1183" s="346" t="s">
        <v>2804</v>
      </c>
      <c r="H1183" s="339">
        <f>22.4*12.4</f>
        <v>277.76</v>
      </c>
      <c r="I1183" s="498"/>
      <c r="L1183" s="340"/>
      <c r="M1183" s="341"/>
      <c r="N1183" s="342"/>
      <c r="O1183" s="342"/>
      <c r="P1183" s="342"/>
      <c r="Q1183" s="342"/>
      <c r="R1183" s="342"/>
      <c r="S1183" s="342"/>
      <c r="T1183" s="343"/>
      <c r="AT1183" s="337" t="s">
        <v>155</v>
      </c>
      <c r="AU1183" s="337" t="s">
        <v>83</v>
      </c>
      <c r="AV1183" s="335" t="s">
        <v>83</v>
      </c>
      <c r="AW1183" s="335" t="s">
        <v>34</v>
      </c>
      <c r="AX1183" s="335" t="s">
        <v>76</v>
      </c>
      <c r="AY1183" s="337" t="s">
        <v>146</v>
      </c>
    </row>
    <row r="1184" spans="2:51" s="326" customFormat="1" ht="12">
      <c r="B1184" s="327"/>
      <c r="D1184" s="328" t="s">
        <v>155</v>
      </c>
      <c r="E1184" s="329" t="s">
        <v>1</v>
      </c>
      <c r="F1184" s="345" t="s">
        <v>164</v>
      </c>
      <c r="H1184" s="329" t="s">
        <v>1</v>
      </c>
      <c r="I1184" s="497"/>
      <c r="L1184" s="331"/>
      <c r="M1184" s="332"/>
      <c r="N1184" s="333"/>
      <c r="O1184" s="333"/>
      <c r="P1184" s="333"/>
      <c r="Q1184" s="333"/>
      <c r="R1184" s="333"/>
      <c r="S1184" s="333"/>
      <c r="T1184" s="334"/>
      <c r="AT1184" s="329" t="s">
        <v>155</v>
      </c>
      <c r="AU1184" s="329" t="s">
        <v>83</v>
      </c>
      <c r="AV1184" s="326" t="s">
        <v>81</v>
      </c>
      <c r="AW1184" s="326" t="s">
        <v>34</v>
      </c>
      <c r="AX1184" s="326" t="s">
        <v>76</v>
      </c>
      <c r="AY1184" s="329" t="s">
        <v>146</v>
      </c>
    </row>
    <row r="1185" spans="2:51" s="335" customFormat="1" ht="12">
      <c r="B1185" s="336"/>
      <c r="D1185" s="328" t="s">
        <v>155</v>
      </c>
      <c r="E1185" s="337" t="s">
        <v>1</v>
      </c>
      <c r="F1185" s="346" t="s">
        <v>789</v>
      </c>
      <c r="H1185" s="339">
        <f>26.8*12.4</f>
        <v>332.32</v>
      </c>
      <c r="I1185" s="498"/>
      <c r="L1185" s="340"/>
      <c r="M1185" s="341"/>
      <c r="N1185" s="342"/>
      <c r="O1185" s="342"/>
      <c r="P1185" s="342"/>
      <c r="Q1185" s="342"/>
      <c r="R1185" s="342"/>
      <c r="S1185" s="342"/>
      <c r="T1185" s="343"/>
      <c r="AT1185" s="337" t="s">
        <v>155</v>
      </c>
      <c r="AU1185" s="337" t="s">
        <v>83</v>
      </c>
      <c r="AV1185" s="335" t="s">
        <v>83</v>
      </c>
      <c r="AW1185" s="335" t="s">
        <v>34</v>
      </c>
      <c r="AX1185" s="335" t="s">
        <v>76</v>
      </c>
      <c r="AY1185" s="337" t="s">
        <v>146</v>
      </c>
    </row>
    <row r="1186" spans="2:51" s="347" customFormat="1" ht="12">
      <c r="B1186" s="348"/>
      <c r="D1186" s="328" t="s">
        <v>155</v>
      </c>
      <c r="E1186" s="349" t="s">
        <v>1</v>
      </c>
      <c r="F1186" s="350" t="s">
        <v>157</v>
      </c>
      <c r="H1186" s="351">
        <f>SUM(H1183:H1185)</f>
        <v>610.0799999999999</v>
      </c>
      <c r="I1186" s="499"/>
      <c r="L1186" s="352"/>
      <c r="M1186" s="353"/>
      <c r="N1186" s="354"/>
      <c r="O1186" s="354"/>
      <c r="P1186" s="354"/>
      <c r="Q1186" s="354"/>
      <c r="R1186" s="354"/>
      <c r="S1186" s="354"/>
      <c r="T1186" s="355"/>
      <c r="AT1186" s="349" t="s">
        <v>155</v>
      </c>
      <c r="AU1186" s="349" t="s">
        <v>83</v>
      </c>
      <c r="AV1186" s="347" t="s">
        <v>153</v>
      </c>
      <c r="AW1186" s="347" t="s">
        <v>34</v>
      </c>
      <c r="AX1186" s="347" t="s">
        <v>81</v>
      </c>
      <c r="AY1186" s="349" t="s">
        <v>146</v>
      </c>
    </row>
    <row r="1187" spans="1:65" s="263" customFormat="1" ht="24.2" customHeight="1">
      <c r="A1187" s="258"/>
      <c r="B1187" s="259"/>
      <c r="C1187" s="357">
        <v>212</v>
      </c>
      <c r="D1187" s="357" t="s">
        <v>148</v>
      </c>
      <c r="E1187" s="397" t="s">
        <v>851</v>
      </c>
      <c r="F1187" s="344" t="s">
        <v>852</v>
      </c>
      <c r="G1187" s="399" t="s">
        <v>151</v>
      </c>
      <c r="H1187" s="400">
        <f>H1193</f>
        <v>291.76125</v>
      </c>
      <c r="I1187" s="85"/>
      <c r="J1187" s="401">
        <f>ROUND(I1187*H1187,2)</f>
        <v>0</v>
      </c>
      <c r="K1187" s="344"/>
      <c r="L1187" s="373"/>
      <c r="M1187" s="402" t="s">
        <v>1</v>
      </c>
      <c r="N1187" s="403" t="s">
        <v>42</v>
      </c>
      <c r="O1187" s="404">
        <v>0.09</v>
      </c>
      <c r="P1187" s="404">
        <f>O1187*H1187</f>
        <v>26.258512500000002</v>
      </c>
      <c r="Q1187" s="404">
        <v>0</v>
      </c>
      <c r="R1187" s="404">
        <f>Q1187*H1187</f>
        <v>0</v>
      </c>
      <c r="S1187" s="404">
        <v>0</v>
      </c>
      <c r="T1187" s="405">
        <f>S1187*H1187</f>
        <v>0</v>
      </c>
      <c r="U1187" s="258"/>
      <c r="V1187" s="258"/>
      <c r="W1187" s="258"/>
      <c r="X1187" s="258"/>
      <c r="Y1187" s="258"/>
      <c r="Z1187" s="258"/>
      <c r="AA1187" s="258"/>
      <c r="AB1187" s="258"/>
      <c r="AC1187" s="258"/>
      <c r="AD1187" s="258"/>
      <c r="AE1187" s="258"/>
      <c r="AR1187" s="260" t="s">
        <v>212</v>
      </c>
      <c r="AT1187" s="260" t="s">
        <v>148</v>
      </c>
      <c r="AU1187" s="260" t="s">
        <v>83</v>
      </c>
      <c r="AY1187" s="406" t="s">
        <v>146</v>
      </c>
      <c r="BE1187" s="407">
        <f>IF(N1187="základní",J1187,0)</f>
        <v>0</v>
      </c>
      <c r="BF1187" s="407">
        <f>IF(N1187="snížená",J1187,0)</f>
        <v>0</v>
      </c>
      <c r="BG1187" s="407">
        <f>IF(N1187="zákl. přenesená",J1187,0)</f>
        <v>0</v>
      </c>
      <c r="BH1187" s="407">
        <f>IF(N1187="sníž. přenesená",J1187,0)</f>
        <v>0</v>
      </c>
      <c r="BI1187" s="407">
        <f>IF(N1187="nulová",J1187,0)</f>
        <v>0</v>
      </c>
      <c r="BJ1187" s="406" t="s">
        <v>81</v>
      </c>
      <c r="BK1187" s="407">
        <f>ROUND(I1187*H1187,2)</f>
        <v>0</v>
      </c>
      <c r="BL1187" s="406" t="s">
        <v>212</v>
      </c>
      <c r="BM1187" s="260" t="s">
        <v>853</v>
      </c>
    </row>
    <row r="1188" spans="2:51" s="326" customFormat="1" ht="12">
      <c r="B1188" s="327"/>
      <c r="D1188" s="328" t="s">
        <v>155</v>
      </c>
      <c r="E1188" s="329" t="s">
        <v>1</v>
      </c>
      <c r="F1188" s="345" t="s">
        <v>788</v>
      </c>
      <c r="H1188" s="329" t="s">
        <v>1</v>
      </c>
      <c r="I1188" s="497"/>
      <c r="L1188" s="331"/>
      <c r="M1188" s="332"/>
      <c r="N1188" s="333"/>
      <c r="O1188" s="333"/>
      <c r="P1188" s="333"/>
      <c r="Q1188" s="333"/>
      <c r="R1188" s="333"/>
      <c r="S1188" s="333"/>
      <c r="T1188" s="334"/>
      <c r="AT1188" s="329" t="s">
        <v>155</v>
      </c>
      <c r="AU1188" s="329" t="s">
        <v>83</v>
      </c>
      <c r="AV1188" s="326" t="s">
        <v>81</v>
      </c>
      <c r="AW1188" s="326" t="s">
        <v>34</v>
      </c>
      <c r="AX1188" s="326" t="s">
        <v>76</v>
      </c>
      <c r="AY1188" s="329" t="s">
        <v>146</v>
      </c>
    </row>
    <row r="1189" spans="2:51" s="326" customFormat="1" ht="12">
      <c r="B1189" s="327"/>
      <c r="D1189" s="328" t="s">
        <v>155</v>
      </c>
      <c r="E1189" s="329" t="s">
        <v>1</v>
      </c>
      <c r="F1189" s="345" t="s">
        <v>164</v>
      </c>
      <c r="H1189" s="329" t="s">
        <v>1</v>
      </c>
      <c r="I1189" s="497"/>
      <c r="L1189" s="331"/>
      <c r="M1189" s="332"/>
      <c r="N1189" s="333"/>
      <c r="O1189" s="333"/>
      <c r="P1189" s="333"/>
      <c r="Q1189" s="333"/>
      <c r="R1189" s="333"/>
      <c r="S1189" s="333"/>
      <c r="T1189" s="334"/>
      <c r="AT1189" s="329" t="s">
        <v>155</v>
      </c>
      <c r="AU1189" s="329" t="s">
        <v>83</v>
      </c>
      <c r="AV1189" s="326" t="s">
        <v>81</v>
      </c>
      <c r="AW1189" s="326" t="s">
        <v>34</v>
      </c>
      <c r="AX1189" s="326" t="s">
        <v>76</v>
      </c>
      <c r="AY1189" s="329" t="s">
        <v>146</v>
      </c>
    </row>
    <row r="1190" spans="2:51" s="335" customFormat="1" ht="12">
      <c r="B1190" s="336"/>
      <c r="D1190" s="328" t="s">
        <v>155</v>
      </c>
      <c r="E1190" s="337" t="s">
        <v>1</v>
      </c>
      <c r="F1190" s="346" t="s">
        <v>2826</v>
      </c>
      <c r="H1190" s="339">
        <f>(26.8-6.5)*12.2</f>
        <v>247.66</v>
      </c>
      <c r="I1190" s="498"/>
      <c r="L1190" s="340"/>
      <c r="M1190" s="341"/>
      <c r="N1190" s="342"/>
      <c r="O1190" s="342"/>
      <c r="P1190" s="342"/>
      <c r="Q1190" s="342"/>
      <c r="R1190" s="342"/>
      <c r="S1190" s="342"/>
      <c r="T1190" s="343"/>
      <c r="AT1190" s="337" t="s">
        <v>155</v>
      </c>
      <c r="AU1190" s="337" t="s">
        <v>83</v>
      </c>
      <c r="AV1190" s="335" t="s">
        <v>83</v>
      </c>
      <c r="AW1190" s="335" t="s">
        <v>34</v>
      </c>
      <c r="AX1190" s="335" t="s">
        <v>76</v>
      </c>
      <c r="AY1190" s="337" t="s">
        <v>146</v>
      </c>
    </row>
    <row r="1191" spans="2:51" s="326" customFormat="1" ht="12">
      <c r="B1191" s="327"/>
      <c r="D1191" s="328" t="s">
        <v>155</v>
      </c>
      <c r="E1191" s="329" t="s">
        <v>1</v>
      </c>
      <c r="F1191" s="345" t="s">
        <v>2829</v>
      </c>
      <c r="H1191" s="329" t="s">
        <v>1</v>
      </c>
      <c r="I1191" s="497"/>
      <c r="L1191" s="331"/>
      <c r="M1191" s="332"/>
      <c r="N1191" s="333"/>
      <c r="O1191" s="333"/>
      <c r="P1191" s="333"/>
      <c r="Q1191" s="333"/>
      <c r="R1191" s="333"/>
      <c r="S1191" s="333"/>
      <c r="T1191" s="334"/>
      <c r="AT1191" s="329" t="s">
        <v>155</v>
      </c>
      <c r="AU1191" s="329" t="s">
        <v>83</v>
      </c>
      <c r="AV1191" s="326" t="s">
        <v>81</v>
      </c>
      <c r="AW1191" s="326" t="s">
        <v>34</v>
      </c>
      <c r="AX1191" s="326" t="s">
        <v>76</v>
      </c>
      <c r="AY1191" s="329" t="s">
        <v>146</v>
      </c>
    </row>
    <row r="1192" spans="2:51" s="335" customFormat="1" ht="12">
      <c r="B1192" s="336"/>
      <c r="D1192" s="328" t="s">
        <v>155</v>
      </c>
      <c r="E1192" s="337" t="s">
        <v>1</v>
      </c>
      <c r="F1192" s="346" t="s">
        <v>2830</v>
      </c>
      <c r="H1192" s="339">
        <f>4.15*(9.475-11*0.08)+1.55*(6-7*0.08)</f>
        <v>44.10124999999999</v>
      </c>
      <c r="I1192" s="498"/>
      <c r="L1192" s="340"/>
      <c r="M1192" s="341"/>
      <c r="N1192" s="342"/>
      <c r="O1192" s="342"/>
      <c r="P1192" s="342"/>
      <c r="Q1192" s="342"/>
      <c r="R1192" s="342"/>
      <c r="S1192" s="342"/>
      <c r="T1192" s="343"/>
      <c r="AT1192" s="337" t="s">
        <v>155</v>
      </c>
      <c r="AU1192" s="337" t="s">
        <v>83</v>
      </c>
      <c r="AV1192" s="335" t="s">
        <v>83</v>
      </c>
      <c r="AW1192" s="335" t="s">
        <v>34</v>
      </c>
      <c r="AX1192" s="335" t="s">
        <v>76</v>
      </c>
      <c r="AY1192" s="337" t="s">
        <v>146</v>
      </c>
    </row>
    <row r="1193" spans="2:51" s="347" customFormat="1" ht="12">
      <c r="B1193" s="348"/>
      <c r="D1193" s="328" t="s">
        <v>155</v>
      </c>
      <c r="E1193" s="349" t="s">
        <v>1</v>
      </c>
      <c r="F1193" s="350" t="s">
        <v>157</v>
      </c>
      <c r="H1193" s="351">
        <f>SUM(H1190:H1192)</f>
        <v>291.76125</v>
      </c>
      <c r="I1193" s="499"/>
      <c r="L1193" s="352"/>
      <c r="M1193" s="353"/>
      <c r="N1193" s="354"/>
      <c r="O1193" s="354"/>
      <c r="P1193" s="354"/>
      <c r="Q1193" s="354"/>
      <c r="R1193" s="354"/>
      <c r="S1193" s="354"/>
      <c r="T1193" s="355"/>
      <c r="AT1193" s="349" t="s">
        <v>155</v>
      </c>
      <c r="AU1193" s="349" t="s">
        <v>83</v>
      </c>
      <c r="AV1193" s="347" t="s">
        <v>153</v>
      </c>
      <c r="AW1193" s="347" t="s">
        <v>34</v>
      </c>
      <c r="AX1193" s="347" t="s">
        <v>81</v>
      </c>
      <c r="AY1193" s="349" t="s">
        <v>146</v>
      </c>
    </row>
    <row r="1194" spans="1:65" s="225" customFormat="1" ht="55.5" customHeight="1">
      <c r="A1194" s="222"/>
      <c r="B1194" s="223"/>
      <c r="C1194" s="358">
        <v>213</v>
      </c>
      <c r="D1194" s="358" t="s">
        <v>208</v>
      </c>
      <c r="E1194" s="359"/>
      <c r="F1194" s="360" t="s">
        <v>3719</v>
      </c>
      <c r="G1194" s="361" t="s">
        <v>151</v>
      </c>
      <c r="H1194" s="362">
        <f>H1195</f>
        <v>252.6132</v>
      </c>
      <c r="I1194" s="80"/>
      <c r="J1194" s="363">
        <f>ROUND(I1194*H1194,2)</f>
        <v>0</v>
      </c>
      <c r="K1194" s="364"/>
      <c r="L1194" s="365"/>
      <c r="M1194" s="366" t="s">
        <v>1</v>
      </c>
      <c r="N1194" s="367" t="s">
        <v>42</v>
      </c>
      <c r="O1194" s="322">
        <v>0</v>
      </c>
      <c r="P1194" s="322">
        <f>O1194*H1194</f>
        <v>0</v>
      </c>
      <c r="Q1194" s="322">
        <v>0.0016</v>
      </c>
      <c r="R1194" s="322">
        <f>Q1194*H1194</f>
        <v>0.40418112</v>
      </c>
      <c r="S1194" s="322">
        <v>0</v>
      </c>
      <c r="T1194" s="323">
        <f>S1194*H1194</f>
        <v>0</v>
      </c>
      <c r="U1194" s="222"/>
      <c r="V1194" s="222"/>
      <c r="W1194" s="222"/>
      <c r="X1194" s="222"/>
      <c r="Y1194" s="222"/>
      <c r="Z1194" s="222"/>
      <c r="AA1194" s="222"/>
      <c r="AB1194" s="222"/>
      <c r="AC1194" s="222"/>
      <c r="AD1194" s="222"/>
      <c r="AE1194" s="222"/>
      <c r="AR1194" s="324" t="s">
        <v>298</v>
      </c>
      <c r="AT1194" s="324" t="s">
        <v>208</v>
      </c>
      <c r="AU1194" s="324" t="s">
        <v>83</v>
      </c>
      <c r="AY1194" s="214" t="s">
        <v>146</v>
      </c>
      <c r="BE1194" s="325">
        <f>IF(N1194="základní",J1194,0)</f>
        <v>0</v>
      </c>
      <c r="BF1194" s="325">
        <f>IF(N1194="snížená",J1194,0)</f>
        <v>0</v>
      </c>
      <c r="BG1194" s="325">
        <f>IF(N1194="zákl. přenesená",J1194,0)</f>
        <v>0</v>
      </c>
      <c r="BH1194" s="325">
        <f>IF(N1194="sníž. přenesená",J1194,0)</f>
        <v>0</v>
      </c>
      <c r="BI1194" s="325">
        <f>IF(N1194="nulová",J1194,0)</f>
        <v>0</v>
      </c>
      <c r="BJ1194" s="214" t="s">
        <v>81</v>
      </c>
      <c r="BK1194" s="325">
        <f>ROUND(I1194*H1194,2)</f>
        <v>0</v>
      </c>
      <c r="BL1194" s="214" t="s">
        <v>212</v>
      </c>
      <c r="BM1194" s="324" t="s">
        <v>854</v>
      </c>
    </row>
    <row r="1195" spans="2:51" s="335" customFormat="1" ht="12">
      <c r="B1195" s="336"/>
      <c r="D1195" s="328" t="s">
        <v>155</v>
      </c>
      <c r="F1195" s="346" t="s">
        <v>2811</v>
      </c>
      <c r="H1195" s="339">
        <f>H1190*1.02</f>
        <v>252.6132</v>
      </c>
      <c r="I1195" s="498"/>
      <c r="L1195" s="340"/>
      <c r="M1195" s="341"/>
      <c r="N1195" s="342"/>
      <c r="O1195" s="342"/>
      <c r="P1195" s="342"/>
      <c r="Q1195" s="342"/>
      <c r="R1195" s="342"/>
      <c r="S1195" s="342"/>
      <c r="T1195" s="343"/>
      <c r="AT1195" s="337" t="s">
        <v>155</v>
      </c>
      <c r="AU1195" s="337" t="s">
        <v>83</v>
      </c>
      <c r="AV1195" s="335" t="s">
        <v>83</v>
      </c>
      <c r="AW1195" s="335" t="s">
        <v>3</v>
      </c>
      <c r="AX1195" s="335" t="s">
        <v>81</v>
      </c>
      <c r="AY1195" s="337" t="s">
        <v>146</v>
      </c>
    </row>
    <row r="1196" spans="1:65" s="225" customFormat="1" ht="58.5" customHeight="1">
      <c r="A1196" s="222"/>
      <c r="B1196" s="223"/>
      <c r="C1196" s="358">
        <v>214</v>
      </c>
      <c r="D1196" s="358" t="s">
        <v>208</v>
      </c>
      <c r="E1196" s="359"/>
      <c r="F1196" s="360" t="s">
        <v>3720</v>
      </c>
      <c r="G1196" s="361" t="s">
        <v>151</v>
      </c>
      <c r="H1196" s="362">
        <f>H1197</f>
        <v>44.98327499999999</v>
      </c>
      <c r="I1196" s="80"/>
      <c r="J1196" s="363">
        <f>ROUND(I1196*H1196,2)</f>
        <v>0</v>
      </c>
      <c r="K1196" s="364"/>
      <c r="L1196" s="365"/>
      <c r="M1196" s="366" t="s">
        <v>1</v>
      </c>
      <c r="N1196" s="367" t="s">
        <v>42</v>
      </c>
      <c r="O1196" s="322">
        <v>0</v>
      </c>
      <c r="P1196" s="322">
        <f>O1196*H1196</f>
        <v>0</v>
      </c>
      <c r="Q1196" s="322">
        <v>0.001</v>
      </c>
      <c r="R1196" s="322">
        <f>Q1196*H1196</f>
        <v>0.044983274999999996</v>
      </c>
      <c r="S1196" s="322">
        <v>0</v>
      </c>
      <c r="T1196" s="323">
        <f>S1196*H1196</f>
        <v>0</v>
      </c>
      <c r="U1196" s="222"/>
      <c r="V1196" s="222"/>
      <c r="W1196" s="222"/>
      <c r="X1196" s="222"/>
      <c r="Y1196" s="222"/>
      <c r="Z1196" s="222"/>
      <c r="AA1196" s="222"/>
      <c r="AB1196" s="222"/>
      <c r="AC1196" s="222"/>
      <c r="AD1196" s="222"/>
      <c r="AE1196" s="222"/>
      <c r="AR1196" s="324" t="s">
        <v>298</v>
      </c>
      <c r="AT1196" s="324" t="s">
        <v>208</v>
      </c>
      <c r="AU1196" s="324" t="s">
        <v>83</v>
      </c>
      <c r="AY1196" s="214" t="s">
        <v>146</v>
      </c>
      <c r="BE1196" s="325">
        <f>IF(N1196="základní",J1196,0)</f>
        <v>0</v>
      </c>
      <c r="BF1196" s="325">
        <f>IF(N1196="snížená",J1196,0)</f>
        <v>0</v>
      </c>
      <c r="BG1196" s="325">
        <f>IF(N1196="zákl. přenesená",J1196,0)</f>
        <v>0</v>
      </c>
      <c r="BH1196" s="325">
        <f>IF(N1196="sníž. přenesená",J1196,0)</f>
        <v>0</v>
      </c>
      <c r="BI1196" s="325">
        <f>IF(N1196="nulová",J1196,0)</f>
        <v>0</v>
      </c>
      <c r="BJ1196" s="214" t="s">
        <v>81</v>
      </c>
      <c r="BK1196" s="325">
        <f>ROUND(I1196*H1196,2)</f>
        <v>0</v>
      </c>
      <c r="BL1196" s="214" t="s">
        <v>212</v>
      </c>
      <c r="BM1196" s="324" t="s">
        <v>854</v>
      </c>
    </row>
    <row r="1197" spans="2:51" s="335" customFormat="1" ht="12">
      <c r="B1197" s="336"/>
      <c r="D1197" s="328" t="s">
        <v>155</v>
      </c>
      <c r="F1197" s="346" t="s">
        <v>2811</v>
      </c>
      <c r="H1197" s="339">
        <f>H1192*1.02</f>
        <v>44.98327499999999</v>
      </c>
      <c r="I1197" s="498"/>
      <c r="L1197" s="340"/>
      <c r="M1197" s="341"/>
      <c r="N1197" s="342"/>
      <c r="O1197" s="342"/>
      <c r="P1197" s="342"/>
      <c r="Q1197" s="342"/>
      <c r="R1197" s="342"/>
      <c r="S1197" s="342"/>
      <c r="T1197" s="343"/>
      <c r="AT1197" s="337" t="s">
        <v>155</v>
      </c>
      <c r="AU1197" s="337" t="s">
        <v>83</v>
      </c>
      <c r="AV1197" s="335" t="s">
        <v>83</v>
      </c>
      <c r="AW1197" s="335" t="s">
        <v>3</v>
      </c>
      <c r="AX1197" s="335" t="s">
        <v>81</v>
      </c>
      <c r="AY1197" s="337" t="s">
        <v>146</v>
      </c>
    </row>
    <row r="1198" spans="1:65" s="225" customFormat="1" ht="24.2" customHeight="1">
      <c r="A1198" s="222"/>
      <c r="B1198" s="223"/>
      <c r="C1198" s="314">
        <v>215</v>
      </c>
      <c r="D1198" s="314" t="s">
        <v>148</v>
      </c>
      <c r="E1198" s="315" t="s">
        <v>2416</v>
      </c>
      <c r="F1198" s="344" t="s">
        <v>2417</v>
      </c>
      <c r="G1198" s="317" t="s">
        <v>151</v>
      </c>
      <c r="H1198" s="318">
        <f>H1204</f>
        <v>352.275</v>
      </c>
      <c r="I1198" s="79"/>
      <c r="J1198" s="319">
        <f>ROUND(I1198*H1198,2)</f>
        <v>0</v>
      </c>
      <c r="K1198" s="316"/>
      <c r="L1198" s="229"/>
      <c r="M1198" s="320" t="s">
        <v>1</v>
      </c>
      <c r="N1198" s="321" t="s">
        <v>42</v>
      </c>
      <c r="O1198" s="322">
        <v>0.17</v>
      </c>
      <c r="P1198" s="322">
        <f>O1198*H1198</f>
        <v>59.88675</v>
      </c>
      <c r="Q1198" s="322">
        <v>0</v>
      </c>
      <c r="R1198" s="322">
        <f>Q1198*H1198</f>
        <v>0</v>
      </c>
      <c r="S1198" s="322">
        <v>0</v>
      </c>
      <c r="T1198" s="323">
        <f>S1198*H1198</f>
        <v>0</v>
      </c>
      <c r="U1198" s="222"/>
      <c r="V1198" s="222"/>
      <c r="W1198" s="222"/>
      <c r="X1198" s="222"/>
      <c r="Y1198" s="222"/>
      <c r="Z1198" s="222"/>
      <c r="AA1198" s="222"/>
      <c r="AB1198" s="222"/>
      <c r="AC1198" s="222"/>
      <c r="AD1198" s="222"/>
      <c r="AE1198" s="222"/>
      <c r="AR1198" s="324" t="s">
        <v>212</v>
      </c>
      <c r="AT1198" s="324" t="s">
        <v>148</v>
      </c>
      <c r="AU1198" s="324" t="s">
        <v>83</v>
      </c>
      <c r="AY1198" s="214" t="s">
        <v>146</v>
      </c>
      <c r="BE1198" s="325">
        <f>IF(N1198="základní",J1198,0)</f>
        <v>0</v>
      </c>
      <c r="BF1198" s="325">
        <f>IF(N1198="snížená",J1198,0)</f>
        <v>0</v>
      </c>
      <c r="BG1198" s="325">
        <f>IF(N1198="zákl. přenesená",J1198,0)</f>
        <v>0</v>
      </c>
      <c r="BH1198" s="325">
        <f>IF(N1198="sníž. přenesená",J1198,0)</f>
        <v>0</v>
      </c>
      <c r="BI1198" s="325">
        <f>IF(N1198="nulová",J1198,0)</f>
        <v>0</v>
      </c>
      <c r="BJ1198" s="214" t="s">
        <v>81</v>
      </c>
      <c r="BK1198" s="325">
        <f>ROUND(I1198*H1198,2)</f>
        <v>0</v>
      </c>
      <c r="BL1198" s="214" t="s">
        <v>212</v>
      </c>
      <c r="BM1198" s="324" t="s">
        <v>2418</v>
      </c>
    </row>
    <row r="1199" spans="2:51" s="326" customFormat="1" ht="12">
      <c r="B1199" s="327"/>
      <c r="D1199" s="328" t="s">
        <v>155</v>
      </c>
      <c r="E1199" s="329" t="s">
        <v>1</v>
      </c>
      <c r="F1199" s="345" t="s">
        <v>786</v>
      </c>
      <c r="H1199" s="329" t="s">
        <v>1</v>
      </c>
      <c r="I1199" s="497"/>
      <c r="L1199" s="331"/>
      <c r="M1199" s="332"/>
      <c r="N1199" s="333"/>
      <c r="O1199" s="333"/>
      <c r="P1199" s="333"/>
      <c r="Q1199" s="333"/>
      <c r="R1199" s="333"/>
      <c r="S1199" s="333"/>
      <c r="T1199" s="334"/>
      <c r="AT1199" s="329" t="s">
        <v>155</v>
      </c>
      <c r="AU1199" s="329" t="s">
        <v>83</v>
      </c>
      <c r="AV1199" s="326" t="s">
        <v>81</v>
      </c>
      <c r="AW1199" s="326" t="s">
        <v>34</v>
      </c>
      <c r="AX1199" s="326" t="s">
        <v>76</v>
      </c>
      <c r="AY1199" s="329" t="s">
        <v>146</v>
      </c>
    </row>
    <row r="1200" spans="2:51" s="326" customFormat="1" ht="12">
      <c r="B1200" s="327"/>
      <c r="D1200" s="328" t="s">
        <v>155</v>
      </c>
      <c r="E1200" s="329" t="s">
        <v>1</v>
      </c>
      <c r="F1200" s="345" t="s">
        <v>167</v>
      </c>
      <c r="H1200" s="329" t="s">
        <v>1</v>
      </c>
      <c r="I1200" s="497"/>
      <c r="L1200" s="331"/>
      <c r="M1200" s="332"/>
      <c r="N1200" s="333"/>
      <c r="O1200" s="333"/>
      <c r="P1200" s="333"/>
      <c r="Q1200" s="333"/>
      <c r="R1200" s="333"/>
      <c r="S1200" s="333"/>
      <c r="T1200" s="334"/>
      <c r="AT1200" s="329" t="s">
        <v>155</v>
      </c>
      <c r="AU1200" s="329" t="s">
        <v>83</v>
      </c>
      <c r="AV1200" s="326" t="s">
        <v>81</v>
      </c>
      <c r="AW1200" s="326" t="s">
        <v>34</v>
      </c>
      <c r="AX1200" s="326" t="s">
        <v>76</v>
      </c>
      <c r="AY1200" s="329" t="s">
        <v>146</v>
      </c>
    </row>
    <row r="1201" spans="2:51" s="335" customFormat="1" ht="12">
      <c r="B1201" s="336"/>
      <c r="D1201" s="328" t="s">
        <v>155</v>
      </c>
      <c r="E1201" s="337" t="s">
        <v>1</v>
      </c>
      <c r="F1201" s="346" t="s">
        <v>2827</v>
      </c>
      <c r="H1201" s="339">
        <f>22.375*12.2</f>
        <v>272.97499999999997</v>
      </c>
      <c r="I1201" s="498"/>
      <c r="L1201" s="340"/>
      <c r="M1201" s="341"/>
      <c r="N1201" s="342"/>
      <c r="O1201" s="342"/>
      <c r="P1201" s="342"/>
      <c r="Q1201" s="342"/>
      <c r="R1201" s="342"/>
      <c r="S1201" s="342"/>
      <c r="T1201" s="343"/>
      <c r="AT1201" s="337" t="s">
        <v>155</v>
      </c>
      <c r="AU1201" s="337" t="s">
        <v>83</v>
      </c>
      <c r="AV1201" s="335" t="s">
        <v>83</v>
      </c>
      <c r="AW1201" s="335" t="s">
        <v>34</v>
      </c>
      <c r="AX1201" s="335" t="s">
        <v>81</v>
      </c>
      <c r="AY1201" s="337" t="s">
        <v>146</v>
      </c>
    </row>
    <row r="1202" spans="2:51" s="335" customFormat="1" ht="12">
      <c r="B1202" s="336"/>
      <c r="D1202" s="328"/>
      <c r="E1202" s="337"/>
      <c r="F1202" s="346" t="s">
        <v>2647</v>
      </c>
      <c r="H1202" s="339"/>
      <c r="I1202" s="498"/>
      <c r="L1202" s="340"/>
      <c r="M1202" s="341"/>
      <c r="N1202" s="342"/>
      <c r="O1202" s="342"/>
      <c r="P1202" s="342"/>
      <c r="Q1202" s="342"/>
      <c r="R1202" s="342"/>
      <c r="S1202" s="342"/>
      <c r="T1202" s="343"/>
      <c r="AT1202" s="337"/>
      <c r="AU1202" s="337"/>
      <c r="AY1202" s="337"/>
    </row>
    <row r="1203" spans="2:51" s="335" customFormat="1" ht="12">
      <c r="B1203" s="336"/>
      <c r="D1203" s="328"/>
      <c r="E1203" s="337"/>
      <c r="F1203" s="346" t="s">
        <v>2828</v>
      </c>
      <c r="H1203" s="339">
        <f>12.2*6.5</f>
        <v>79.3</v>
      </c>
      <c r="I1203" s="498"/>
      <c r="L1203" s="340"/>
      <c r="M1203" s="341"/>
      <c r="N1203" s="342"/>
      <c r="O1203" s="342"/>
      <c r="P1203" s="342"/>
      <c r="Q1203" s="342"/>
      <c r="R1203" s="342"/>
      <c r="S1203" s="342"/>
      <c r="T1203" s="343"/>
      <c r="AT1203" s="337"/>
      <c r="AU1203" s="337"/>
      <c r="AY1203" s="337"/>
    </row>
    <row r="1204" spans="2:51" s="347" customFormat="1" ht="12">
      <c r="B1204" s="348"/>
      <c r="D1204" s="328" t="s">
        <v>155</v>
      </c>
      <c r="E1204" s="349" t="s">
        <v>1</v>
      </c>
      <c r="F1204" s="350" t="s">
        <v>157</v>
      </c>
      <c r="H1204" s="351">
        <f>SUM(H1201:H1203)</f>
        <v>352.275</v>
      </c>
      <c r="I1204" s="499"/>
      <c r="L1204" s="352"/>
      <c r="M1204" s="353"/>
      <c r="N1204" s="354"/>
      <c r="O1204" s="354"/>
      <c r="P1204" s="354"/>
      <c r="Q1204" s="354"/>
      <c r="R1204" s="354"/>
      <c r="S1204" s="354"/>
      <c r="T1204" s="355"/>
      <c r="AT1204" s="349" t="s">
        <v>155</v>
      </c>
      <c r="AU1204" s="349" t="s">
        <v>83</v>
      </c>
      <c r="AV1204" s="347" t="s">
        <v>153</v>
      </c>
      <c r="AW1204" s="347" t="s">
        <v>34</v>
      </c>
      <c r="AX1204" s="347" t="s">
        <v>81</v>
      </c>
      <c r="AY1204" s="349" t="s">
        <v>146</v>
      </c>
    </row>
    <row r="1205" spans="1:65" s="225" customFormat="1" ht="60" customHeight="1">
      <c r="A1205" s="222"/>
      <c r="B1205" s="223"/>
      <c r="C1205" s="358">
        <v>216</v>
      </c>
      <c r="D1205" s="358" t="s">
        <v>208</v>
      </c>
      <c r="E1205" s="359"/>
      <c r="F1205" s="360" t="s">
        <v>3719</v>
      </c>
      <c r="G1205" s="361" t="s">
        <v>151</v>
      </c>
      <c r="H1205" s="362">
        <f>H1206</f>
        <v>722.1637499999999</v>
      </c>
      <c r="I1205" s="80"/>
      <c r="J1205" s="363">
        <f>ROUND(I1205*H1205,2)</f>
        <v>0</v>
      </c>
      <c r="K1205" s="364"/>
      <c r="L1205" s="365"/>
      <c r="M1205" s="366" t="s">
        <v>1</v>
      </c>
      <c r="N1205" s="367" t="s">
        <v>42</v>
      </c>
      <c r="O1205" s="322">
        <v>0</v>
      </c>
      <c r="P1205" s="322">
        <f>O1205*H1205</f>
        <v>0</v>
      </c>
      <c r="Q1205" s="322">
        <v>0.0016</v>
      </c>
      <c r="R1205" s="322">
        <f>Q1205*H1205</f>
        <v>1.155462</v>
      </c>
      <c r="S1205" s="322">
        <v>0</v>
      </c>
      <c r="T1205" s="323">
        <f>S1205*H1205</f>
        <v>0</v>
      </c>
      <c r="U1205" s="222"/>
      <c r="V1205" s="222"/>
      <c r="W1205" s="222"/>
      <c r="X1205" s="222"/>
      <c r="Y1205" s="222"/>
      <c r="Z1205" s="222"/>
      <c r="AA1205" s="222"/>
      <c r="AB1205" s="222"/>
      <c r="AC1205" s="222"/>
      <c r="AD1205" s="222"/>
      <c r="AE1205" s="222"/>
      <c r="AR1205" s="324" t="s">
        <v>298</v>
      </c>
      <c r="AT1205" s="324" t="s">
        <v>208</v>
      </c>
      <c r="AU1205" s="324" t="s">
        <v>83</v>
      </c>
      <c r="AY1205" s="214" t="s">
        <v>146</v>
      </c>
      <c r="BE1205" s="325">
        <f>IF(N1205="základní",J1205,0)</f>
        <v>0</v>
      </c>
      <c r="BF1205" s="325">
        <f>IF(N1205="snížená",J1205,0)</f>
        <v>0</v>
      </c>
      <c r="BG1205" s="325">
        <f>IF(N1205="zákl. přenesená",J1205,0)</f>
        <v>0</v>
      </c>
      <c r="BH1205" s="325">
        <f>IF(N1205="sníž. přenesená",J1205,0)</f>
        <v>0</v>
      </c>
      <c r="BI1205" s="325">
        <f>IF(N1205="nulová",J1205,0)</f>
        <v>0</v>
      </c>
      <c r="BJ1205" s="214" t="s">
        <v>81</v>
      </c>
      <c r="BK1205" s="325">
        <f>ROUND(I1205*H1205,2)</f>
        <v>0</v>
      </c>
      <c r="BL1205" s="214" t="s">
        <v>212</v>
      </c>
      <c r="BM1205" s="324" t="s">
        <v>2419</v>
      </c>
    </row>
    <row r="1206" spans="2:51" s="390" customFormat="1" ht="12">
      <c r="B1206" s="389"/>
      <c r="D1206" s="376" t="s">
        <v>155</v>
      </c>
      <c r="F1206" s="346" t="s">
        <v>2812</v>
      </c>
      <c r="H1206" s="392">
        <f>H1198*2.05</f>
        <v>722.1637499999999</v>
      </c>
      <c r="I1206" s="503"/>
      <c r="L1206" s="393"/>
      <c r="M1206" s="394"/>
      <c r="N1206" s="395"/>
      <c r="O1206" s="395"/>
      <c r="P1206" s="395"/>
      <c r="Q1206" s="395"/>
      <c r="R1206" s="395"/>
      <c r="S1206" s="395"/>
      <c r="T1206" s="396"/>
      <c r="AT1206" s="391" t="s">
        <v>155</v>
      </c>
      <c r="AU1206" s="391" t="s">
        <v>83</v>
      </c>
      <c r="AV1206" s="390" t="s">
        <v>83</v>
      </c>
      <c r="AW1206" s="390" t="s">
        <v>3</v>
      </c>
      <c r="AX1206" s="390" t="s">
        <v>81</v>
      </c>
      <c r="AY1206" s="391" t="s">
        <v>146</v>
      </c>
    </row>
    <row r="1207" spans="1:65" s="225" customFormat="1" ht="24.2" customHeight="1">
      <c r="A1207" s="222"/>
      <c r="B1207" s="223"/>
      <c r="C1207" s="314">
        <v>217</v>
      </c>
      <c r="D1207" s="314" t="s">
        <v>148</v>
      </c>
      <c r="E1207" s="315" t="s">
        <v>855</v>
      </c>
      <c r="F1207" s="344" t="s">
        <v>856</v>
      </c>
      <c r="G1207" s="317" t="s">
        <v>151</v>
      </c>
      <c r="H1207" s="318">
        <f>H1212</f>
        <v>610.0799999999999</v>
      </c>
      <c r="I1207" s="79"/>
      <c r="J1207" s="319">
        <f>ROUND(I1207*H1207,2)</f>
        <v>0</v>
      </c>
      <c r="K1207" s="316"/>
      <c r="L1207" s="229"/>
      <c r="M1207" s="320" t="s">
        <v>1</v>
      </c>
      <c r="N1207" s="321" t="s">
        <v>42</v>
      </c>
      <c r="O1207" s="322">
        <v>0.7</v>
      </c>
      <c r="P1207" s="322">
        <f>O1207*H1207</f>
        <v>427.0559999999999</v>
      </c>
      <c r="Q1207" s="322">
        <v>0</v>
      </c>
      <c r="R1207" s="322">
        <f>Q1207*H1207</f>
        <v>0</v>
      </c>
      <c r="S1207" s="322">
        <v>0.18</v>
      </c>
      <c r="T1207" s="441">
        <f>S1207*H1207</f>
        <v>109.81439999999998</v>
      </c>
      <c r="U1207" s="222"/>
      <c r="V1207" s="222"/>
      <c r="W1207" s="222"/>
      <c r="X1207" s="222"/>
      <c r="Y1207" s="222"/>
      <c r="Z1207" s="222"/>
      <c r="AA1207" s="222"/>
      <c r="AB1207" s="222"/>
      <c r="AC1207" s="222"/>
      <c r="AD1207" s="222"/>
      <c r="AE1207" s="222"/>
      <c r="AR1207" s="324" t="s">
        <v>212</v>
      </c>
      <c r="AT1207" s="324" t="s">
        <v>148</v>
      </c>
      <c r="AU1207" s="324" t="s">
        <v>83</v>
      </c>
      <c r="AY1207" s="214" t="s">
        <v>146</v>
      </c>
      <c r="BE1207" s="325">
        <f>IF(N1207="základní",J1207,0)</f>
        <v>0</v>
      </c>
      <c r="BF1207" s="325">
        <f>IF(N1207="snížená",J1207,0)</f>
        <v>0</v>
      </c>
      <c r="BG1207" s="325">
        <f>IF(N1207="zákl. přenesená",J1207,0)</f>
        <v>0</v>
      </c>
      <c r="BH1207" s="325">
        <f>IF(N1207="sníž. přenesená",J1207,0)</f>
        <v>0</v>
      </c>
      <c r="BI1207" s="325">
        <f>IF(N1207="nulová",J1207,0)</f>
        <v>0</v>
      </c>
      <c r="BJ1207" s="214" t="s">
        <v>81</v>
      </c>
      <c r="BK1207" s="325">
        <f>ROUND(I1207*H1207,2)</f>
        <v>0</v>
      </c>
      <c r="BL1207" s="214" t="s">
        <v>212</v>
      </c>
      <c r="BM1207" s="324" t="s">
        <v>857</v>
      </c>
    </row>
    <row r="1208" spans="2:51" s="326" customFormat="1" ht="12">
      <c r="B1208" s="327"/>
      <c r="D1208" s="328" t="s">
        <v>155</v>
      </c>
      <c r="E1208" s="329" t="s">
        <v>1</v>
      </c>
      <c r="F1208" s="345" t="s">
        <v>167</v>
      </c>
      <c r="H1208" s="329" t="s">
        <v>1</v>
      </c>
      <c r="I1208" s="497"/>
      <c r="L1208" s="229"/>
      <c r="M1208" s="332"/>
      <c r="N1208" s="333"/>
      <c r="O1208" s="333"/>
      <c r="P1208" s="333"/>
      <c r="Q1208" s="333"/>
      <c r="R1208" s="333"/>
      <c r="S1208" s="333"/>
      <c r="T1208" s="334"/>
      <c r="AT1208" s="329" t="s">
        <v>155</v>
      </c>
      <c r="AU1208" s="329" t="s">
        <v>83</v>
      </c>
      <c r="AV1208" s="326" t="s">
        <v>81</v>
      </c>
      <c r="AW1208" s="326" t="s">
        <v>34</v>
      </c>
      <c r="AX1208" s="326" t="s">
        <v>76</v>
      </c>
      <c r="AY1208" s="329" t="s">
        <v>146</v>
      </c>
    </row>
    <row r="1209" spans="2:51" s="335" customFormat="1" ht="12">
      <c r="B1209" s="336"/>
      <c r="D1209" s="328" t="s">
        <v>155</v>
      </c>
      <c r="E1209" s="337" t="s">
        <v>1</v>
      </c>
      <c r="F1209" s="346" t="s">
        <v>2804</v>
      </c>
      <c r="H1209" s="339">
        <f>22.4*12.4</f>
        <v>277.76</v>
      </c>
      <c r="I1209" s="498"/>
      <c r="L1209" s="340"/>
      <c r="M1209" s="341"/>
      <c r="N1209" s="342"/>
      <c r="O1209" s="342"/>
      <c r="P1209" s="342"/>
      <c r="Q1209" s="342"/>
      <c r="R1209" s="342"/>
      <c r="S1209" s="342"/>
      <c r="T1209" s="343"/>
      <c r="AT1209" s="337" t="s">
        <v>155</v>
      </c>
      <c r="AU1209" s="337" t="s">
        <v>83</v>
      </c>
      <c r="AV1209" s="335" t="s">
        <v>83</v>
      </c>
      <c r="AW1209" s="335" t="s">
        <v>34</v>
      </c>
      <c r="AX1209" s="335" t="s">
        <v>76</v>
      </c>
      <c r="AY1209" s="337" t="s">
        <v>146</v>
      </c>
    </row>
    <row r="1210" spans="2:51" s="326" customFormat="1" ht="12">
      <c r="B1210" s="327"/>
      <c r="D1210" s="328" t="s">
        <v>155</v>
      </c>
      <c r="E1210" s="329" t="s">
        <v>1</v>
      </c>
      <c r="F1210" s="345" t="s">
        <v>164</v>
      </c>
      <c r="H1210" s="329" t="s">
        <v>1</v>
      </c>
      <c r="I1210" s="497"/>
      <c r="L1210" s="331"/>
      <c r="M1210" s="332"/>
      <c r="N1210" s="333"/>
      <c r="O1210" s="333"/>
      <c r="P1210" s="333"/>
      <c r="Q1210" s="333"/>
      <c r="R1210" s="333"/>
      <c r="S1210" s="333"/>
      <c r="T1210" s="334"/>
      <c r="AT1210" s="329" t="s">
        <v>155</v>
      </c>
      <c r="AU1210" s="329" t="s">
        <v>83</v>
      </c>
      <c r="AV1210" s="326" t="s">
        <v>81</v>
      </c>
      <c r="AW1210" s="326" t="s">
        <v>34</v>
      </c>
      <c r="AX1210" s="326" t="s">
        <v>76</v>
      </c>
      <c r="AY1210" s="329" t="s">
        <v>146</v>
      </c>
    </row>
    <row r="1211" spans="2:51" s="335" customFormat="1" ht="12">
      <c r="B1211" s="336"/>
      <c r="D1211" s="328" t="s">
        <v>155</v>
      </c>
      <c r="E1211" s="337" t="s">
        <v>1</v>
      </c>
      <c r="F1211" s="346" t="s">
        <v>789</v>
      </c>
      <c r="H1211" s="339">
        <f>26.8*12.4</f>
        <v>332.32</v>
      </c>
      <c r="I1211" s="498"/>
      <c r="L1211" s="340"/>
      <c r="M1211" s="341"/>
      <c r="N1211" s="342"/>
      <c r="O1211" s="342"/>
      <c r="P1211" s="342"/>
      <c r="Q1211" s="342"/>
      <c r="R1211" s="342"/>
      <c r="S1211" s="342"/>
      <c r="T1211" s="343"/>
      <c r="AT1211" s="337" t="s">
        <v>155</v>
      </c>
      <c r="AU1211" s="337" t="s">
        <v>83</v>
      </c>
      <c r="AV1211" s="335" t="s">
        <v>83</v>
      </c>
      <c r="AW1211" s="335" t="s">
        <v>34</v>
      </c>
      <c r="AX1211" s="335" t="s">
        <v>76</v>
      </c>
      <c r="AY1211" s="337" t="s">
        <v>146</v>
      </c>
    </row>
    <row r="1212" spans="2:51" s="347" customFormat="1" ht="12">
      <c r="B1212" s="348"/>
      <c r="D1212" s="328" t="s">
        <v>155</v>
      </c>
      <c r="E1212" s="349" t="s">
        <v>1</v>
      </c>
      <c r="F1212" s="350" t="s">
        <v>157</v>
      </c>
      <c r="H1212" s="351">
        <f>SUM(H1209:H1211)</f>
        <v>610.0799999999999</v>
      </c>
      <c r="I1212" s="499"/>
      <c r="L1212" s="352"/>
      <c r="M1212" s="353"/>
      <c r="N1212" s="354"/>
      <c r="O1212" s="354"/>
      <c r="P1212" s="354"/>
      <c r="Q1212" s="354"/>
      <c r="R1212" s="354"/>
      <c r="S1212" s="354"/>
      <c r="T1212" s="355"/>
      <c r="AT1212" s="349" t="s">
        <v>155</v>
      </c>
      <c r="AU1212" s="349" t="s">
        <v>83</v>
      </c>
      <c r="AV1212" s="347" t="s">
        <v>153</v>
      </c>
      <c r="AW1212" s="347" t="s">
        <v>34</v>
      </c>
      <c r="AX1212" s="347" t="s">
        <v>81</v>
      </c>
      <c r="AY1212" s="349" t="s">
        <v>146</v>
      </c>
    </row>
    <row r="1213" spans="1:65" s="225" customFormat="1" ht="24.2" customHeight="1">
      <c r="A1213" s="222"/>
      <c r="B1213" s="223"/>
      <c r="C1213" s="314">
        <v>218</v>
      </c>
      <c r="D1213" s="314" t="s">
        <v>148</v>
      </c>
      <c r="E1213" s="315" t="s">
        <v>858</v>
      </c>
      <c r="F1213" s="344" t="s">
        <v>2911</v>
      </c>
      <c r="G1213" s="317" t="s">
        <v>194</v>
      </c>
      <c r="H1213" s="318">
        <f>R1104</f>
        <v>4.5476624997199995</v>
      </c>
      <c r="I1213" s="79"/>
      <c r="J1213" s="319">
        <f>ROUND(I1213*H1213,2)</f>
        <v>0</v>
      </c>
      <c r="K1213" s="316"/>
      <c r="L1213" s="229"/>
      <c r="M1213" s="320" t="s">
        <v>1</v>
      </c>
      <c r="N1213" s="321" t="s">
        <v>42</v>
      </c>
      <c r="O1213" s="322">
        <v>0</v>
      </c>
      <c r="P1213" s="322">
        <f>O1213*H1213</f>
        <v>0</v>
      </c>
      <c r="Q1213" s="322"/>
      <c r="R1213" s="322"/>
      <c r="S1213" s="322"/>
      <c r="T1213" s="323"/>
      <c r="U1213" s="222"/>
      <c r="V1213" s="222"/>
      <c r="W1213" s="222"/>
      <c r="X1213" s="222"/>
      <c r="Y1213" s="222"/>
      <c r="Z1213" s="222"/>
      <c r="AA1213" s="222"/>
      <c r="AB1213" s="222"/>
      <c r="AC1213" s="222"/>
      <c r="AD1213" s="222"/>
      <c r="AE1213" s="222"/>
      <c r="AR1213" s="324" t="s">
        <v>212</v>
      </c>
      <c r="AT1213" s="324" t="s">
        <v>148</v>
      </c>
      <c r="AU1213" s="324" t="s">
        <v>83</v>
      </c>
      <c r="AY1213" s="214" t="s">
        <v>146</v>
      </c>
      <c r="BE1213" s="325">
        <f>IF(N1213="základní",J1213,0)</f>
        <v>0</v>
      </c>
      <c r="BF1213" s="325">
        <f>IF(N1213="snížená",J1213,0)</f>
        <v>0</v>
      </c>
      <c r="BG1213" s="325">
        <f>IF(N1213="zákl. přenesená",J1213,0)</f>
        <v>0</v>
      </c>
      <c r="BH1213" s="325">
        <f>IF(N1213="sníž. přenesená",J1213,0)</f>
        <v>0</v>
      </c>
      <c r="BI1213" s="325">
        <f>IF(N1213="nulová",J1213,0)</f>
        <v>0</v>
      </c>
      <c r="BJ1213" s="214" t="s">
        <v>81</v>
      </c>
      <c r="BK1213" s="325">
        <f>ROUND(I1213*H1213,2)</f>
        <v>0</v>
      </c>
      <c r="BL1213" s="214" t="s">
        <v>212</v>
      </c>
      <c r="BM1213" s="324" t="s">
        <v>859</v>
      </c>
    </row>
    <row r="1214" spans="2:63" s="443" customFormat="1" ht="22.9" customHeight="1">
      <c r="B1214" s="444"/>
      <c r="D1214" s="445" t="s">
        <v>75</v>
      </c>
      <c r="E1214" s="446" t="s">
        <v>860</v>
      </c>
      <c r="F1214" s="446" t="s">
        <v>861</v>
      </c>
      <c r="I1214" s="504"/>
      <c r="J1214" s="447">
        <f>SUM(J1215:J1237)</f>
        <v>0</v>
      </c>
      <c r="L1214" s="312"/>
      <c r="M1214" s="448"/>
      <c r="N1214" s="449"/>
      <c r="O1214" s="449"/>
      <c r="P1214" s="450">
        <f>SUM(P1215:P1242)</f>
        <v>7.383</v>
      </c>
      <c r="Q1214" s="449"/>
      <c r="R1214" s="450">
        <f>SUM(R1215:R1242)</f>
        <v>0</v>
      </c>
      <c r="S1214" s="449"/>
      <c r="T1214" s="451">
        <f>SUM(T1215:T1242)</f>
        <v>0.36716000000000004</v>
      </c>
      <c r="AR1214" s="445" t="s">
        <v>83</v>
      </c>
      <c r="AT1214" s="452" t="s">
        <v>75</v>
      </c>
      <c r="AU1214" s="452" t="s">
        <v>81</v>
      </c>
      <c r="AY1214" s="445" t="s">
        <v>146</v>
      </c>
      <c r="BK1214" s="453">
        <f>SUM(BK1215:BK1242)</f>
        <v>0</v>
      </c>
    </row>
    <row r="1215" spans="1:65" s="225" customFormat="1" ht="16.5" customHeight="1">
      <c r="A1215" s="222"/>
      <c r="B1215" s="223"/>
      <c r="C1215" s="357">
        <v>219</v>
      </c>
      <c r="D1215" s="357" t="s">
        <v>148</v>
      </c>
      <c r="E1215" s="397" t="s">
        <v>862</v>
      </c>
      <c r="F1215" s="344" t="s">
        <v>863</v>
      </c>
      <c r="G1215" s="399" t="s">
        <v>864</v>
      </c>
      <c r="H1215" s="400">
        <v>4</v>
      </c>
      <c r="I1215" s="85"/>
      <c r="J1215" s="401">
        <f>ROUND(I1215*H1215,2)</f>
        <v>0</v>
      </c>
      <c r="K1215" s="316"/>
      <c r="L1215" s="229"/>
      <c r="M1215" s="320" t="s">
        <v>1</v>
      </c>
      <c r="N1215" s="321" t="s">
        <v>42</v>
      </c>
      <c r="O1215" s="322">
        <v>0.548</v>
      </c>
      <c r="P1215" s="322">
        <f>O1215*H1215</f>
        <v>2.192</v>
      </c>
      <c r="Q1215" s="322">
        <v>0</v>
      </c>
      <c r="R1215" s="322">
        <f>Q1215*H1215</f>
        <v>0</v>
      </c>
      <c r="S1215" s="322">
        <v>0.01933</v>
      </c>
      <c r="T1215" s="454">
        <f>S1215*H1215</f>
        <v>0.07732</v>
      </c>
      <c r="U1215" s="222"/>
      <c r="V1215" s="222"/>
      <c r="W1215" s="222"/>
      <c r="X1215" s="222"/>
      <c r="Y1215" s="222"/>
      <c r="Z1215" s="222"/>
      <c r="AA1215" s="222"/>
      <c r="AB1215" s="222"/>
      <c r="AC1215" s="222"/>
      <c r="AD1215" s="222"/>
      <c r="AE1215" s="222"/>
      <c r="AR1215" s="324" t="s">
        <v>212</v>
      </c>
      <c r="AT1215" s="324" t="s">
        <v>148</v>
      </c>
      <c r="AU1215" s="324" t="s">
        <v>83</v>
      </c>
      <c r="AY1215" s="214" t="s">
        <v>146</v>
      </c>
      <c r="BE1215" s="325">
        <f>IF(N1215="základní",J1215,0)</f>
        <v>0</v>
      </c>
      <c r="BF1215" s="325">
        <f>IF(N1215="snížená",J1215,0)</f>
        <v>0</v>
      </c>
      <c r="BG1215" s="325">
        <f>IF(N1215="zákl. přenesená",J1215,0)</f>
        <v>0</v>
      </c>
      <c r="BH1215" s="325">
        <f>IF(N1215="sníž. přenesená",J1215,0)</f>
        <v>0</v>
      </c>
      <c r="BI1215" s="325">
        <f>IF(N1215="nulová",J1215,0)</f>
        <v>0</v>
      </c>
      <c r="BJ1215" s="214" t="s">
        <v>81</v>
      </c>
      <c r="BK1215" s="325">
        <f>ROUND(I1215*H1215,2)</f>
        <v>0</v>
      </c>
      <c r="BL1215" s="214" t="s">
        <v>212</v>
      </c>
      <c r="BM1215" s="324" t="s">
        <v>865</v>
      </c>
    </row>
    <row r="1216" spans="2:51" s="326" customFormat="1" ht="12">
      <c r="B1216" s="327"/>
      <c r="C1216" s="426"/>
      <c r="D1216" s="376" t="s">
        <v>155</v>
      </c>
      <c r="E1216" s="427" t="s">
        <v>1</v>
      </c>
      <c r="F1216" s="345" t="s">
        <v>354</v>
      </c>
      <c r="G1216" s="426"/>
      <c r="H1216" s="427" t="s">
        <v>1</v>
      </c>
      <c r="I1216" s="505"/>
      <c r="J1216" s="426"/>
      <c r="L1216" s="331"/>
      <c r="M1216" s="332"/>
      <c r="N1216" s="333"/>
      <c r="O1216" s="333"/>
      <c r="P1216" s="333"/>
      <c r="Q1216" s="333"/>
      <c r="R1216" s="333"/>
      <c r="S1216" s="333"/>
      <c r="T1216" s="334"/>
      <c r="AT1216" s="329" t="s">
        <v>155</v>
      </c>
      <c r="AU1216" s="329" t="s">
        <v>83</v>
      </c>
      <c r="AV1216" s="326" t="s">
        <v>81</v>
      </c>
      <c r="AW1216" s="326" t="s">
        <v>34</v>
      </c>
      <c r="AX1216" s="326" t="s">
        <v>76</v>
      </c>
      <c r="AY1216" s="329" t="s">
        <v>146</v>
      </c>
    </row>
    <row r="1217" spans="2:51" s="335" customFormat="1" ht="12">
      <c r="B1217" s="336"/>
      <c r="C1217" s="390"/>
      <c r="D1217" s="376" t="s">
        <v>155</v>
      </c>
      <c r="E1217" s="391" t="s">
        <v>1</v>
      </c>
      <c r="F1217" s="346" t="s">
        <v>866</v>
      </c>
      <c r="G1217" s="390"/>
      <c r="H1217" s="392">
        <v>2</v>
      </c>
      <c r="I1217" s="503"/>
      <c r="J1217" s="390"/>
      <c r="L1217" s="340"/>
      <c r="M1217" s="341"/>
      <c r="N1217" s="342"/>
      <c r="O1217" s="342"/>
      <c r="P1217" s="342"/>
      <c r="Q1217" s="342"/>
      <c r="R1217" s="342"/>
      <c r="S1217" s="342"/>
      <c r="T1217" s="343"/>
      <c r="AT1217" s="337" t="s">
        <v>155</v>
      </c>
      <c r="AU1217" s="337" t="s">
        <v>83</v>
      </c>
      <c r="AV1217" s="335" t="s">
        <v>83</v>
      </c>
      <c r="AW1217" s="335" t="s">
        <v>34</v>
      </c>
      <c r="AX1217" s="335" t="s">
        <v>76</v>
      </c>
      <c r="AY1217" s="337" t="s">
        <v>146</v>
      </c>
    </row>
    <row r="1218" spans="2:51" s="326" customFormat="1" ht="12">
      <c r="B1218" s="327"/>
      <c r="C1218" s="426"/>
      <c r="D1218" s="376" t="s">
        <v>155</v>
      </c>
      <c r="E1218" s="427" t="s">
        <v>1</v>
      </c>
      <c r="F1218" s="345" t="s">
        <v>641</v>
      </c>
      <c r="G1218" s="426"/>
      <c r="H1218" s="427" t="s">
        <v>1</v>
      </c>
      <c r="I1218" s="505"/>
      <c r="J1218" s="426"/>
      <c r="L1218" s="331"/>
      <c r="M1218" s="332"/>
      <c r="N1218" s="333"/>
      <c r="O1218" s="333"/>
      <c r="P1218" s="333"/>
      <c r="Q1218" s="333"/>
      <c r="R1218" s="333"/>
      <c r="S1218" s="333"/>
      <c r="T1218" s="334"/>
      <c r="AT1218" s="329" t="s">
        <v>155</v>
      </c>
      <c r="AU1218" s="329" t="s">
        <v>83</v>
      </c>
      <c r="AV1218" s="326" t="s">
        <v>81</v>
      </c>
      <c r="AW1218" s="326" t="s">
        <v>34</v>
      </c>
      <c r="AX1218" s="326" t="s">
        <v>76</v>
      </c>
      <c r="AY1218" s="329" t="s">
        <v>146</v>
      </c>
    </row>
    <row r="1219" spans="2:51" s="335" customFormat="1" ht="12">
      <c r="B1219" s="336"/>
      <c r="C1219" s="390"/>
      <c r="D1219" s="376" t="s">
        <v>155</v>
      </c>
      <c r="E1219" s="391" t="s">
        <v>1</v>
      </c>
      <c r="F1219" s="346" t="s">
        <v>866</v>
      </c>
      <c r="G1219" s="390"/>
      <c r="H1219" s="392">
        <v>2</v>
      </c>
      <c r="I1219" s="503"/>
      <c r="J1219" s="390"/>
      <c r="L1219" s="340"/>
      <c r="M1219" s="341"/>
      <c r="N1219" s="342"/>
      <c r="O1219" s="342"/>
      <c r="P1219" s="342"/>
      <c r="Q1219" s="342"/>
      <c r="R1219" s="342"/>
      <c r="S1219" s="342"/>
      <c r="T1219" s="343"/>
      <c r="AT1219" s="337" t="s">
        <v>155</v>
      </c>
      <c r="AU1219" s="337" t="s">
        <v>83</v>
      </c>
      <c r="AV1219" s="335" t="s">
        <v>83</v>
      </c>
      <c r="AW1219" s="335" t="s">
        <v>34</v>
      </c>
      <c r="AX1219" s="335" t="s">
        <v>76</v>
      </c>
      <c r="AY1219" s="337" t="s">
        <v>146</v>
      </c>
    </row>
    <row r="1220" spans="2:51" s="347" customFormat="1" ht="12">
      <c r="B1220" s="348"/>
      <c r="C1220" s="374"/>
      <c r="D1220" s="376" t="s">
        <v>155</v>
      </c>
      <c r="E1220" s="377" t="s">
        <v>1</v>
      </c>
      <c r="F1220" s="350" t="s">
        <v>157</v>
      </c>
      <c r="G1220" s="374"/>
      <c r="H1220" s="378">
        <v>4</v>
      </c>
      <c r="I1220" s="502"/>
      <c r="J1220" s="374"/>
      <c r="L1220" s="352"/>
      <c r="M1220" s="353"/>
      <c r="N1220" s="354"/>
      <c r="O1220" s="354"/>
      <c r="P1220" s="354"/>
      <c r="Q1220" s="354"/>
      <c r="R1220" s="354"/>
      <c r="S1220" s="354"/>
      <c r="T1220" s="355"/>
      <c r="AT1220" s="349" t="s">
        <v>155</v>
      </c>
      <c r="AU1220" s="349" t="s">
        <v>83</v>
      </c>
      <c r="AV1220" s="347" t="s">
        <v>153</v>
      </c>
      <c r="AW1220" s="347" t="s">
        <v>34</v>
      </c>
      <c r="AX1220" s="347" t="s">
        <v>81</v>
      </c>
      <c r="AY1220" s="349" t="s">
        <v>146</v>
      </c>
    </row>
    <row r="1221" spans="1:65" s="225" customFormat="1" ht="16.5" customHeight="1">
      <c r="A1221" s="222"/>
      <c r="B1221" s="223"/>
      <c r="C1221" s="357">
        <v>220</v>
      </c>
      <c r="D1221" s="357" t="s">
        <v>148</v>
      </c>
      <c r="E1221" s="397" t="s">
        <v>867</v>
      </c>
      <c r="F1221" s="344" t="s">
        <v>868</v>
      </c>
      <c r="G1221" s="399" t="s">
        <v>864</v>
      </c>
      <c r="H1221" s="400">
        <v>3</v>
      </c>
      <c r="I1221" s="85"/>
      <c r="J1221" s="401">
        <f>ROUND(I1221*H1221,2)</f>
        <v>0</v>
      </c>
      <c r="K1221" s="316"/>
      <c r="L1221" s="229"/>
      <c r="M1221" s="320" t="s">
        <v>1</v>
      </c>
      <c r="N1221" s="321" t="s">
        <v>42</v>
      </c>
      <c r="O1221" s="322">
        <v>0.744</v>
      </c>
      <c r="P1221" s="322">
        <f>O1221*H1221</f>
        <v>2.232</v>
      </c>
      <c r="Q1221" s="322">
        <v>0</v>
      </c>
      <c r="R1221" s="322">
        <f>Q1221*H1221</f>
        <v>0</v>
      </c>
      <c r="S1221" s="322">
        <v>0.03968</v>
      </c>
      <c r="T1221" s="454">
        <f>S1221*H1221</f>
        <v>0.11904</v>
      </c>
      <c r="U1221" s="222"/>
      <c r="V1221" s="222"/>
      <c r="W1221" s="222"/>
      <c r="X1221" s="222"/>
      <c r="Y1221" s="222"/>
      <c r="Z1221" s="222"/>
      <c r="AA1221" s="222"/>
      <c r="AB1221" s="222"/>
      <c r="AC1221" s="222"/>
      <c r="AD1221" s="222"/>
      <c r="AE1221" s="222"/>
      <c r="AR1221" s="324" t="s">
        <v>212</v>
      </c>
      <c r="AT1221" s="324" t="s">
        <v>148</v>
      </c>
      <c r="AU1221" s="324" t="s">
        <v>83</v>
      </c>
      <c r="AY1221" s="214" t="s">
        <v>146</v>
      </c>
      <c r="BE1221" s="325">
        <f>IF(N1221="základní",J1221,0)</f>
        <v>0</v>
      </c>
      <c r="BF1221" s="325">
        <f>IF(N1221="snížená",J1221,0)</f>
        <v>0</v>
      </c>
      <c r="BG1221" s="325">
        <f>IF(N1221="zákl. přenesená",J1221,0)</f>
        <v>0</v>
      </c>
      <c r="BH1221" s="325">
        <f>IF(N1221="sníž. přenesená",J1221,0)</f>
        <v>0</v>
      </c>
      <c r="BI1221" s="325">
        <f>IF(N1221="nulová",J1221,0)</f>
        <v>0</v>
      </c>
      <c r="BJ1221" s="214" t="s">
        <v>81</v>
      </c>
      <c r="BK1221" s="325">
        <f>ROUND(I1221*H1221,2)</f>
        <v>0</v>
      </c>
      <c r="BL1221" s="214" t="s">
        <v>212</v>
      </c>
      <c r="BM1221" s="324" t="s">
        <v>869</v>
      </c>
    </row>
    <row r="1222" spans="2:51" s="326" customFormat="1" ht="12">
      <c r="B1222" s="327"/>
      <c r="C1222" s="426"/>
      <c r="D1222" s="376" t="s">
        <v>155</v>
      </c>
      <c r="E1222" s="427" t="s">
        <v>1</v>
      </c>
      <c r="F1222" s="345" t="s">
        <v>354</v>
      </c>
      <c r="G1222" s="426"/>
      <c r="H1222" s="427" t="s">
        <v>1</v>
      </c>
      <c r="I1222" s="505"/>
      <c r="J1222" s="426"/>
      <c r="L1222" s="331"/>
      <c r="M1222" s="332"/>
      <c r="N1222" s="333"/>
      <c r="O1222" s="333"/>
      <c r="P1222" s="333"/>
      <c r="Q1222" s="333"/>
      <c r="R1222" s="333"/>
      <c r="S1222" s="333"/>
      <c r="T1222" s="334"/>
      <c r="AT1222" s="329" t="s">
        <v>155</v>
      </c>
      <c r="AU1222" s="329" t="s">
        <v>83</v>
      </c>
      <c r="AV1222" s="326" t="s">
        <v>81</v>
      </c>
      <c r="AW1222" s="326" t="s">
        <v>34</v>
      </c>
      <c r="AX1222" s="326" t="s">
        <v>76</v>
      </c>
      <c r="AY1222" s="329" t="s">
        <v>146</v>
      </c>
    </row>
    <row r="1223" spans="2:51" s="335" customFormat="1" ht="12">
      <c r="B1223" s="336"/>
      <c r="C1223" s="390"/>
      <c r="D1223" s="376" t="s">
        <v>155</v>
      </c>
      <c r="E1223" s="391" t="s">
        <v>1</v>
      </c>
      <c r="F1223" s="346" t="s">
        <v>866</v>
      </c>
      <c r="G1223" s="390"/>
      <c r="H1223" s="392">
        <v>2</v>
      </c>
      <c r="I1223" s="503"/>
      <c r="J1223" s="390"/>
      <c r="L1223" s="340"/>
      <c r="M1223" s="341"/>
      <c r="N1223" s="342"/>
      <c r="O1223" s="342"/>
      <c r="P1223" s="342"/>
      <c r="Q1223" s="342"/>
      <c r="R1223" s="342"/>
      <c r="S1223" s="342"/>
      <c r="T1223" s="343"/>
      <c r="AT1223" s="337" t="s">
        <v>155</v>
      </c>
      <c r="AU1223" s="337" t="s">
        <v>83</v>
      </c>
      <c r="AV1223" s="335" t="s">
        <v>83</v>
      </c>
      <c r="AW1223" s="335" t="s">
        <v>34</v>
      </c>
      <c r="AX1223" s="335" t="s">
        <v>76</v>
      </c>
      <c r="AY1223" s="337" t="s">
        <v>146</v>
      </c>
    </row>
    <row r="1224" spans="2:51" s="326" customFormat="1" ht="12">
      <c r="B1224" s="327"/>
      <c r="C1224" s="426"/>
      <c r="D1224" s="376" t="s">
        <v>155</v>
      </c>
      <c r="E1224" s="427" t="s">
        <v>1</v>
      </c>
      <c r="F1224" s="345" t="s">
        <v>870</v>
      </c>
      <c r="G1224" s="426"/>
      <c r="H1224" s="427" t="s">
        <v>1</v>
      </c>
      <c r="I1224" s="505"/>
      <c r="J1224" s="426"/>
      <c r="L1224" s="331"/>
      <c r="M1224" s="332"/>
      <c r="N1224" s="333"/>
      <c r="O1224" s="333"/>
      <c r="P1224" s="333"/>
      <c r="Q1224" s="333"/>
      <c r="R1224" s="333"/>
      <c r="S1224" s="333"/>
      <c r="T1224" s="334"/>
      <c r="AT1224" s="329" t="s">
        <v>155</v>
      </c>
      <c r="AU1224" s="329" t="s">
        <v>83</v>
      </c>
      <c r="AV1224" s="326" t="s">
        <v>81</v>
      </c>
      <c r="AW1224" s="326" t="s">
        <v>34</v>
      </c>
      <c r="AX1224" s="326" t="s">
        <v>76</v>
      </c>
      <c r="AY1224" s="329" t="s">
        <v>146</v>
      </c>
    </row>
    <row r="1225" spans="2:51" s="335" customFormat="1" ht="12">
      <c r="B1225" s="336"/>
      <c r="C1225" s="390"/>
      <c r="D1225" s="376" t="s">
        <v>155</v>
      </c>
      <c r="E1225" s="391" t="s">
        <v>1</v>
      </c>
      <c r="F1225" s="346" t="s">
        <v>81</v>
      </c>
      <c r="G1225" s="390"/>
      <c r="H1225" s="392">
        <v>1</v>
      </c>
      <c r="I1225" s="503"/>
      <c r="J1225" s="390"/>
      <c r="L1225" s="340"/>
      <c r="M1225" s="341"/>
      <c r="N1225" s="342"/>
      <c r="O1225" s="342"/>
      <c r="P1225" s="342"/>
      <c r="Q1225" s="342"/>
      <c r="R1225" s="342"/>
      <c r="S1225" s="342"/>
      <c r="T1225" s="343"/>
      <c r="AT1225" s="337" t="s">
        <v>155</v>
      </c>
      <c r="AU1225" s="337" t="s">
        <v>83</v>
      </c>
      <c r="AV1225" s="335" t="s">
        <v>83</v>
      </c>
      <c r="AW1225" s="335" t="s">
        <v>34</v>
      </c>
      <c r="AX1225" s="335" t="s">
        <v>76</v>
      </c>
      <c r="AY1225" s="337" t="s">
        <v>146</v>
      </c>
    </row>
    <row r="1226" spans="2:51" s="347" customFormat="1" ht="12">
      <c r="B1226" s="348"/>
      <c r="C1226" s="374"/>
      <c r="D1226" s="376" t="s">
        <v>155</v>
      </c>
      <c r="E1226" s="377" t="s">
        <v>1</v>
      </c>
      <c r="F1226" s="350" t="s">
        <v>157</v>
      </c>
      <c r="G1226" s="374"/>
      <c r="H1226" s="378">
        <v>3</v>
      </c>
      <c r="I1226" s="502"/>
      <c r="J1226" s="374"/>
      <c r="L1226" s="352"/>
      <c r="M1226" s="353"/>
      <c r="N1226" s="354"/>
      <c r="O1226" s="354"/>
      <c r="P1226" s="354"/>
      <c r="Q1226" s="354"/>
      <c r="R1226" s="354"/>
      <c r="S1226" s="354"/>
      <c r="T1226" s="355"/>
      <c r="AT1226" s="349" t="s">
        <v>155</v>
      </c>
      <c r="AU1226" s="349" t="s">
        <v>83</v>
      </c>
      <c r="AV1226" s="347" t="s">
        <v>153</v>
      </c>
      <c r="AW1226" s="347" t="s">
        <v>34</v>
      </c>
      <c r="AX1226" s="347" t="s">
        <v>81</v>
      </c>
      <c r="AY1226" s="349" t="s">
        <v>146</v>
      </c>
    </row>
    <row r="1227" spans="1:65" s="225" customFormat="1" ht="16.5" customHeight="1">
      <c r="A1227" s="222"/>
      <c r="B1227" s="223"/>
      <c r="C1227" s="357">
        <v>221</v>
      </c>
      <c r="D1227" s="357" t="s">
        <v>148</v>
      </c>
      <c r="E1227" s="397" t="s">
        <v>871</v>
      </c>
      <c r="F1227" s="344" t="s">
        <v>872</v>
      </c>
      <c r="G1227" s="399" t="s">
        <v>864</v>
      </c>
      <c r="H1227" s="400">
        <v>5</v>
      </c>
      <c r="I1227" s="85"/>
      <c r="J1227" s="401">
        <f>ROUND(I1227*H1227,2)</f>
        <v>0</v>
      </c>
      <c r="K1227" s="316"/>
      <c r="L1227" s="229"/>
      <c r="M1227" s="320" t="s">
        <v>1</v>
      </c>
      <c r="N1227" s="321" t="s">
        <v>42</v>
      </c>
      <c r="O1227" s="322">
        <v>0.362</v>
      </c>
      <c r="P1227" s="322">
        <f>O1227*H1227</f>
        <v>1.81</v>
      </c>
      <c r="Q1227" s="322">
        <v>0</v>
      </c>
      <c r="R1227" s="322">
        <f>Q1227*H1227</f>
        <v>0</v>
      </c>
      <c r="S1227" s="322">
        <v>0.01946</v>
      </c>
      <c r="T1227" s="454">
        <f>S1227*H1227</f>
        <v>0.09730000000000001</v>
      </c>
      <c r="U1227" s="222"/>
      <c r="V1227" s="222"/>
      <c r="W1227" s="222"/>
      <c r="X1227" s="222"/>
      <c r="Y1227" s="222"/>
      <c r="Z1227" s="222"/>
      <c r="AA1227" s="222"/>
      <c r="AB1227" s="222"/>
      <c r="AC1227" s="222"/>
      <c r="AD1227" s="222"/>
      <c r="AE1227" s="222"/>
      <c r="AR1227" s="324" t="s">
        <v>212</v>
      </c>
      <c r="AT1227" s="324" t="s">
        <v>148</v>
      </c>
      <c r="AU1227" s="324" t="s">
        <v>83</v>
      </c>
      <c r="AY1227" s="214" t="s">
        <v>146</v>
      </c>
      <c r="BE1227" s="325">
        <f>IF(N1227="základní",J1227,0)</f>
        <v>0</v>
      </c>
      <c r="BF1227" s="325">
        <f>IF(N1227="snížená",J1227,0)</f>
        <v>0</v>
      </c>
      <c r="BG1227" s="325">
        <f>IF(N1227="zákl. přenesená",J1227,0)</f>
        <v>0</v>
      </c>
      <c r="BH1227" s="325">
        <f>IF(N1227="sníž. přenesená",J1227,0)</f>
        <v>0</v>
      </c>
      <c r="BI1227" s="325">
        <f>IF(N1227="nulová",J1227,0)</f>
        <v>0</v>
      </c>
      <c r="BJ1227" s="214" t="s">
        <v>81</v>
      </c>
      <c r="BK1227" s="325">
        <f>ROUND(I1227*H1227,2)</f>
        <v>0</v>
      </c>
      <c r="BL1227" s="214" t="s">
        <v>212</v>
      </c>
      <c r="BM1227" s="324" t="s">
        <v>873</v>
      </c>
    </row>
    <row r="1228" spans="2:51" s="326" customFormat="1" ht="12">
      <c r="B1228" s="327"/>
      <c r="C1228" s="426"/>
      <c r="D1228" s="376" t="s">
        <v>155</v>
      </c>
      <c r="E1228" s="427" t="s">
        <v>1</v>
      </c>
      <c r="F1228" s="345" t="s">
        <v>354</v>
      </c>
      <c r="G1228" s="426"/>
      <c r="H1228" s="427" t="s">
        <v>1</v>
      </c>
      <c r="I1228" s="505"/>
      <c r="J1228" s="426"/>
      <c r="L1228" s="331"/>
      <c r="M1228" s="332"/>
      <c r="N1228" s="333"/>
      <c r="O1228" s="333"/>
      <c r="P1228" s="333"/>
      <c r="Q1228" s="333"/>
      <c r="R1228" s="333"/>
      <c r="S1228" s="333"/>
      <c r="T1228" s="334"/>
      <c r="AT1228" s="329" t="s">
        <v>155</v>
      </c>
      <c r="AU1228" s="329" t="s">
        <v>83</v>
      </c>
      <c r="AV1228" s="326" t="s">
        <v>81</v>
      </c>
      <c r="AW1228" s="326" t="s">
        <v>34</v>
      </c>
      <c r="AX1228" s="326" t="s">
        <v>76</v>
      </c>
      <c r="AY1228" s="329" t="s">
        <v>146</v>
      </c>
    </row>
    <row r="1229" spans="2:51" s="335" customFormat="1" ht="12">
      <c r="B1229" s="336"/>
      <c r="C1229" s="390"/>
      <c r="D1229" s="376" t="s">
        <v>155</v>
      </c>
      <c r="E1229" s="391" t="s">
        <v>1</v>
      </c>
      <c r="F1229" s="346" t="s">
        <v>81</v>
      </c>
      <c r="G1229" s="390"/>
      <c r="H1229" s="392">
        <v>1</v>
      </c>
      <c r="I1229" s="503"/>
      <c r="J1229" s="390"/>
      <c r="L1229" s="340"/>
      <c r="M1229" s="341"/>
      <c r="N1229" s="342"/>
      <c r="O1229" s="342"/>
      <c r="P1229" s="342"/>
      <c r="Q1229" s="342"/>
      <c r="R1229" s="342"/>
      <c r="S1229" s="342"/>
      <c r="T1229" s="343"/>
      <c r="AT1229" s="337" t="s">
        <v>155</v>
      </c>
      <c r="AU1229" s="337" t="s">
        <v>83</v>
      </c>
      <c r="AV1229" s="335" t="s">
        <v>83</v>
      </c>
      <c r="AW1229" s="335" t="s">
        <v>34</v>
      </c>
      <c r="AX1229" s="335" t="s">
        <v>76</v>
      </c>
      <c r="AY1229" s="337" t="s">
        <v>146</v>
      </c>
    </row>
    <row r="1230" spans="2:51" s="326" customFormat="1" ht="12">
      <c r="B1230" s="327"/>
      <c r="C1230" s="426"/>
      <c r="D1230" s="376" t="s">
        <v>155</v>
      </c>
      <c r="E1230" s="427" t="s">
        <v>1</v>
      </c>
      <c r="F1230" s="345" t="s">
        <v>640</v>
      </c>
      <c r="G1230" s="426"/>
      <c r="H1230" s="427" t="s">
        <v>1</v>
      </c>
      <c r="I1230" s="505"/>
      <c r="J1230" s="426"/>
      <c r="L1230" s="331"/>
      <c r="M1230" s="332"/>
      <c r="N1230" s="333"/>
      <c r="O1230" s="333"/>
      <c r="P1230" s="333"/>
      <c r="Q1230" s="333"/>
      <c r="R1230" s="333"/>
      <c r="S1230" s="333"/>
      <c r="T1230" s="334"/>
      <c r="AT1230" s="329" t="s">
        <v>155</v>
      </c>
      <c r="AU1230" s="329" t="s">
        <v>83</v>
      </c>
      <c r="AV1230" s="326" t="s">
        <v>81</v>
      </c>
      <c r="AW1230" s="326" t="s">
        <v>34</v>
      </c>
      <c r="AX1230" s="326" t="s">
        <v>76</v>
      </c>
      <c r="AY1230" s="329" t="s">
        <v>146</v>
      </c>
    </row>
    <row r="1231" spans="2:51" s="335" customFormat="1" ht="12">
      <c r="B1231" s="336"/>
      <c r="C1231" s="390"/>
      <c r="D1231" s="376" t="s">
        <v>155</v>
      </c>
      <c r="E1231" s="391" t="s">
        <v>1</v>
      </c>
      <c r="F1231" s="346" t="s">
        <v>866</v>
      </c>
      <c r="G1231" s="390"/>
      <c r="H1231" s="392">
        <v>2</v>
      </c>
      <c r="I1231" s="503"/>
      <c r="J1231" s="390"/>
      <c r="L1231" s="340"/>
      <c r="M1231" s="341"/>
      <c r="N1231" s="342"/>
      <c r="O1231" s="342"/>
      <c r="P1231" s="342"/>
      <c r="Q1231" s="342"/>
      <c r="R1231" s="342"/>
      <c r="S1231" s="342"/>
      <c r="T1231" s="343"/>
      <c r="AT1231" s="337" t="s">
        <v>155</v>
      </c>
      <c r="AU1231" s="337" t="s">
        <v>83</v>
      </c>
      <c r="AV1231" s="335" t="s">
        <v>83</v>
      </c>
      <c r="AW1231" s="335" t="s">
        <v>34</v>
      </c>
      <c r="AX1231" s="335" t="s">
        <v>76</v>
      </c>
      <c r="AY1231" s="337" t="s">
        <v>146</v>
      </c>
    </row>
    <row r="1232" spans="2:51" s="326" customFormat="1" ht="12">
      <c r="B1232" s="327"/>
      <c r="C1232" s="426"/>
      <c r="D1232" s="376" t="s">
        <v>155</v>
      </c>
      <c r="E1232" s="427" t="s">
        <v>1</v>
      </c>
      <c r="F1232" s="345" t="s">
        <v>870</v>
      </c>
      <c r="G1232" s="426"/>
      <c r="H1232" s="427" t="s">
        <v>1</v>
      </c>
      <c r="I1232" s="505"/>
      <c r="J1232" s="426"/>
      <c r="L1232" s="331"/>
      <c r="M1232" s="332"/>
      <c r="N1232" s="333"/>
      <c r="O1232" s="333"/>
      <c r="P1232" s="333"/>
      <c r="Q1232" s="333"/>
      <c r="R1232" s="333"/>
      <c r="S1232" s="333"/>
      <c r="T1232" s="334"/>
      <c r="AT1232" s="329" t="s">
        <v>155</v>
      </c>
      <c r="AU1232" s="329" t="s">
        <v>83</v>
      </c>
      <c r="AV1232" s="326" t="s">
        <v>81</v>
      </c>
      <c r="AW1232" s="326" t="s">
        <v>34</v>
      </c>
      <c r="AX1232" s="326" t="s">
        <v>76</v>
      </c>
      <c r="AY1232" s="329" t="s">
        <v>146</v>
      </c>
    </row>
    <row r="1233" spans="2:51" s="335" customFormat="1" ht="12">
      <c r="B1233" s="336"/>
      <c r="C1233" s="390"/>
      <c r="D1233" s="376" t="s">
        <v>155</v>
      </c>
      <c r="E1233" s="391" t="s">
        <v>1</v>
      </c>
      <c r="F1233" s="346" t="s">
        <v>81</v>
      </c>
      <c r="G1233" s="390"/>
      <c r="H1233" s="392">
        <v>1</v>
      </c>
      <c r="I1233" s="503"/>
      <c r="J1233" s="390"/>
      <c r="L1233" s="340"/>
      <c r="M1233" s="341"/>
      <c r="N1233" s="342"/>
      <c r="O1233" s="342"/>
      <c r="P1233" s="342"/>
      <c r="Q1233" s="342"/>
      <c r="R1233" s="342"/>
      <c r="S1233" s="342"/>
      <c r="T1233" s="343"/>
      <c r="AT1233" s="337" t="s">
        <v>155</v>
      </c>
      <c r="AU1233" s="337" t="s">
        <v>83</v>
      </c>
      <c r="AV1233" s="335" t="s">
        <v>83</v>
      </c>
      <c r="AW1233" s="335" t="s">
        <v>34</v>
      </c>
      <c r="AX1233" s="335" t="s">
        <v>76</v>
      </c>
      <c r="AY1233" s="337" t="s">
        <v>146</v>
      </c>
    </row>
    <row r="1234" spans="2:51" s="326" customFormat="1" ht="12">
      <c r="B1234" s="327"/>
      <c r="C1234" s="426"/>
      <c r="D1234" s="376" t="s">
        <v>155</v>
      </c>
      <c r="E1234" s="427" t="s">
        <v>1</v>
      </c>
      <c r="F1234" s="345" t="s">
        <v>874</v>
      </c>
      <c r="G1234" s="426"/>
      <c r="H1234" s="427" t="s">
        <v>1</v>
      </c>
      <c r="I1234" s="505"/>
      <c r="J1234" s="426"/>
      <c r="L1234" s="331"/>
      <c r="M1234" s="332"/>
      <c r="N1234" s="333"/>
      <c r="O1234" s="333"/>
      <c r="P1234" s="333"/>
      <c r="Q1234" s="333"/>
      <c r="R1234" s="333"/>
      <c r="S1234" s="333"/>
      <c r="T1234" s="334"/>
      <c r="AT1234" s="329" t="s">
        <v>155</v>
      </c>
      <c r="AU1234" s="329" t="s">
        <v>83</v>
      </c>
      <c r="AV1234" s="326" t="s">
        <v>81</v>
      </c>
      <c r="AW1234" s="326" t="s">
        <v>34</v>
      </c>
      <c r="AX1234" s="326" t="s">
        <v>76</v>
      </c>
      <c r="AY1234" s="329" t="s">
        <v>146</v>
      </c>
    </row>
    <row r="1235" spans="2:51" s="335" customFormat="1" ht="12">
      <c r="B1235" s="336"/>
      <c r="C1235" s="390"/>
      <c r="D1235" s="376" t="s">
        <v>155</v>
      </c>
      <c r="E1235" s="391" t="s">
        <v>1</v>
      </c>
      <c r="F1235" s="346" t="s">
        <v>81</v>
      </c>
      <c r="G1235" s="390"/>
      <c r="H1235" s="392">
        <v>1</v>
      </c>
      <c r="I1235" s="503"/>
      <c r="J1235" s="390"/>
      <c r="L1235" s="340"/>
      <c r="M1235" s="341"/>
      <c r="N1235" s="342"/>
      <c r="O1235" s="342"/>
      <c r="P1235" s="342"/>
      <c r="Q1235" s="342"/>
      <c r="R1235" s="342"/>
      <c r="S1235" s="342"/>
      <c r="T1235" s="343"/>
      <c r="AT1235" s="337" t="s">
        <v>155</v>
      </c>
      <c r="AU1235" s="337" t="s">
        <v>83</v>
      </c>
      <c r="AV1235" s="335" t="s">
        <v>83</v>
      </c>
      <c r="AW1235" s="335" t="s">
        <v>34</v>
      </c>
      <c r="AX1235" s="335" t="s">
        <v>76</v>
      </c>
      <c r="AY1235" s="337" t="s">
        <v>146</v>
      </c>
    </row>
    <row r="1236" spans="2:51" s="347" customFormat="1" ht="12">
      <c r="B1236" s="348"/>
      <c r="C1236" s="374"/>
      <c r="D1236" s="376" t="s">
        <v>155</v>
      </c>
      <c r="E1236" s="377" t="s">
        <v>1</v>
      </c>
      <c r="F1236" s="350" t="s">
        <v>157</v>
      </c>
      <c r="G1236" s="374"/>
      <c r="H1236" s="378">
        <v>5</v>
      </c>
      <c r="I1236" s="502"/>
      <c r="J1236" s="374"/>
      <c r="L1236" s="352"/>
      <c r="M1236" s="353"/>
      <c r="N1236" s="354"/>
      <c r="O1236" s="354"/>
      <c r="P1236" s="354"/>
      <c r="Q1236" s="354"/>
      <c r="R1236" s="354"/>
      <c r="S1236" s="354"/>
      <c r="T1236" s="355"/>
      <c r="AT1236" s="349" t="s">
        <v>155</v>
      </c>
      <c r="AU1236" s="349" t="s">
        <v>83</v>
      </c>
      <c r="AV1236" s="347" t="s">
        <v>153</v>
      </c>
      <c r="AW1236" s="347" t="s">
        <v>34</v>
      </c>
      <c r="AX1236" s="347" t="s">
        <v>81</v>
      </c>
      <c r="AY1236" s="349" t="s">
        <v>146</v>
      </c>
    </row>
    <row r="1237" spans="1:65" s="225" customFormat="1" ht="21.75" customHeight="1">
      <c r="A1237" s="222"/>
      <c r="B1237" s="223"/>
      <c r="C1237" s="357">
        <v>222</v>
      </c>
      <c r="D1237" s="357" t="s">
        <v>148</v>
      </c>
      <c r="E1237" s="397" t="s">
        <v>875</v>
      </c>
      <c r="F1237" s="344" t="s">
        <v>876</v>
      </c>
      <c r="G1237" s="399" t="s">
        <v>864</v>
      </c>
      <c r="H1237" s="400">
        <v>3</v>
      </c>
      <c r="I1237" s="85"/>
      <c r="J1237" s="401">
        <f>ROUND(I1237*H1237,2)</f>
        <v>0</v>
      </c>
      <c r="K1237" s="316"/>
      <c r="L1237" s="229"/>
      <c r="M1237" s="320" t="s">
        <v>1</v>
      </c>
      <c r="N1237" s="321" t="s">
        <v>42</v>
      </c>
      <c r="O1237" s="322">
        <v>0.383</v>
      </c>
      <c r="P1237" s="322">
        <f>O1237*H1237</f>
        <v>1.149</v>
      </c>
      <c r="Q1237" s="322">
        <v>0</v>
      </c>
      <c r="R1237" s="322">
        <f>Q1237*H1237</f>
        <v>0</v>
      </c>
      <c r="S1237" s="322">
        <v>0.0245</v>
      </c>
      <c r="T1237" s="422">
        <f>S1237*H1237</f>
        <v>0.07350000000000001</v>
      </c>
      <c r="U1237" s="222"/>
      <c r="V1237" s="222"/>
      <c r="W1237" s="222"/>
      <c r="X1237" s="222"/>
      <c r="Y1237" s="222"/>
      <c r="Z1237" s="222"/>
      <c r="AA1237" s="222"/>
      <c r="AB1237" s="222"/>
      <c r="AC1237" s="222"/>
      <c r="AD1237" s="222"/>
      <c r="AE1237" s="222"/>
      <c r="AR1237" s="324" t="s">
        <v>212</v>
      </c>
      <c r="AT1237" s="324" t="s">
        <v>148</v>
      </c>
      <c r="AU1237" s="324" t="s">
        <v>83</v>
      </c>
      <c r="AY1237" s="214" t="s">
        <v>146</v>
      </c>
      <c r="BE1237" s="325">
        <f>IF(N1237="základní",J1237,0)</f>
        <v>0</v>
      </c>
      <c r="BF1237" s="325">
        <f>IF(N1237="snížená",J1237,0)</f>
        <v>0</v>
      </c>
      <c r="BG1237" s="325">
        <f>IF(N1237="zákl. přenesená",J1237,0)</f>
        <v>0</v>
      </c>
      <c r="BH1237" s="325">
        <f>IF(N1237="sníž. přenesená",J1237,0)</f>
        <v>0</v>
      </c>
      <c r="BI1237" s="325">
        <f>IF(N1237="nulová",J1237,0)</f>
        <v>0</v>
      </c>
      <c r="BJ1237" s="214" t="s">
        <v>81</v>
      </c>
      <c r="BK1237" s="325">
        <f>ROUND(I1237*H1237,2)</f>
        <v>0</v>
      </c>
      <c r="BL1237" s="214" t="s">
        <v>212</v>
      </c>
      <c r="BM1237" s="324" t="s">
        <v>877</v>
      </c>
    </row>
    <row r="1238" spans="2:51" s="326" customFormat="1" ht="12">
      <c r="B1238" s="327"/>
      <c r="C1238" s="426"/>
      <c r="D1238" s="376" t="s">
        <v>155</v>
      </c>
      <c r="E1238" s="427" t="s">
        <v>1</v>
      </c>
      <c r="F1238" s="345" t="s">
        <v>338</v>
      </c>
      <c r="G1238" s="426"/>
      <c r="H1238" s="427" t="s">
        <v>1</v>
      </c>
      <c r="I1238" s="505"/>
      <c r="J1238" s="426"/>
      <c r="L1238" s="331"/>
      <c r="M1238" s="332"/>
      <c r="N1238" s="333"/>
      <c r="O1238" s="333"/>
      <c r="P1238" s="333"/>
      <c r="Q1238" s="333"/>
      <c r="R1238" s="333"/>
      <c r="S1238" s="333"/>
      <c r="T1238" s="334"/>
      <c r="AT1238" s="329" t="s">
        <v>155</v>
      </c>
      <c r="AU1238" s="329" t="s">
        <v>83</v>
      </c>
      <c r="AV1238" s="326" t="s">
        <v>81</v>
      </c>
      <c r="AW1238" s="326" t="s">
        <v>34</v>
      </c>
      <c r="AX1238" s="326" t="s">
        <v>76</v>
      </c>
      <c r="AY1238" s="329" t="s">
        <v>146</v>
      </c>
    </row>
    <row r="1239" spans="2:51" s="335" customFormat="1" ht="12">
      <c r="B1239" s="336"/>
      <c r="C1239" s="390"/>
      <c r="D1239" s="376" t="s">
        <v>155</v>
      </c>
      <c r="E1239" s="391" t="s">
        <v>1</v>
      </c>
      <c r="F1239" s="346" t="s">
        <v>866</v>
      </c>
      <c r="G1239" s="390"/>
      <c r="H1239" s="392">
        <v>2</v>
      </c>
      <c r="I1239" s="503"/>
      <c r="J1239" s="390"/>
      <c r="L1239" s="340"/>
      <c r="M1239" s="341"/>
      <c r="N1239" s="342"/>
      <c r="O1239" s="342"/>
      <c r="P1239" s="342"/>
      <c r="Q1239" s="342"/>
      <c r="R1239" s="342"/>
      <c r="S1239" s="342"/>
      <c r="T1239" s="343"/>
      <c r="AT1239" s="337" t="s">
        <v>155</v>
      </c>
      <c r="AU1239" s="337" t="s">
        <v>83</v>
      </c>
      <c r="AV1239" s="335" t="s">
        <v>83</v>
      </c>
      <c r="AW1239" s="335" t="s">
        <v>34</v>
      </c>
      <c r="AX1239" s="335" t="s">
        <v>76</v>
      </c>
      <c r="AY1239" s="337" t="s">
        <v>146</v>
      </c>
    </row>
    <row r="1240" spans="2:51" s="326" customFormat="1" ht="12">
      <c r="B1240" s="327"/>
      <c r="C1240" s="426"/>
      <c r="D1240" s="376" t="s">
        <v>155</v>
      </c>
      <c r="E1240" s="427" t="s">
        <v>1</v>
      </c>
      <c r="F1240" s="345" t="s">
        <v>878</v>
      </c>
      <c r="G1240" s="426"/>
      <c r="H1240" s="427" t="s">
        <v>1</v>
      </c>
      <c r="I1240" s="505"/>
      <c r="J1240" s="426"/>
      <c r="L1240" s="331"/>
      <c r="M1240" s="332"/>
      <c r="N1240" s="333"/>
      <c r="O1240" s="333"/>
      <c r="P1240" s="333"/>
      <c r="Q1240" s="333"/>
      <c r="R1240" s="333"/>
      <c r="S1240" s="333"/>
      <c r="T1240" s="334"/>
      <c r="AT1240" s="329" t="s">
        <v>155</v>
      </c>
      <c r="AU1240" s="329" t="s">
        <v>83</v>
      </c>
      <c r="AV1240" s="326" t="s">
        <v>81</v>
      </c>
      <c r="AW1240" s="326" t="s">
        <v>34</v>
      </c>
      <c r="AX1240" s="326" t="s">
        <v>76</v>
      </c>
      <c r="AY1240" s="329" t="s">
        <v>146</v>
      </c>
    </row>
    <row r="1241" spans="2:51" s="335" customFormat="1" ht="12">
      <c r="B1241" s="336"/>
      <c r="C1241" s="390"/>
      <c r="D1241" s="376" t="s">
        <v>155</v>
      </c>
      <c r="E1241" s="391" t="s">
        <v>1</v>
      </c>
      <c r="F1241" s="346" t="s">
        <v>81</v>
      </c>
      <c r="G1241" s="390"/>
      <c r="H1241" s="392">
        <v>1</v>
      </c>
      <c r="I1241" s="503"/>
      <c r="J1241" s="390"/>
      <c r="L1241" s="340"/>
      <c r="M1241" s="341"/>
      <c r="N1241" s="342"/>
      <c r="O1241" s="342"/>
      <c r="P1241" s="342"/>
      <c r="Q1241" s="342"/>
      <c r="R1241" s="342"/>
      <c r="S1241" s="342"/>
      <c r="T1241" s="343"/>
      <c r="AT1241" s="337" t="s">
        <v>155</v>
      </c>
      <c r="AU1241" s="337" t="s">
        <v>83</v>
      </c>
      <c r="AV1241" s="335" t="s">
        <v>83</v>
      </c>
      <c r="AW1241" s="335" t="s">
        <v>34</v>
      </c>
      <c r="AX1241" s="335" t="s">
        <v>76</v>
      </c>
      <c r="AY1241" s="337" t="s">
        <v>146</v>
      </c>
    </row>
    <row r="1242" spans="2:51" s="347" customFormat="1" ht="12">
      <c r="B1242" s="348"/>
      <c r="C1242" s="374"/>
      <c r="D1242" s="376" t="s">
        <v>155</v>
      </c>
      <c r="E1242" s="377" t="s">
        <v>1</v>
      </c>
      <c r="F1242" s="350" t="s">
        <v>157</v>
      </c>
      <c r="G1242" s="374"/>
      <c r="H1242" s="378">
        <v>3</v>
      </c>
      <c r="I1242" s="502"/>
      <c r="J1242" s="374"/>
      <c r="L1242" s="352"/>
      <c r="M1242" s="353"/>
      <c r="N1242" s="354"/>
      <c r="O1242" s="354"/>
      <c r="P1242" s="354"/>
      <c r="Q1242" s="354"/>
      <c r="R1242" s="354"/>
      <c r="S1242" s="354"/>
      <c r="T1242" s="355"/>
      <c r="AT1242" s="349" t="s">
        <v>155</v>
      </c>
      <c r="AU1242" s="349" t="s">
        <v>83</v>
      </c>
      <c r="AV1242" s="347" t="s">
        <v>153</v>
      </c>
      <c r="AW1242" s="347" t="s">
        <v>34</v>
      </c>
      <c r="AX1242" s="347" t="s">
        <v>81</v>
      </c>
      <c r="AY1242" s="349" t="s">
        <v>146</v>
      </c>
    </row>
    <row r="1243" spans="2:63" s="297" customFormat="1" ht="22.9" customHeight="1">
      <c r="B1243" s="298"/>
      <c r="C1243" s="443"/>
      <c r="D1243" s="445" t="s">
        <v>75</v>
      </c>
      <c r="E1243" s="446" t="s">
        <v>879</v>
      </c>
      <c r="F1243" s="446" t="s">
        <v>880</v>
      </c>
      <c r="G1243" s="443"/>
      <c r="H1243" s="443"/>
      <c r="I1243" s="504"/>
      <c r="J1243" s="447">
        <f>J1244</f>
        <v>0</v>
      </c>
      <c r="L1243" s="302"/>
      <c r="M1243" s="303"/>
      <c r="N1243" s="304"/>
      <c r="O1243" s="304"/>
      <c r="P1243" s="305">
        <f>P1244</f>
        <v>88.3728</v>
      </c>
      <c r="Q1243" s="304"/>
      <c r="R1243" s="305">
        <f>R1244</f>
        <v>0</v>
      </c>
      <c r="S1243" s="304"/>
      <c r="T1243" s="313">
        <f>T1244</f>
        <v>1.1016</v>
      </c>
      <c r="AR1243" s="299" t="s">
        <v>83</v>
      </c>
      <c r="AT1243" s="308" t="s">
        <v>75</v>
      </c>
      <c r="AU1243" s="308" t="s">
        <v>81</v>
      </c>
      <c r="AY1243" s="299" t="s">
        <v>146</v>
      </c>
      <c r="BK1243" s="309">
        <f>BK1244</f>
        <v>0</v>
      </c>
    </row>
    <row r="1244" spans="1:65" s="225" customFormat="1" ht="33" customHeight="1">
      <c r="A1244" s="222"/>
      <c r="B1244" s="223"/>
      <c r="C1244" s="357">
        <v>223</v>
      </c>
      <c r="D1244" s="357" t="s">
        <v>148</v>
      </c>
      <c r="E1244" s="397" t="s">
        <v>881</v>
      </c>
      <c r="F1244" s="344" t="s">
        <v>882</v>
      </c>
      <c r="G1244" s="399" t="s">
        <v>158</v>
      </c>
      <c r="H1244" s="400">
        <f>H1246+H1248</f>
        <v>244.8</v>
      </c>
      <c r="I1244" s="85"/>
      <c r="J1244" s="401">
        <f>ROUND(I1244*H1244,2)</f>
        <v>0</v>
      </c>
      <c r="K1244" s="316"/>
      <c r="L1244" s="229"/>
      <c r="M1244" s="320" t="s">
        <v>1</v>
      </c>
      <c r="N1244" s="321" t="s">
        <v>42</v>
      </c>
      <c r="O1244" s="322">
        <v>0.361</v>
      </c>
      <c r="P1244" s="322">
        <f>O1244*H1244</f>
        <v>88.3728</v>
      </c>
      <c r="Q1244" s="322">
        <v>0</v>
      </c>
      <c r="R1244" s="322">
        <f>Q1244*H1244</f>
        <v>0</v>
      </c>
      <c r="S1244" s="322">
        <v>0.0045</v>
      </c>
      <c r="T1244" s="422">
        <f>S1244*H1244</f>
        <v>1.1016</v>
      </c>
      <c r="U1244" s="222"/>
      <c r="V1244" s="222"/>
      <c r="W1244" s="222"/>
      <c r="X1244" s="222"/>
      <c r="Y1244" s="222"/>
      <c r="Z1244" s="222"/>
      <c r="AA1244" s="222"/>
      <c r="AB1244" s="222"/>
      <c r="AC1244" s="222"/>
      <c r="AD1244" s="222"/>
      <c r="AE1244" s="222"/>
      <c r="AR1244" s="324" t="s">
        <v>212</v>
      </c>
      <c r="AT1244" s="324" t="s">
        <v>148</v>
      </c>
      <c r="AU1244" s="324" t="s">
        <v>83</v>
      </c>
      <c r="AY1244" s="214" t="s">
        <v>146</v>
      </c>
      <c r="BE1244" s="325">
        <f>IF(N1244="základní",J1244,0)</f>
        <v>0</v>
      </c>
      <c r="BF1244" s="325">
        <f>IF(N1244="snížená",J1244,0)</f>
        <v>0</v>
      </c>
      <c r="BG1244" s="325">
        <f>IF(N1244="zákl. přenesená",J1244,0)</f>
        <v>0</v>
      </c>
      <c r="BH1244" s="325">
        <f>IF(N1244="sníž. přenesená",J1244,0)</f>
        <v>0</v>
      </c>
      <c r="BI1244" s="325">
        <f>IF(N1244="nulová",J1244,0)</f>
        <v>0</v>
      </c>
      <c r="BJ1244" s="214" t="s">
        <v>81</v>
      </c>
      <c r="BK1244" s="325">
        <f>ROUND(I1244*H1244,2)</f>
        <v>0</v>
      </c>
      <c r="BL1244" s="214" t="s">
        <v>212</v>
      </c>
      <c r="BM1244" s="324" t="s">
        <v>884</v>
      </c>
    </row>
    <row r="1245" spans="2:51" s="326" customFormat="1" ht="12">
      <c r="B1245" s="327"/>
      <c r="C1245" s="426"/>
      <c r="D1245" s="376" t="s">
        <v>155</v>
      </c>
      <c r="E1245" s="427" t="s">
        <v>1</v>
      </c>
      <c r="F1245" s="345" t="s">
        <v>3654</v>
      </c>
      <c r="G1245" s="426"/>
      <c r="H1245" s="427" t="s">
        <v>1</v>
      </c>
      <c r="I1245" s="505"/>
      <c r="J1245" s="426"/>
      <c r="L1245" s="331"/>
      <c r="M1245" s="332"/>
      <c r="N1245" s="333"/>
      <c r="O1245" s="333"/>
      <c r="P1245" s="333"/>
      <c r="Q1245" s="333"/>
      <c r="R1245" s="333"/>
      <c r="S1245" s="333"/>
      <c r="T1245" s="334"/>
      <c r="AT1245" s="329" t="s">
        <v>155</v>
      </c>
      <c r="AU1245" s="329" t="s">
        <v>83</v>
      </c>
      <c r="AV1245" s="326" t="s">
        <v>81</v>
      </c>
      <c r="AW1245" s="326" t="s">
        <v>34</v>
      </c>
      <c r="AX1245" s="326" t="s">
        <v>76</v>
      </c>
      <c r="AY1245" s="329" t="s">
        <v>146</v>
      </c>
    </row>
    <row r="1246" spans="2:51" s="335" customFormat="1" ht="12">
      <c r="B1246" s="336"/>
      <c r="C1246" s="390"/>
      <c r="D1246" s="376" t="s">
        <v>155</v>
      </c>
      <c r="E1246" s="391" t="s">
        <v>1</v>
      </c>
      <c r="F1246" s="346" t="s">
        <v>3656</v>
      </c>
      <c r="G1246" s="390"/>
      <c r="H1246" s="392">
        <f>8*7</f>
        <v>56</v>
      </c>
      <c r="I1246" s="503"/>
      <c r="J1246" s="390"/>
      <c r="L1246" s="340"/>
      <c r="M1246" s="341"/>
      <c r="N1246" s="342"/>
      <c r="O1246" s="342"/>
      <c r="P1246" s="342"/>
      <c r="Q1246" s="342"/>
      <c r="R1246" s="342"/>
      <c r="S1246" s="342"/>
      <c r="T1246" s="343"/>
      <c r="AT1246" s="337" t="s">
        <v>155</v>
      </c>
      <c r="AU1246" s="337" t="s">
        <v>83</v>
      </c>
      <c r="AV1246" s="335" t="s">
        <v>83</v>
      </c>
      <c r="AW1246" s="335" t="s">
        <v>34</v>
      </c>
      <c r="AX1246" s="335" t="s">
        <v>76</v>
      </c>
      <c r="AY1246" s="337" t="s">
        <v>146</v>
      </c>
    </row>
    <row r="1247" spans="2:51" s="326" customFormat="1" ht="12">
      <c r="B1247" s="327"/>
      <c r="C1247" s="426"/>
      <c r="D1247" s="376" t="s">
        <v>155</v>
      </c>
      <c r="E1247" s="427" t="s">
        <v>1</v>
      </c>
      <c r="F1247" s="345" t="s">
        <v>3655</v>
      </c>
      <c r="G1247" s="426"/>
      <c r="H1247" s="427" t="s">
        <v>1</v>
      </c>
      <c r="I1247" s="505"/>
      <c r="J1247" s="426"/>
      <c r="L1247" s="331"/>
      <c r="M1247" s="332"/>
      <c r="N1247" s="333"/>
      <c r="O1247" s="333"/>
      <c r="P1247" s="333"/>
      <c r="Q1247" s="333"/>
      <c r="R1247" s="333"/>
      <c r="S1247" s="333"/>
      <c r="T1247" s="334"/>
      <c r="AT1247" s="329" t="s">
        <v>155</v>
      </c>
      <c r="AU1247" s="329" t="s">
        <v>83</v>
      </c>
      <c r="AV1247" s="326" t="s">
        <v>81</v>
      </c>
      <c r="AW1247" s="326" t="s">
        <v>34</v>
      </c>
      <c r="AX1247" s="326" t="s">
        <v>76</v>
      </c>
      <c r="AY1247" s="329" t="s">
        <v>146</v>
      </c>
    </row>
    <row r="1248" spans="2:51" s="335" customFormat="1" ht="12">
      <c r="B1248" s="336"/>
      <c r="C1248" s="390"/>
      <c r="D1248" s="376" t="s">
        <v>155</v>
      </c>
      <c r="E1248" s="391" t="s">
        <v>1</v>
      </c>
      <c r="F1248" s="346" t="s">
        <v>3657</v>
      </c>
      <c r="G1248" s="390"/>
      <c r="H1248" s="392">
        <f>23*2+13*3+27.4*2+13*3+10</f>
        <v>188.8</v>
      </c>
      <c r="I1248" s="503"/>
      <c r="J1248" s="390"/>
      <c r="L1248" s="340"/>
      <c r="M1248" s="341"/>
      <c r="N1248" s="342"/>
      <c r="O1248" s="342"/>
      <c r="P1248" s="342"/>
      <c r="Q1248" s="342"/>
      <c r="R1248" s="342"/>
      <c r="S1248" s="342"/>
      <c r="T1248" s="343"/>
      <c r="AT1248" s="337" t="s">
        <v>155</v>
      </c>
      <c r="AU1248" s="337" t="s">
        <v>83</v>
      </c>
      <c r="AV1248" s="335" t="s">
        <v>83</v>
      </c>
      <c r="AW1248" s="335" t="s">
        <v>34</v>
      </c>
      <c r="AX1248" s="335" t="s">
        <v>76</v>
      </c>
      <c r="AY1248" s="337" t="s">
        <v>146</v>
      </c>
    </row>
    <row r="1249" spans="2:63" s="297" customFormat="1" ht="22.9" customHeight="1">
      <c r="B1249" s="298"/>
      <c r="D1249" s="299" t="s">
        <v>75</v>
      </c>
      <c r="E1249" s="310" t="s">
        <v>885</v>
      </c>
      <c r="F1249" s="310" t="s">
        <v>886</v>
      </c>
      <c r="I1249" s="501"/>
      <c r="J1249" s="311">
        <f>SUM(J1250:J1399)</f>
        <v>0</v>
      </c>
      <c r="L1249" s="229"/>
      <c r="M1249" s="303"/>
      <c r="N1249" s="304"/>
      <c r="O1249" s="304"/>
      <c r="P1249" s="305">
        <f>SUM(P1251:P1399)</f>
        <v>2090.5583582140175</v>
      </c>
      <c r="Q1249" s="304"/>
      <c r="R1249" s="305">
        <f>SUM(R1251:R1397)</f>
        <v>61.75917803741999</v>
      </c>
      <c r="S1249" s="304"/>
      <c r="T1249" s="313">
        <f>SUM(T1251:T1397)</f>
        <v>0</v>
      </c>
      <c r="AR1249" s="299" t="s">
        <v>83</v>
      </c>
      <c r="AT1249" s="308" t="s">
        <v>75</v>
      </c>
      <c r="AU1249" s="308" t="s">
        <v>81</v>
      </c>
      <c r="AY1249" s="299" t="s">
        <v>146</v>
      </c>
      <c r="BK1249" s="309">
        <f>SUM(BK1251:BK1399)</f>
        <v>0</v>
      </c>
    </row>
    <row r="1250" spans="1:65" s="225" customFormat="1" ht="64.5" customHeight="1">
      <c r="A1250" s="222"/>
      <c r="B1250" s="223"/>
      <c r="C1250" s="314">
        <v>224</v>
      </c>
      <c r="D1250" s="314"/>
      <c r="E1250" s="315"/>
      <c r="F1250" s="316" t="s">
        <v>3677</v>
      </c>
      <c r="G1250" s="317" t="s">
        <v>883</v>
      </c>
      <c r="H1250" s="318">
        <v>1</v>
      </c>
      <c r="I1250" s="79"/>
      <c r="J1250" s="319">
        <f>ROUND(I1250*H1250,2)</f>
        <v>0</v>
      </c>
      <c r="K1250" s="316"/>
      <c r="L1250" s="229"/>
      <c r="M1250" s="320" t="s">
        <v>1</v>
      </c>
      <c r="N1250" s="321" t="s">
        <v>42</v>
      </c>
      <c r="O1250" s="322">
        <v>0.354</v>
      </c>
      <c r="P1250" s="322">
        <f>O1250*H1250</f>
        <v>0.354</v>
      </c>
      <c r="Q1250" s="322">
        <v>0</v>
      </c>
      <c r="R1250" s="322">
        <f>Q1250*H1250</f>
        <v>0</v>
      </c>
      <c r="S1250" s="322">
        <v>0</v>
      </c>
      <c r="T1250" s="323">
        <f>S1250*H1250</f>
        <v>0</v>
      </c>
      <c r="U1250" s="222"/>
      <c r="V1250" s="222"/>
      <c r="W1250" s="222"/>
      <c r="X1250" s="222"/>
      <c r="Y1250" s="222"/>
      <c r="Z1250" s="222"/>
      <c r="AA1250" s="222"/>
      <c r="AB1250" s="222"/>
      <c r="AC1250" s="222"/>
      <c r="AD1250" s="222"/>
      <c r="AE1250" s="222"/>
      <c r="AR1250" s="324" t="s">
        <v>212</v>
      </c>
      <c r="AT1250" s="324" t="s">
        <v>148</v>
      </c>
      <c r="AU1250" s="324" t="s">
        <v>83</v>
      </c>
      <c r="AY1250" s="214" t="s">
        <v>146</v>
      </c>
      <c r="BE1250" s="325">
        <f>IF(N1250="základní",J1250,0)</f>
        <v>0</v>
      </c>
      <c r="BF1250" s="325">
        <f>IF(N1250="snížená",J1250,0)</f>
        <v>0</v>
      </c>
      <c r="BG1250" s="325">
        <f>IF(N1250="zákl. přenesená",J1250,0)</f>
        <v>0</v>
      </c>
      <c r="BH1250" s="325">
        <f>IF(N1250="sníž. přenesená",J1250,0)</f>
        <v>0</v>
      </c>
      <c r="BI1250" s="325">
        <f>IF(N1250="nulová",J1250,0)</f>
        <v>0</v>
      </c>
      <c r="BJ1250" s="214" t="s">
        <v>81</v>
      </c>
      <c r="BK1250" s="325">
        <f>ROUND(I1250*H1250,2)</f>
        <v>0</v>
      </c>
      <c r="BL1250" s="214" t="s">
        <v>212</v>
      </c>
      <c r="BM1250" s="324" t="s">
        <v>889</v>
      </c>
    </row>
    <row r="1251" spans="1:65" s="225" customFormat="1" ht="24.2" customHeight="1">
      <c r="A1251" s="222"/>
      <c r="B1251" s="223"/>
      <c r="C1251" s="314">
        <v>225</v>
      </c>
      <c r="D1251" s="314" t="s">
        <v>148</v>
      </c>
      <c r="E1251" s="315" t="s">
        <v>887</v>
      </c>
      <c r="F1251" s="316" t="s">
        <v>888</v>
      </c>
      <c r="G1251" s="317" t="s">
        <v>158</v>
      </c>
      <c r="H1251" s="318">
        <f>H1258</f>
        <v>336</v>
      </c>
      <c r="I1251" s="79"/>
      <c r="J1251" s="319">
        <f>ROUND(I1251*H1251,2)</f>
        <v>0</v>
      </c>
      <c r="K1251" s="316"/>
      <c r="L1251" s="229"/>
      <c r="M1251" s="320" t="s">
        <v>1</v>
      </c>
      <c r="N1251" s="321" t="s">
        <v>42</v>
      </c>
      <c r="O1251" s="322">
        <v>0.354</v>
      </c>
      <c r="P1251" s="322">
        <f>O1251*H1251</f>
        <v>118.94399999999999</v>
      </c>
      <c r="Q1251" s="322">
        <v>0</v>
      </c>
      <c r="R1251" s="322">
        <f>Q1251*H1251</f>
        <v>0</v>
      </c>
      <c r="S1251" s="322">
        <v>0</v>
      </c>
      <c r="T1251" s="323">
        <f>S1251*H1251</f>
        <v>0</v>
      </c>
      <c r="U1251" s="222"/>
      <c r="V1251" s="222"/>
      <c r="W1251" s="222"/>
      <c r="X1251" s="222"/>
      <c r="Y1251" s="222"/>
      <c r="Z1251" s="222"/>
      <c r="AA1251" s="222"/>
      <c r="AB1251" s="222"/>
      <c r="AC1251" s="222"/>
      <c r="AD1251" s="222"/>
      <c r="AE1251" s="222"/>
      <c r="AR1251" s="324" t="s">
        <v>212</v>
      </c>
      <c r="AT1251" s="324" t="s">
        <v>148</v>
      </c>
      <c r="AU1251" s="324" t="s">
        <v>83</v>
      </c>
      <c r="AY1251" s="214" t="s">
        <v>146</v>
      </c>
      <c r="BE1251" s="325">
        <f>IF(N1251="základní",J1251,0)</f>
        <v>0</v>
      </c>
      <c r="BF1251" s="325">
        <f>IF(N1251="snížená",J1251,0)</f>
        <v>0</v>
      </c>
      <c r="BG1251" s="325">
        <f>IF(N1251="zákl. přenesená",J1251,0)</f>
        <v>0</v>
      </c>
      <c r="BH1251" s="325">
        <f>IF(N1251="sníž. přenesená",J1251,0)</f>
        <v>0</v>
      </c>
      <c r="BI1251" s="325">
        <f>IF(N1251="nulová",J1251,0)</f>
        <v>0</v>
      </c>
      <c r="BJ1251" s="214" t="s">
        <v>81</v>
      </c>
      <c r="BK1251" s="325">
        <f>ROUND(I1251*H1251,2)</f>
        <v>0</v>
      </c>
      <c r="BL1251" s="214" t="s">
        <v>212</v>
      </c>
      <c r="BM1251" s="324" t="s">
        <v>889</v>
      </c>
    </row>
    <row r="1252" spans="2:51" s="326" customFormat="1" ht="12">
      <c r="B1252" s="327"/>
      <c r="D1252" s="328" t="s">
        <v>155</v>
      </c>
      <c r="E1252" s="329" t="s">
        <v>1</v>
      </c>
      <c r="F1252" s="330" t="s">
        <v>890</v>
      </c>
      <c r="H1252" s="329" t="s">
        <v>1</v>
      </c>
      <c r="I1252" s="497"/>
      <c r="L1252" s="331"/>
      <c r="M1252" s="332"/>
      <c r="N1252" s="333"/>
      <c r="O1252" s="333"/>
      <c r="P1252" s="333"/>
      <c r="Q1252" s="333"/>
      <c r="R1252" s="333"/>
      <c r="S1252" s="333"/>
      <c r="T1252" s="334"/>
      <c r="AT1252" s="329" t="s">
        <v>155</v>
      </c>
      <c r="AU1252" s="329" t="s">
        <v>83</v>
      </c>
      <c r="AV1252" s="326" t="s">
        <v>81</v>
      </c>
      <c r="AW1252" s="326" t="s">
        <v>34</v>
      </c>
      <c r="AX1252" s="326" t="s">
        <v>76</v>
      </c>
      <c r="AY1252" s="329" t="s">
        <v>146</v>
      </c>
    </row>
    <row r="1253" spans="2:51" s="335" customFormat="1" ht="12">
      <c r="B1253" s="336"/>
      <c r="D1253" s="328" t="s">
        <v>155</v>
      </c>
      <c r="E1253" s="337" t="s">
        <v>1</v>
      </c>
      <c r="F1253" s="338" t="s">
        <v>891</v>
      </c>
      <c r="H1253" s="339">
        <f>50*4.2</f>
        <v>210</v>
      </c>
      <c r="I1253" s="498"/>
      <c r="L1253" s="340"/>
      <c r="M1253" s="341"/>
      <c r="N1253" s="342"/>
      <c r="O1253" s="342"/>
      <c r="P1253" s="342"/>
      <c r="Q1253" s="342"/>
      <c r="R1253" s="342"/>
      <c r="S1253" s="342"/>
      <c r="T1253" s="343"/>
      <c r="AT1253" s="337" t="s">
        <v>155</v>
      </c>
      <c r="AU1253" s="337" t="s">
        <v>83</v>
      </c>
      <c r="AV1253" s="335" t="s">
        <v>83</v>
      </c>
      <c r="AW1253" s="335" t="s">
        <v>34</v>
      </c>
      <c r="AX1253" s="335" t="s">
        <v>76</v>
      </c>
      <c r="AY1253" s="337" t="s">
        <v>146</v>
      </c>
    </row>
    <row r="1254" spans="2:51" s="326" customFormat="1" ht="12">
      <c r="B1254" s="327"/>
      <c r="D1254" s="328" t="s">
        <v>155</v>
      </c>
      <c r="E1254" s="329" t="s">
        <v>1</v>
      </c>
      <c r="F1254" s="330" t="s">
        <v>892</v>
      </c>
      <c r="H1254" s="329" t="s">
        <v>1</v>
      </c>
      <c r="I1254" s="497"/>
      <c r="L1254" s="331"/>
      <c r="M1254" s="332"/>
      <c r="N1254" s="333"/>
      <c r="O1254" s="333"/>
      <c r="P1254" s="333"/>
      <c r="Q1254" s="333"/>
      <c r="R1254" s="333"/>
      <c r="S1254" s="333"/>
      <c r="T1254" s="334"/>
      <c r="AT1254" s="329" t="s">
        <v>155</v>
      </c>
      <c r="AU1254" s="329" t="s">
        <v>83</v>
      </c>
      <c r="AV1254" s="326" t="s">
        <v>81</v>
      </c>
      <c r="AW1254" s="326" t="s">
        <v>34</v>
      </c>
      <c r="AX1254" s="326" t="s">
        <v>76</v>
      </c>
      <c r="AY1254" s="329" t="s">
        <v>146</v>
      </c>
    </row>
    <row r="1255" spans="2:51" s="335" customFormat="1" ht="12">
      <c r="B1255" s="336"/>
      <c r="D1255" s="328" t="s">
        <v>155</v>
      </c>
      <c r="E1255" s="337" t="s">
        <v>1</v>
      </c>
      <c r="F1255" s="338" t="s">
        <v>3126</v>
      </c>
      <c r="H1255" s="339">
        <f>50*2.2</f>
        <v>110.00000000000001</v>
      </c>
      <c r="I1255" s="498"/>
      <c r="L1255" s="340"/>
      <c r="M1255" s="341"/>
      <c r="N1255" s="342"/>
      <c r="O1255" s="342"/>
      <c r="P1255" s="342"/>
      <c r="Q1255" s="342"/>
      <c r="R1255" s="342"/>
      <c r="S1255" s="342"/>
      <c r="T1255" s="343"/>
      <c r="AT1255" s="337" t="s">
        <v>155</v>
      </c>
      <c r="AU1255" s="337" t="s">
        <v>83</v>
      </c>
      <c r="AV1255" s="335" t="s">
        <v>83</v>
      </c>
      <c r="AW1255" s="335" t="s">
        <v>34</v>
      </c>
      <c r="AX1255" s="335" t="s">
        <v>76</v>
      </c>
      <c r="AY1255" s="337" t="s">
        <v>146</v>
      </c>
    </row>
    <row r="1256" spans="2:51" s="326" customFormat="1" ht="12">
      <c r="B1256" s="327"/>
      <c r="D1256" s="328" t="s">
        <v>155</v>
      </c>
      <c r="E1256" s="329" t="s">
        <v>1</v>
      </c>
      <c r="F1256" s="330" t="s">
        <v>893</v>
      </c>
      <c r="H1256" s="329" t="s">
        <v>1</v>
      </c>
      <c r="I1256" s="497"/>
      <c r="L1256" s="331"/>
      <c r="M1256" s="332"/>
      <c r="N1256" s="333"/>
      <c r="O1256" s="333"/>
      <c r="P1256" s="333"/>
      <c r="Q1256" s="333"/>
      <c r="R1256" s="333"/>
      <c r="S1256" s="333"/>
      <c r="T1256" s="334"/>
      <c r="AT1256" s="329" t="s">
        <v>155</v>
      </c>
      <c r="AU1256" s="329" t="s">
        <v>83</v>
      </c>
      <c r="AV1256" s="326" t="s">
        <v>81</v>
      </c>
      <c r="AW1256" s="326" t="s">
        <v>34</v>
      </c>
      <c r="AX1256" s="326" t="s">
        <v>76</v>
      </c>
      <c r="AY1256" s="329" t="s">
        <v>146</v>
      </c>
    </row>
    <row r="1257" spans="2:51" s="335" customFormat="1" ht="12">
      <c r="B1257" s="336"/>
      <c r="D1257" s="328" t="s">
        <v>155</v>
      </c>
      <c r="E1257" s="337" t="s">
        <v>1</v>
      </c>
      <c r="F1257" s="338" t="s">
        <v>894</v>
      </c>
      <c r="H1257" s="339">
        <v>16</v>
      </c>
      <c r="I1257" s="498"/>
      <c r="L1257" s="340"/>
      <c r="M1257" s="341"/>
      <c r="N1257" s="342"/>
      <c r="O1257" s="342"/>
      <c r="P1257" s="342"/>
      <c r="Q1257" s="342"/>
      <c r="R1257" s="342"/>
      <c r="S1257" s="342"/>
      <c r="T1257" s="343"/>
      <c r="AT1257" s="337" t="s">
        <v>155</v>
      </c>
      <c r="AU1257" s="337" t="s">
        <v>83</v>
      </c>
      <c r="AV1257" s="335" t="s">
        <v>83</v>
      </c>
      <c r="AW1257" s="335" t="s">
        <v>34</v>
      </c>
      <c r="AX1257" s="335" t="s">
        <v>76</v>
      </c>
      <c r="AY1257" s="337" t="s">
        <v>146</v>
      </c>
    </row>
    <row r="1258" spans="2:51" s="347" customFormat="1" ht="12">
      <c r="B1258" s="348"/>
      <c r="D1258" s="328" t="s">
        <v>155</v>
      </c>
      <c r="E1258" s="349" t="s">
        <v>1</v>
      </c>
      <c r="F1258" s="356" t="s">
        <v>157</v>
      </c>
      <c r="H1258" s="351">
        <f>SUM(H1253:H1257)</f>
        <v>336</v>
      </c>
      <c r="I1258" s="499"/>
      <c r="L1258" s="352"/>
      <c r="M1258" s="353"/>
      <c r="N1258" s="354"/>
      <c r="O1258" s="354"/>
      <c r="P1258" s="354"/>
      <c r="Q1258" s="354"/>
      <c r="R1258" s="354"/>
      <c r="S1258" s="354"/>
      <c r="T1258" s="355"/>
      <c r="AT1258" s="349" t="s">
        <v>155</v>
      </c>
      <c r="AU1258" s="349" t="s">
        <v>83</v>
      </c>
      <c r="AV1258" s="347" t="s">
        <v>153</v>
      </c>
      <c r="AW1258" s="347" t="s">
        <v>34</v>
      </c>
      <c r="AX1258" s="347" t="s">
        <v>81</v>
      </c>
      <c r="AY1258" s="349" t="s">
        <v>146</v>
      </c>
    </row>
    <row r="1259" spans="1:65" s="225" customFormat="1" ht="21.75" customHeight="1">
      <c r="A1259" s="222"/>
      <c r="B1259" s="223"/>
      <c r="C1259" s="358">
        <v>226</v>
      </c>
      <c r="D1259" s="358" t="s">
        <v>208</v>
      </c>
      <c r="E1259" s="359" t="s">
        <v>895</v>
      </c>
      <c r="F1259" s="364" t="s">
        <v>896</v>
      </c>
      <c r="G1259" s="361" t="s">
        <v>162</v>
      </c>
      <c r="H1259" s="362">
        <f>H1266</f>
        <v>1.776</v>
      </c>
      <c r="I1259" s="80"/>
      <c r="J1259" s="363">
        <f>ROUND(I1259*H1259,2)</f>
        <v>0</v>
      </c>
      <c r="K1259" s="364"/>
      <c r="L1259" s="365"/>
      <c r="M1259" s="366" t="s">
        <v>1</v>
      </c>
      <c r="N1259" s="367" t="s">
        <v>42</v>
      </c>
      <c r="O1259" s="322">
        <v>0</v>
      </c>
      <c r="P1259" s="322">
        <f>O1259*H1259</f>
        <v>0</v>
      </c>
      <c r="Q1259" s="322">
        <v>0.55</v>
      </c>
      <c r="R1259" s="322">
        <f>Q1259*H1259</f>
        <v>0.9768000000000001</v>
      </c>
      <c r="S1259" s="322">
        <v>0</v>
      </c>
      <c r="T1259" s="323">
        <f>S1259*H1259</f>
        <v>0</v>
      </c>
      <c r="U1259" s="222"/>
      <c r="V1259" s="222"/>
      <c r="W1259" s="222"/>
      <c r="X1259" s="222"/>
      <c r="Y1259" s="222"/>
      <c r="Z1259" s="222"/>
      <c r="AA1259" s="222"/>
      <c r="AB1259" s="222"/>
      <c r="AC1259" s="222"/>
      <c r="AD1259" s="222"/>
      <c r="AE1259" s="222"/>
      <c r="AR1259" s="324" t="s">
        <v>298</v>
      </c>
      <c r="AT1259" s="324" t="s">
        <v>208</v>
      </c>
      <c r="AU1259" s="324" t="s">
        <v>83</v>
      </c>
      <c r="AY1259" s="214" t="s">
        <v>146</v>
      </c>
      <c r="BE1259" s="325">
        <f>IF(N1259="základní",J1259,0)</f>
        <v>0</v>
      </c>
      <c r="BF1259" s="325">
        <f>IF(N1259="snížená",J1259,0)</f>
        <v>0</v>
      </c>
      <c r="BG1259" s="325">
        <f>IF(N1259="zákl. přenesená",J1259,0)</f>
        <v>0</v>
      </c>
      <c r="BH1259" s="325">
        <f>IF(N1259="sníž. přenesená",J1259,0)</f>
        <v>0</v>
      </c>
      <c r="BI1259" s="325">
        <f>IF(N1259="nulová",J1259,0)</f>
        <v>0</v>
      </c>
      <c r="BJ1259" s="214" t="s">
        <v>81</v>
      </c>
      <c r="BK1259" s="325">
        <f>ROUND(I1259*H1259,2)</f>
        <v>0</v>
      </c>
      <c r="BL1259" s="214" t="s">
        <v>212</v>
      </c>
      <c r="BM1259" s="324" t="s">
        <v>897</v>
      </c>
    </row>
    <row r="1260" spans="2:51" s="326" customFormat="1" ht="12">
      <c r="B1260" s="327"/>
      <c r="D1260" s="328" t="s">
        <v>155</v>
      </c>
      <c r="E1260" s="329" t="s">
        <v>1</v>
      </c>
      <c r="F1260" s="330" t="s">
        <v>890</v>
      </c>
      <c r="H1260" s="329" t="s">
        <v>1</v>
      </c>
      <c r="I1260" s="497"/>
      <c r="L1260" s="331"/>
      <c r="M1260" s="332"/>
      <c r="N1260" s="333"/>
      <c r="O1260" s="333"/>
      <c r="P1260" s="333"/>
      <c r="Q1260" s="333"/>
      <c r="R1260" s="333"/>
      <c r="S1260" s="333"/>
      <c r="T1260" s="334"/>
      <c r="AT1260" s="329" t="s">
        <v>155</v>
      </c>
      <c r="AU1260" s="329" t="s">
        <v>83</v>
      </c>
      <c r="AV1260" s="326" t="s">
        <v>81</v>
      </c>
      <c r="AW1260" s="326" t="s">
        <v>34</v>
      </c>
      <c r="AX1260" s="326" t="s">
        <v>76</v>
      </c>
      <c r="AY1260" s="329" t="s">
        <v>146</v>
      </c>
    </row>
    <row r="1261" spans="2:51" s="335" customFormat="1" ht="12">
      <c r="B1261" s="336"/>
      <c r="D1261" s="328" t="s">
        <v>155</v>
      </c>
      <c r="E1261" s="337" t="s">
        <v>1</v>
      </c>
      <c r="F1261" s="338" t="s">
        <v>898</v>
      </c>
      <c r="H1261" s="339">
        <f>50*4.2*0.024*0.12</f>
        <v>0.6048</v>
      </c>
      <c r="I1261" s="498"/>
      <c r="L1261" s="340"/>
      <c r="M1261" s="341"/>
      <c r="N1261" s="342"/>
      <c r="O1261" s="342"/>
      <c r="P1261" s="342"/>
      <c r="Q1261" s="342"/>
      <c r="R1261" s="342"/>
      <c r="S1261" s="342"/>
      <c r="T1261" s="343"/>
      <c r="AT1261" s="337" t="s">
        <v>155</v>
      </c>
      <c r="AU1261" s="337" t="s">
        <v>83</v>
      </c>
      <c r="AV1261" s="335" t="s">
        <v>83</v>
      </c>
      <c r="AW1261" s="335" t="s">
        <v>34</v>
      </c>
      <c r="AX1261" s="335" t="s">
        <v>76</v>
      </c>
      <c r="AY1261" s="337" t="s">
        <v>146</v>
      </c>
    </row>
    <row r="1262" spans="2:51" s="326" customFormat="1" ht="12">
      <c r="B1262" s="327"/>
      <c r="D1262" s="328" t="s">
        <v>155</v>
      </c>
      <c r="E1262" s="329" t="s">
        <v>1</v>
      </c>
      <c r="F1262" s="330" t="s">
        <v>892</v>
      </c>
      <c r="H1262" s="329" t="s">
        <v>1</v>
      </c>
      <c r="I1262" s="497"/>
      <c r="L1262" s="331"/>
      <c r="M1262" s="332"/>
      <c r="N1262" s="333"/>
      <c r="O1262" s="333"/>
      <c r="P1262" s="333"/>
      <c r="Q1262" s="333"/>
      <c r="R1262" s="333"/>
      <c r="S1262" s="333"/>
      <c r="T1262" s="334"/>
      <c r="AT1262" s="329" t="s">
        <v>155</v>
      </c>
      <c r="AU1262" s="329" t="s">
        <v>83</v>
      </c>
      <c r="AV1262" s="326" t="s">
        <v>81</v>
      </c>
      <c r="AW1262" s="326" t="s">
        <v>34</v>
      </c>
      <c r="AX1262" s="326" t="s">
        <v>76</v>
      </c>
      <c r="AY1262" s="329" t="s">
        <v>146</v>
      </c>
    </row>
    <row r="1263" spans="2:51" s="335" customFormat="1" ht="12">
      <c r="B1263" s="336"/>
      <c r="D1263" s="328" t="s">
        <v>155</v>
      </c>
      <c r="E1263" s="337" t="s">
        <v>1</v>
      </c>
      <c r="F1263" s="338" t="s">
        <v>3125</v>
      </c>
      <c r="H1263" s="339">
        <f>50*2.2*0.08*0.12</f>
        <v>1.056</v>
      </c>
      <c r="I1263" s="498"/>
      <c r="L1263" s="340"/>
      <c r="M1263" s="341"/>
      <c r="N1263" s="342"/>
      <c r="O1263" s="342"/>
      <c r="P1263" s="342"/>
      <c r="Q1263" s="342"/>
      <c r="R1263" s="342"/>
      <c r="S1263" s="342"/>
      <c r="T1263" s="343"/>
      <c r="AT1263" s="337" t="s">
        <v>155</v>
      </c>
      <c r="AU1263" s="337" t="s">
        <v>83</v>
      </c>
      <c r="AV1263" s="335" t="s">
        <v>83</v>
      </c>
      <c r="AW1263" s="335" t="s">
        <v>34</v>
      </c>
      <c r="AX1263" s="335" t="s">
        <v>76</v>
      </c>
      <c r="AY1263" s="337" t="s">
        <v>146</v>
      </c>
    </row>
    <row r="1264" spans="2:51" s="326" customFormat="1" ht="12">
      <c r="B1264" s="327"/>
      <c r="D1264" s="328" t="s">
        <v>155</v>
      </c>
      <c r="E1264" s="329" t="s">
        <v>1</v>
      </c>
      <c r="F1264" s="330" t="s">
        <v>893</v>
      </c>
      <c r="H1264" s="329" t="s">
        <v>1</v>
      </c>
      <c r="I1264" s="497"/>
      <c r="L1264" s="331"/>
      <c r="M1264" s="332"/>
      <c r="N1264" s="333"/>
      <c r="O1264" s="333"/>
      <c r="P1264" s="333"/>
      <c r="Q1264" s="333"/>
      <c r="R1264" s="333"/>
      <c r="S1264" s="333"/>
      <c r="T1264" s="334"/>
      <c r="AT1264" s="329" t="s">
        <v>155</v>
      </c>
      <c r="AU1264" s="329" t="s">
        <v>83</v>
      </c>
      <c r="AV1264" s="326" t="s">
        <v>81</v>
      </c>
      <c r="AW1264" s="326" t="s">
        <v>34</v>
      </c>
      <c r="AX1264" s="326" t="s">
        <v>76</v>
      </c>
      <c r="AY1264" s="329" t="s">
        <v>146</v>
      </c>
    </row>
    <row r="1265" spans="2:51" s="335" customFormat="1" ht="12">
      <c r="B1265" s="336"/>
      <c r="D1265" s="328" t="s">
        <v>155</v>
      </c>
      <c r="E1265" s="337" t="s">
        <v>1</v>
      </c>
      <c r="F1265" s="338" t="s">
        <v>899</v>
      </c>
      <c r="H1265" s="339">
        <f>16*0.06*0.12</f>
        <v>0.1152</v>
      </c>
      <c r="I1265" s="498"/>
      <c r="L1265" s="340"/>
      <c r="M1265" s="341"/>
      <c r="N1265" s="342"/>
      <c r="O1265" s="342"/>
      <c r="P1265" s="342"/>
      <c r="Q1265" s="342"/>
      <c r="R1265" s="342"/>
      <c r="S1265" s="342"/>
      <c r="T1265" s="343"/>
      <c r="AT1265" s="337" t="s">
        <v>155</v>
      </c>
      <c r="AU1265" s="337" t="s">
        <v>83</v>
      </c>
      <c r="AV1265" s="335" t="s">
        <v>83</v>
      </c>
      <c r="AW1265" s="335" t="s">
        <v>34</v>
      </c>
      <c r="AX1265" s="335" t="s">
        <v>76</v>
      </c>
      <c r="AY1265" s="337" t="s">
        <v>146</v>
      </c>
    </row>
    <row r="1266" spans="2:51" s="347" customFormat="1" ht="12">
      <c r="B1266" s="348"/>
      <c r="D1266" s="328" t="s">
        <v>155</v>
      </c>
      <c r="E1266" s="349" t="s">
        <v>1</v>
      </c>
      <c r="F1266" s="356" t="s">
        <v>157</v>
      </c>
      <c r="H1266" s="351">
        <f>SUM(H1261:H1265)</f>
        <v>1.776</v>
      </c>
      <c r="I1266" s="499"/>
      <c r="L1266" s="352"/>
      <c r="M1266" s="353"/>
      <c r="N1266" s="354"/>
      <c r="O1266" s="354"/>
      <c r="P1266" s="354"/>
      <c r="Q1266" s="354"/>
      <c r="R1266" s="354"/>
      <c r="S1266" s="354"/>
      <c r="T1266" s="355"/>
      <c r="AT1266" s="349" t="s">
        <v>155</v>
      </c>
      <c r="AU1266" s="349" t="s">
        <v>83</v>
      </c>
      <c r="AV1266" s="347" t="s">
        <v>153</v>
      </c>
      <c r="AW1266" s="347" t="s">
        <v>34</v>
      </c>
      <c r="AX1266" s="347" t="s">
        <v>81</v>
      </c>
      <c r="AY1266" s="349" t="s">
        <v>146</v>
      </c>
    </row>
    <row r="1267" spans="1:65" s="225" customFormat="1" ht="33" customHeight="1">
      <c r="A1267" s="222"/>
      <c r="B1267" s="223"/>
      <c r="C1267" s="314">
        <v>227</v>
      </c>
      <c r="D1267" s="314" t="s">
        <v>148</v>
      </c>
      <c r="E1267" s="315" t="s">
        <v>900</v>
      </c>
      <c r="F1267" s="316" t="s">
        <v>901</v>
      </c>
      <c r="G1267" s="317" t="s">
        <v>158</v>
      </c>
      <c r="H1267" s="318">
        <f>H1286</f>
        <v>1964.2</v>
      </c>
      <c r="I1267" s="79"/>
      <c r="J1267" s="319">
        <f>ROUND(I1267*H1267,2)</f>
        <v>0</v>
      </c>
      <c r="K1267" s="316"/>
      <c r="L1267" s="229"/>
      <c r="M1267" s="320" t="s">
        <v>1</v>
      </c>
      <c r="N1267" s="321" t="s">
        <v>42</v>
      </c>
      <c r="O1267" s="322">
        <v>0.454</v>
      </c>
      <c r="P1267" s="322">
        <f>O1267*H1267</f>
        <v>891.7468</v>
      </c>
      <c r="Q1267" s="322">
        <v>0</v>
      </c>
      <c r="R1267" s="322">
        <f>Q1267*H1267</f>
        <v>0</v>
      </c>
      <c r="S1267" s="322">
        <v>0</v>
      </c>
      <c r="T1267" s="323">
        <f>S1267*H1267</f>
        <v>0</v>
      </c>
      <c r="U1267" s="222"/>
      <c r="V1267" s="222"/>
      <c r="W1267" s="222"/>
      <c r="X1267" s="222"/>
      <c r="Y1267" s="222"/>
      <c r="Z1267" s="222"/>
      <c r="AA1267" s="222"/>
      <c r="AB1267" s="222"/>
      <c r="AC1267" s="222"/>
      <c r="AD1267" s="222"/>
      <c r="AE1267" s="222"/>
      <c r="AR1267" s="324" t="s">
        <v>212</v>
      </c>
      <c r="AT1267" s="324" t="s">
        <v>148</v>
      </c>
      <c r="AU1267" s="324" t="s">
        <v>83</v>
      </c>
      <c r="AY1267" s="214" t="s">
        <v>146</v>
      </c>
      <c r="BE1267" s="325">
        <f>IF(N1267="základní",J1267,0)</f>
        <v>0</v>
      </c>
      <c r="BF1267" s="325">
        <f>IF(N1267="snížená",J1267,0)</f>
        <v>0</v>
      </c>
      <c r="BG1267" s="325">
        <f>IF(N1267="zákl. přenesená",J1267,0)</f>
        <v>0</v>
      </c>
      <c r="BH1267" s="325">
        <f>IF(N1267="sníž. přenesená",J1267,0)</f>
        <v>0</v>
      </c>
      <c r="BI1267" s="325">
        <f>IF(N1267="nulová",J1267,0)</f>
        <v>0</v>
      </c>
      <c r="BJ1267" s="214" t="s">
        <v>81</v>
      </c>
      <c r="BK1267" s="325">
        <f>ROUND(I1267*H1267,2)</f>
        <v>0</v>
      </c>
      <c r="BL1267" s="214" t="s">
        <v>212</v>
      </c>
      <c r="BM1267" s="324" t="s">
        <v>902</v>
      </c>
    </row>
    <row r="1268" spans="2:51" s="326" customFormat="1" ht="12">
      <c r="B1268" s="327"/>
      <c r="D1268" s="328" t="s">
        <v>155</v>
      </c>
      <c r="E1268" s="329" t="s">
        <v>1</v>
      </c>
      <c r="F1268" s="330" t="s">
        <v>903</v>
      </c>
      <c r="H1268" s="329" t="s">
        <v>1</v>
      </c>
      <c r="I1268" s="497"/>
      <c r="L1268" s="331"/>
      <c r="M1268" s="332"/>
      <c r="N1268" s="333"/>
      <c r="O1268" s="333"/>
      <c r="P1268" s="333"/>
      <c r="Q1268" s="333"/>
      <c r="R1268" s="333"/>
      <c r="S1268" s="333"/>
      <c r="T1268" s="334"/>
      <c r="AT1268" s="329" t="s">
        <v>155</v>
      </c>
      <c r="AU1268" s="329" t="s">
        <v>83</v>
      </c>
      <c r="AV1268" s="326" t="s">
        <v>81</v>
      </c>
      <c r="AW1268" s="326" t="s">
        <v>34</v>
      </c>
      <c r="AX1268" s="326" t="s">
        <v>76</v>
      </c>
      <c r="AY1268" s="329" t="s">
        <v>146</v>
      </c>
    </row>
    <row r="1269" spans="2:51" s="335" customFormat="1" ht="12">
      <c r="B1269" s="336"/>
      <c r="D1269" s="328" t="s">
        <v>155</v>
      </c>
      <c r="E1269" s="337" t="s">
        <v>1</v>
      </c>
      <c r="F1269" s="338" t="s">
        <v>904</v>
      </c>
      <c r="H1269" s="339">
        <f>2*12</f>
        <v>24</v>
      </c>
      <c r="I1269" s="498"/>
      <c r="L1269" s="340"/>
      <c r="M1269" s="341"/>
      <c r="N1269" s="342"/>
      <c r="O1269" s="342"/>
      <c r="P1269" s="342"/>
      <c r="Q1269" s="342"/>
      <c r="R1269" s="342"/>
      <c r="S1269" s="342"/>
      <c r="T1269" s="343"/>
      <c r="AT1269" s="337" t="s">
        <v>155</v>
      </c>
      <c r="AU1269" s="337" t="s">
        <v>83</v>
      </c>
      <c r="AV1269" s="335" t="s">
        <v>83</v>
      </c>
      <c r="AW1269" s="335" t="s">
        <v>34</v>
      </c>
      <c r="AX1269" s="335" t="s">
        <v>76</v>
      </c>
      <c r="AY1269" s="337" t="s">
        <v>146</v>
      </c>
    </row>
    <row r="1270" spans="2:51" s="326" customFormat="1" ht="12">
      <c r="B1270" s="327"/>
      <c r="D1270" s="328" t="s">
        <v>155</v>
      </c>
      <c r="E1270" s="329" t="s">
        <v>1</v>
      </c>
      <c r="F1270" s="330" t="s">
        <v>2839</v>
      </c>
      <c r="H1270" s="329" t="s">
        <v>1</v>
      </c>
      <c r="I1270" s="497"/>
      <c r="L1270" s="331"/>
      <c r="M1270" s="332"/>
      <c r="N1270" s="333"/>
      <c r="O1270" s="333"/>
      <c r="P1270" s="333"/>
      <c r="Q1270" s="333"/>
      <c r="R1270" s="333"/>
      <c r="S1270" s="333"/>
      <c r="T1270" s="334"/>
      <c r="AT1270" s="329" t="s">
        <v>155</v>
      </c>
      <c r="AU1270" s="329" t="s">
        <v>83</v>
      </c>
      <c r="AV1270" s="326" t="s">
        <v>81</v>
      </c>
      <c r="AW1270" s="326" t="s">
        <v>34</v>
      </c>
      <c r="AX1270" s="326" t="s">
        <v>76</v>
      </c>
      <c r="AY1270" s="329" t="s">
        <v>146</v>
      </c>
    </row>
    <row r="1271" spans="2:51" s="335" customFormat="1" ht="12">
      <c r="B1271" s="336"/>
      <c r="D1271" s="328" t="s">
        <v>155</v>
      </c>
      <c r="E1271" s="337" t="s">
        <v>1</v>
      </c>
      <c r="F1271" s="338" t="s">
        <v>906</v>
      </c>
      <c r="H1271" s="339">
        <f>82*7.8+75*7.8+(18+20)*((1+7.8))/2</f>
        <v>1391.8</v>
      </c>
      <c r="I1271" s="498"/>
      <c r="L1271" s="340"/>
      <c r="M1271" s="341"/>
      <c r="N1271" s="342"/>
      <c r="O1271" s="342"/>
      <c r="P1271" s="342"/>
      <c r="Q1271" s="342"/>
      <c r="R1271" s="342"/>
      <c r="S1271" s="342"/>
      <c r="T1271" s="343"/>
      <c r="AT1271" s="337" t="s">
        <v>155</v>
      </c>
      <c r="AU1271" s="337" t="s">
        <v>83</v>
      </c>
      <c r="AV1271" s="335" t="s">
        <v>83</v>
      </c>
      <c r="AW1271" s="335" t="s">
        <v>34</v>
      </c>
      <c r="AX1271" s="335" t="s">
        <v>76</v>
      </c>
      <c r="AY1271" s="337" t="s">
        <v>146</v>
      </c>
    </row>
    <row r="1272" spans="2:51" s="326" customFormat="1" ht="12">
      <c r="B1272" s="327"/>
      <c r="D1272" s="328" t="s">
        <v>155</v>
      </c>
      <c r="E1272" s="329" t="s">
        <v>1</v>
      </c>
      <c r="F1272" s="330" t="s">
        <v>2840</v>
      </c>
      <c r="H1272" s="329" t="s">
        <v>1</v>
      </c>
      <c r="I1272" s="497"/>
      <c r="L1272" s="331"/>
      <c r="M1272" s="332"/>
      <c r="N1272" s="333"/>
      <c r="O1272" s="333"/>
      <c r="P1272" s="333"/>
      <c r="Q1272" s="333"/>
      <c r="R1272" s="333"/>
      <c r="S1272" s="333"/>
      <c r="T1272" s="334"/>
      <c r="AT1272" s="329" t="s">
        <v>155</v>
      </c>
      <c r="AU1272" s="329" t="s">
        <v>83</v>
      </c>
      <c r="AV1272" s="326" t="s">
        <v>81</v>
      </c>
      <c r="AW1272" s="326" t="s">
        <v>34</v>
      </c>
      <c r="AX1272" s="326" t="s">
        <v>76</v>
      </c>
      <c r="AY1272" s="329" t="s">
        <v>146</v>
      </c>
    </row>
    <row r="1273" spans="2:51" s="335" customFormat="1" ht="12">
      <c r="B1273" s="336"/>
      <c r="D1273" s="328" t="s">
        <v>155</v>
      </c>
      <c r="E1273" s="337" t="s">
        <v>1</v>
      </c>
      <c r="F1273" s="338" t="s">
        <v>908</v>
      </c>
      <c r="H1273" s="339">
        <f>2*(25+29)</f>
        <v>108</v>
      </c>
      <c r="I1273" s="498"/>
      <c r="L1273" s="340"/>
      <c r="M1273" s="341"/>
      <c r="N1273" s="342"/>
      <c r="O1273" s="342"/>
      <c r="P1273" s="342"/>
      <c r="Q1273" s="342"/>
      <c r="R1273" s="342"/>
      <c r="S1273" s="342"/>
      <c r="T1273" s="343"/>
      <c r="AT1273" s="337" t="s">
        <v>155</v>
      </c>
      <c r="AU1273" s="337" t="s">
        <v>83</v>
      </c>
      <c r="AV1273" s="335" t="s">
        <v>83</v>
      </c>
      <c r="AW1273" s="335" t="s">
        <v>34</v>
      </c>
      <c r="AX1273" s="335" t="s">
        <v>76</v>
      </c>
      <c r="AY1273" s="337" t="s">
        <v>146</v>
      </c>
    </row>
    <row r="1274" spans="2:51" s="326" customFormat="1" ht="12">
      <c r="B1274" s="327"/>
      <c r="D1274" s="328" t="s">
        <v>155</v>
      </c>
      <c r="E1274" s="329" t="s">
        <v>1</v>
      </c>
      <c r="F1274" s="330" t="s">
        <v>2841</v>
      </c>
      <c r="H1274" s="329" t="s">
        <v>1</v>
      </c>
      <c r="I1274" s="497"/>
      <c r="L1274" s="331"/>
      <c r="M1274" s="332"/>
      <c r="N1274" s="333"/>
      <c r="O1274" s="333"/>
      <c r="P1274" s="333"/>
      <c r="Q1274" s="333"/>
      <c r="R1274" s="333"/>
      <c r="S1274" s="333"/>
      <c r="T1274" s="334"/>
      <c r="AT1274" s="329" t="s">
        <v>155</v>
      </c>
      <c r="AU1274" s="329" t="s">
        <v>83</v>
      </c>
      <c r="AV1274" s="326" t="s">
        <v>81</v>
      </c>
      <c r="AW1274" s="326" t="s">
        <v>34</v>
      </c>
      <c r="AX1274" s="326" t="s">
        <v>76</v>
      </c>
      <c r="AY1274" s="329" t="s">
        <v>146</v>
      </c>
    </row>
    <row r="1275" spans="2:51" s="335" customFormat="1" ht="12">
      <c r="B1275" s="336"/>
      <c r="D1275" s="328" t="s">
        <v>155</v>
      </c>
      <c r="E1275" s="337" t="s">
        <v>1</v>
      </c>
      <c r="F1275" s="338" t="s">
        <v>910</v>
      </c>
      <c r="H1275" s="339">
        <f>25+29+6.4</f>
        <v>60.4</v>
      </c>
      <c r="I1275" s="498"/>
      <c r="L1275" s="340"/>
      <c r="M1275" s="341"/>
      <c r="N1275" s="342"/>
      <c r="O1275" s="342"/>
      <c r="P1275" s="342"/>
      <c r="Q1275" s="342"/>
      <c r="R1275" s="342"/>
      <c r="S1275" s="342"/>
      <c r="T1275" s="343"/>
      <c r="AT1275" s="337" t="s">
        <v>155</v>
      </c>
      <c r="AU1275" s="337" t="s">
        <v>83</v>
      </c>
      <c r="AV1275" s="335" t="s">
        <v>83</v>
      </c>
      <c r="AW1275" s="335" t="s">
        <v>34</v>
      </c>
      <c r="AX1275" s="335" t="s">
        <v>76</v>
      </c>
      <c r="AY1275" s="337" t="s">
        <v>146</v>
      </c>
    </row>
    <row r="1276" spans="2:51" s="326" customFormat="1" ht="12">
      <c r="B1276" s="327"/>
      <c r="D1276" s="328" t="s">
        <v>155</v>
      </c>
      <c r="E1276" s="329" t="s">
        <v>1</v>
      </c>
      <c r="F1276" s="330" t="s">
        <v>2842</v>
      </c>
      <c r="H1276" s="329" t="s">
        <v>1</v>
      </c>
      <c r="I1276" s="497"/>
      <c r="L1276" s="331"/>
      <c r="M1276" s="332"/>
      <c r="N1276" s="333"/>
      <c r="O1276" s="333"/>
      <c r="P1276" s="333"/>
      <c r="Q1276" s="333"/>
      <c r="R1276" s="333"/>
      <c r="S1276" s="333"/>
      <c r="T1276" s="334"/>
      <c r="AT1276" s="329" t="s">
        <v>155</v>
      </c>
      <c r="AU1276" s="329" t="s">
        <v>83</v>
      </c>
      <c r="AV1276" s="326" t="s">
        <v>81</v>
      </c>
      <c r="AW1276" s="326" t="s">
        <v>34</v>
      </c>
      <c r="AX1276" s="326" t="s">
        <v>76</v>
      </c>
      <c r="AY1276" s="329" t="s">
        <v>146</v>
      </c>
    </row>
    <row r="1277" spans="2:51" s="335" customFormat="1" ht="12">
      <c r="B1277" s="336"/>
      <c r="D1277" s="328" t="s">
        <v>155</v>
      </c>
      <c r="E1277" s="337" t="s">
        <v>1</v>
      </c>
      <c r="F1277" s="338" t="s">
        <v>908</v>
      </c>
      <c r="H1277" s="339">
        <f>2*(25+29)</f>
        <v>108</v>
      </c>
      <c r="I1277" s="498"/>
      <c r="L1277" s="340"/>
      <c r="M1277" s="341"/>
      <c r="N1277" s="342"/>
      <c r="O1277" s="342"/>
      <c r="P1277" s="342"/>
      <c r="Q1277" s="342"/>
      <c r="R1277" s="342"/>
      <c r="S1277" s="342"/>
      <c r="T1277" s="343"/>
      <c r="AT1277" s="337" t="s">
        <v>155</v>
      </c>
      <c r="AU1277" s="337" t="s">
        <v>83</v>
      </c>
      <c r="AV1277" s="335" t="s">
        <v>83</v>
      </c>
      <c r="AW1277" s="335" t="s">
        <v>34</v>
      </c>
      <c r="AX1277" s="335" t="s">
        <v>76</v>
      </c>
      <c r="AY1277" s="337" t="s">
        <v>146</v>
      </c>
    </row>
    <row r="1278" spans="2:51" s="326" customFormat="1" ht="12">
      <c r="B1278" s="327"/>
      <c r="D1278" s="328" t="s">
        <v>155</v>
      </c>
      <c r="E1278" s="329" t="s">
        <v>1</v>
      </c>
      <c r="F1278" s="330" t="s">
        <v>912</v>
      </c>
      <c r="H1278" s="329" t="s">
        <v>1</v>
      </c>
      <c r="I1278" s="497"/>
      <c r="L1278" s="331"/>
      <c r="M1278" s="332"/>
      <c r="N1278" s="333"/>
      <c r="O1278" s="333"/>
      <c r="P1278" s="333"/>
      <c r="Q1278" s="333"/>
      <c r="R1278" s="333"/>
      <c r="S1278" s="333"/>
      <c r="T1278" s="334"/>
      <c r="AT1278" s="329" t="s">
        <v>155</v>
      </c>
      <c r="AU1278" s="329" t="s">
        <v>83</v>
      </c>
      <c r="AV1278" s="326" t="s">
        <v>81</v>
      </c>
      <c r="AW1278" s="326" t="s">
        <v>34</v>
      </c>
      <c r="AX1278" s="326" t="s">
        <v>76</v>
      </c>
      <c r="AY1278" s="329" t="s">
        <v>146</v>
      </c>
    </row>
    <row r="1279" spans="2:51" s="335" customFormat="1" ht="12">
      <c r="B1279" s="336"/>
      <c r="D1279" s="328" t="s">
        <v>155</v>
      </c>
      <c r="E1279" s="337" t="s">
        <v>1</v>
      </c>
      <c r="F1279" s="338" t="s">
        <v>913</v>
      </c>
      <c r="H1279" s="339">
        <f>10*1.7+20*1+15*1.6+23*0.8+2*1.3</f>
        <v>82</v>
      </c>
      <c r="I1279" s="498"/>
      <c r="L1279" s="340"/>
      <c r="M1279" s="341"/>
      <c r="N1279" s="342"/>
      <c r="O1279" s="342"/>
      <c r="P1279" s="342"/>
      <c r="Q1279" s="342"/>
      <c r="R1279" s="342"/>
      <c r="S1279" s="342"/>
      <c r="T1279" s="343"/>
      <c r="AT1279" s="337" t="s">
        <v>155</v>
      </c>
      <c r="AU1279" s="337" t="s">
        <v>83</v>
      </c>
      <c r="AV1279" s="335" t="s">
        <v>83</v>
      </c>
      <c r="AW1279" s="335" t="s">
        <v>34</v>
      </c>
      <c r="AX1279" s="335" t="s">
        <v>76</v>
      </c>
      <c r="AY1279" s="337" t="s">
        <v>146</v>
      </c>
    </row>
    <row r="1280" spans="2:51" s="326" customFormat="1" ht="12">
      <c r="B1280" s="327"/>
      <c r="D1280" s="328" t="s">
        <v>155</v>
      </c>
      <c r="E1280" s="329" t="s">
        <v>1</v>
      </c>
      <c r="F1280" s="330" t="s">
        <v>914</v>
      </c>
      <c r="H1280" s="329" t="s">
        <v>1</v>
      </c>
      <c r="I1280" s="497"/>
      <c r="L1280" s="331"/>
      <c r="M1280" s="332"/>
      <c r="N1280" s="333"/>
      <c r="O1280" s="333"/>
      <c r="P1280" s="333"/>
      <c r="Q1280" s="333"/>
      <c r="R1280" s="333"/>
      <c r="S1280" s="333"/>
      <c r="T1280" s="334"/>
      <c r="AT1280" s="329" t="s">
        <v>155</v>
      </c>
      <c r="AU1280" s="329" t="s">
        <v>83</v>
      </c>
      <c r="AV1280" s="326" t="s">
        <v>81</v>
      </c>
      <c r="AW1280" s="326" t="s">
        <v>34</v>
      </c>
      <c r="AX1280" s="326" t="s">
        <v>76</v>
      </c>
      <c r="AY1280" s="329" t="s">
        <v>146</v>
      </c>
    </row>
    <row r="1281" spans="2:51" s="335" customFormat="1" ht="12">
      <c r="B1281" s="336"/>
      <c r="D1281" s="328" t="s">
        <v>155</v>
      </c>
      <c r="E1281" s="337" t="s">
        <v>1</v>
      </c>
      <c r="F1281" s="338" t="s">
        <v>2853</v>
      </c>
      <c r="H1281" s="339">
        <f>3*(23+27)+6</f>
        <v>156</v>
      </c>
      <c r="I1281" s="498"/>
      <c r="L1281" s="340"/>
      <c r="M1281" s="341"/>
      <c r="N1281" s="342"/>
      <c r="O1281" s="342"/>
      <c r="P1281" s="342"/>
      <c r="Q1281" s="342"/>
      <c r="R1281" s="342"/>
      <c r="S1281" s="342"/>
      <c r="T1281" s="343"/>
      <c r="AT1281" s="337" t="s">
        <v>155</v>
      </c>
      <c r="AU1281" s="337" t="s">
        <v>83</v>
      </c>
      <c r="AV1281" s="335" t="s">
        <v>83</v>
      </c>
      <c r="AW1281" s="335" t="s">
        <v>34</v>
      </c>
      <c r="AX1281" s="335" t="s">
        <v>76</v>
      </c>
      <c r="AY1281" s="337" t="s">
        <v>146</v>
      </c>
    </row>
    <row r="1282" spans="2:51" s="326" customFormat="1" ht="12">
      <c r="B1282" s="327"/>
      <c r="D1282" s="328" t="s">
        <v>155</v>
      </c>
      <c r="E1282" s="329" t="s">
        <v>1</v>
      </c>
      <c r="F1282" s="330" t="s">
        <v>915</v>
      </c>
      <c r="H1282" s="329" t="s">
        <v>1</v>
      </c>
      <c r="I1282" s="497"/>
      <c r="L1282" s="331"/>
      <c r="M1282" s="332"/>
      <c r="N1282" s="333"/>
      <c r="O1282" s="333"/>
      <c r="P1282" s="333"/>
      <c r="Q1282" s="333"/>
      <c r="R1282" s="333"/>
      <c r="S1282" s="333"/>
      <c r="T1282" s="334"/>
      <c r="AT1282" s="329" t="s">
        <v>155</v>
      </c>
      <c r="AU1282" s="329" t="s">
        <v>83</v>
      </c>
      <c r="AV1282" s="326" t="s">
        <v>81</v>
      </c>
      <c r="AW1282" s="326" t="s">
        <v>34</v>
      </c>
      <c r="AX1282" s="326" t="s">
        <v>76</v>
      </c>
      <c r="AY1282" s="329" t="s">
        <v>146</v>
      </c>
    </row>
    <row r="1283" spans="2:51" s="335" customFormat="1" ht="12">
      <c r="B1283" s="336"/>
      <c r="D1283" s="328" t="s">
        <v>155</v>
      </c>
      <c r="E1283" s="337" t="s">
        <v>1</v>
      </c>
      <c r="F1283" s="338" t="s">
        <v>916</v>
      </c>
      <c r="H1283" s="339">
        <v>4</v>
      </c>
      <c r="I1283" s="498"/>
      <c r="L1283" s="340"/>
      <c r="M1283" s="341"/>
      <c r="N1283" s="342"/>
      <c r="O1283" s="342"/>
      <c r="P1283" s="342"/>
      <c r="Q1283" s="342"/>
      <c r="R1283" s="342"/>
      <c r="S1283" s="342"/>
      <c r="T1283" s="343"/>
      <c r="AT1283" s="337" t="s">
        <v>155</v>
      </c>
      <c r="AU1283" s="337" t="s">
        <v>83</v>
      </c>
      <c r="AV1283" s="335" t="s">
        <v>83</v>
      </c>
      <c r="AW1283" s="335" t="s">
        <v>34</v>
      </c>
      <c r="AX1283" s="335" t="s">
        <v>76</v>
      </c>
      <c r="AY1283" s="337" t="s">
        <v>146</v>
      </c>
    </row>
    <row r="1284" spans="2:51" s="326" customFormat="1" ht="12">
      <c r="B1284" s="327"/>
      <c r="D1284" s="328" t="s">
        <v>155</v>
      </c>
      <c r="E1284" s="329" t="s">
        <v>1</v>
      </c>
      <c r="F1284" s="330" t="s">
        <v>917</v>
      </c>
      <c r="H1284" s="329" t="s">
        <v>1</v>
      </c>
      <c r="I1284" s="497"/>
      <c r="L1284" s="331"/>
      <c r="M1284" s="332"/>
      <c r="N1284" s="333"/>
      <c r="O1284" s="333"/>
      <c r="P1284" s="333"/>
      <c r="Q1284" s="333"/>
      <c r="R1284" s="333"/>
      <c r="S1284" s="333"/>
      <c r="T1284" s="334"/>
      <c r="AT1284" s="329" t="s">
        <v>155</v>
      </c>
      <c r="AU1284" s="329" t="s">
        <v>83</v>
      </c>
      <c r="AV1284" s="326" t="s">
        <v>81</v>
      </c>
      <c r="AW1284" s="326" t="s">
        <v>34</v>
      </c>
      <c r="AX1284" s="326" t="s">
        <v>76</v>
      </c>
      <c r="AY1284" s="329" t="s">
        <v>146</v>
      </c>
    </row>
    <row r="1285" spans="2:51" s="335" customFormat="1" ht="12">
      <c r="B1285" s="336"/>
      <c r="D1285" s="328" t="s">
        <v>155</v>
      </c>
      <c r="E1285" s="337" t="s">
        <v>1</v>
      </c>
      <c r="F1285" s="338" t="s">
        <v>918</v>
      </c>
      <c r="H1285" s="339">
        <v>30</v>
      </c>
      <c r="I1285" s="498"/>
      <c r="L1285" s="340"/>
      <c r="M1285" s="341"/>
      <c r="N1285" s="342"/>
      <c r="O1285" s="342"/>
      <c r="P1285" s="342"/>
      <c r="Q1285" s="342"/>
      <c r="R1285" s="342"/>
      <c r="S1285" s="342"/>
      <c r="T1285" s="343"/>
      <c r="AT1285" s="337" t="s">
        <v>155</v>
      </c>
      <c r="AU1285" s="337" t="s">
        <v>83</v>
      </c>
      <c r="AV1285" s="335" t="s">
        <v>83</v>
      </c>
      <c r="AW1285" s="335" t="s">
        <v>34</v>
      </c>
      <c r="AX1285" s="335" t="s">
        <v>76</v>
      </c>
      <c r="AY1285" s="337" t="s">
        <v>146</v>
      </c>
    </row>
    <row r="1286" spans="2:51" s="347" customFormat="1" ht="12">
      <c r="B1286" s="348"/>
      <c r="D1286" s="328" t="s">
        <v>155</v>
      </c>
      <c r="E1286" s="349" t="s">
        <v>1</v>
      </c>
      <c r="F1286" s="356" t="s">
        <v>157</v>
      </c>
      <c r="H1286" s="351">
        <f>SUM(H1269:H1285)</f>
        <v>1964.2</v>
      </c>
      <c r="I1286" s="499"/>
      <c r="L1286" s="352"/>
      <c r="M1286" s="353"/>
      <c r="N1286" s="354"/>
      <c r="O1286" s="354"/>
      <c r="P1286" s="354"/>
      <c r="Q1286" s="354"/>
      <c r="R1286" s="354"/>
      <c r="S1286" s="354"/>
      <c r="T1286" s="355"/>
      <c r="AT1286" s="349" t="s">
        <v>155</v>
      </c>
      <c r="AU1286" s="349" t="s">
        <v>83</v>
      </c>
      <c r="AV1286" s="347" t="s">
        <v>153</v>
      </c>
      <c r="AW1286" s="347" t="s">
        <v>34</v>
      </c>
      <c r="AX1286" s="347" t="s">
        <v>81</v>
      </c>
      <c r="AY1286" s="349" t="s">
        <v>146</v>
      </c>
    </row>
    <row r="1287" spans="1:65" s="225" customFormat="1" ht="16.5" customHeight="1">
      <c r="A1287" s="222"/>
      <c r="B1287" s="223"/>
      <c r="C1287" s="358">
        <v>228</v>
      </c>
      <c r="D1287" s="358" t="s">
        <v>208</v>
      </c>
      <c r="E1287" s="359" t="s">
        <v>919</v>
      </c>
      <c r="F1287" s="364" t="s">
        <v>920</v>
      </c>
      <c r="G1287" s="361" t="s">
        <v>162</v>
      </c>
      <c r="H1287" s="362">
        <f>H1306</f>
        <v>30.394879999999993</v>
      </c>
      <c r="I1287" s="80"/>
      <c r="J1287" s="363">
        <f>ROUND(I1287*H1287,2)</f>
        <v>0</v>
      </c>
      <c r="K1287" s="364"/>
      <c r="L1287" s="365"/>
      <c r="M1287" s="366" t="s">
        <v>1</v>
      </c>
      <c r="N1287" s="367" t="s">
        <v>42</v>
      </c>
      <c r="O1287" s="322">
        <v>0</v>
      </c>
      <c r="P1287" s="322">
        <f>O1287*H1287</f>
        <v>0</v>
      </c>
      <c r="Q1287" s="322">
        <v>0.55</v>
      </c>
      <c r="R1287" s="322">
        <f>Q1287*H1287</f>
        <v>16.717183999999996</v>
      </c>
      <c r="S1287" s="322">
        <v>0</v>
      </c>
      <c r="T1287" s="323">
        <f>S1287*H1287</f>
        <v>0</v>
      </c>
      <c r="U1287" s="222"/>
      <c r="V1287" s="222"/>
      <c r="W1287" s="222"/>
      <c r="X1287" s="222"/>
      <c r="Y1287" s="222"/>
      <c r="Z1287" s="222"/>
      <c r="AA1287" s="222"/>
      <c r="AB1287" s="222"/>
      <c r="AC1287" s="222"/>
      <c r="AD1287" s="222"/>
      <c r="AE1287" s="222"/>
      <c r="AR1287" s="324" t="s">
        <v>298</v>
      </c>
      <c r="AT1287" s="324" t="s">
        <v>208</v>
      </c>
      <c r="AU1287" s="324" t="s">
        <v>83</v>
      </c>
      <c r="AY1287" s="214" t="s">
        <v>146</v>
      </c>
      <c r="BE1287" s="325">
        <f>IF(N1287="základní",J1287,0)</f>
        <v>0</v>
      </c>
      <c r="BF1287" s="325">
        <f>IF(N1287="snížená",J1287,0)</f>
        <v>0</v>
      </c>
      <c r="BG1287" s="325">
        <f>IF(N1287="zákl. přenesená",J1287,0)</f>
        <v>0</v>
      </c>
      <c r="BH1287" s="325">
        <f>IF(N1287="sníž. přenesená",J1287,0)</f>
        <v>0</v>
      </c>
      <c r="BI1287" s="325">
        <f>IF(N1287="nulová",J1287,0)</f>
        <v>0</v>
      </c>
      <c r="BJ1287" s="214" t="s">
        <v>81</v>
      </c>
      <c r="BK1287" s="325">
        <f>ROUND(I1287*H1287,2)</f>
        <v>0</v>
      </c>
      <c r="BL1287" s="214" t="s">
        <v>212</v>
      </c>
      <c r="BM1287" s="324" t="s">
        <v>921</v>
      </c>
    </row>
    <row r="1288" spans="2:51" s="326" customFormat="1" ht="12">
      <c r="B1288" s="327"/>
      <c r="D1288" s="328" t="s">
        <v>155</v>
      </c>
      <c r="E1288" s="329" t="s">
        <v>1</v>
      </c>
      <c r="F1288" s="330" t="s">
        <v>903</v>
      </c>
      <c r="H1288" s="329" t="s">
        <v>1</v>
      </c>
      <c r="I1288" s="497"/>
      <c r="L1288" s="331"/>
      <c r="M1288" s="332"/>
      <c r="N1288" s="333"/>
      <c r="O1288" s="333"/>
      <c r="P1288" s="333"/>
      <c r="Q1288" s="333"/>
      <c r="R1288" s="333"/>
      <c r="S1288" s="333"/>
      <c r="T1288" s="334"/>
      <c r="AT1288" s="329" t="s">
        <v>155</v>
      </c>
      <c r="AU1288" s="329" t="s">
        <v>83</v>
      </c>
      <c r="AV1288" s="326" t="s">
        <v>81</v>
      </c>
      <c r="AW1288" s="326" t="s">
        <v>34</v>
      </c>
      <c r="AX1288" s="326" t="s">
        <v>76</v>
      </c>
      <c r="AY1288" s="329" t="s">
        <v>146</v>
      </c>
    </row>
    <row r="1289" spans="2:51" s="335" customFormat="1" ht="12">
      <c r="B1289" s="336"/>
      <c r="D1289" s="328" t="s">
        <v>155</v>
      </c>
      <c r="E1289" s="337" t="s">
        <v>1</v>
      </c>
      <c r="F1289" s="338" t="s">
        <v>922</v>
      </c>
      <c r="H1289" s="339">
        <f>2*12*0.1*0.22</f>
        <v>0.5280000000000001</v>
      </c>
      <c r="I1289" s="498"/>
      <c r="L1289" s="340"/>
      <c r="M1289" s="341"/>
      <c r="N1289" s="342"/>
      <c r="O1289" s="342"/>
      <c r="P1289" s="342"/>
      <c r="Q1289" s="342"/>
      <c r="R1289" s="342"/>
      <c r="S1289" s="342"/>
      <c r="T1289" s="343"/>
      <c r="AT1289" s="337" t="s">
        <v>155</v>
      </c>
      <c r="AU1289" s="337" t="s">
        <v>83</v>
      </c>
      <c r="AV1289" s="335" t="s">
        <v>83</v>
      </c>
      <c r="AW1289" s="335" t="s">
        <v>34</v>
      </c>
      <c r="AX1289" s="335" t="s">
        <v>76</v>
      </c>
      <c r="AY1289" s="337" t="s">
        <v>146</v>
      </c>
    </row>
    <row r="1290" spans="2:51" s="326" customFormat="1" ht="12">
      <c r="B1290" s="327"/>
      <c r="D1290" s="328" t="s">
        <v>155</v>
      </c>
      <c r="E1290" s="329" t="s">
        <v>1</v>
      </c>
      <c r="F1290" s="330" t="s">
        <v>905</v>
      </c>
      <c r="H1290" s="329" t="s">
        <v>1</v>
      </c>
      <c r="I1290" s="497"/>
      <c r="L1290" s="331"/>
      <c r="M1290" s="332"/>
      <c r="N1290" s="333"/>
      <c r="O1290" s="333"/>
      <c r="P1290" s="333"/>
      <c r="Q1290" s="333"/>
      <c r="R1290" s="333"/>
      <c r="S1290" s="333"/>
      <c r="T1290" s="334"/>
      <c r="AT1290" s="329" t="s">
        <v>155</v>
      </c>
      <c r="AU1290" s="329" t="s">
        <v>83</v>
      </c>
      <c r="AV1290" s="326" t="s">
        <v>81</v>
      </c>
      <c r="AW1290" s="326" t="s">
        <v>34</v>
      </c>
      <c r="AX1290" s="326" t="s">
        <v>76</v>
      </c>
      <c r="AY1290" s="329" t="s">
        <v>146</v>
      </c>
    </row>
    <row r="1291" spans="2:51" s="335" customFormat="1" ht="12">
      <c r="B1291" s="336"/>
      <c r="D1291" s="328" t="s">
        <v>155</v>
      </c>
      <c r="E1291" s="337" t="s">
        <v>1</v>
      </c>
      <c r="F1291" s="338" t="s">
        <v>923</v>
      </c>
      <c r="H1291" s="339">
        <f>(82*7.8+75*7.8+(18+20)*((1+7.8))/2)*0.08*0.18</f>
        <v>20.041919999999998</v>
      </c>
      <c r="I1291" s="498"/>
      <c r="L1291" s="340"/>
      <c r="M1291" s="341"/>
      <c r="N1291" s="342"/>
      <c r="O1291" s="342"/>
      <c r="P1291" s="342"/>
      <c r="Q1291" s="342"/>
      <c r="R1291" s="342"/>
      <c r="S1291" s="342"/>
      <c r="T1291" s="343"/>
      <c r="AT1291" s="337" t="s">
        <v>155</v>
      </c>
      <c r="AU1291" s="337" t="s">
        <v>83</v>
      </c>
      <c r="AV1291" s="335" t="s">
        <v>83</v>
      </c>
      <c r="AW1291" s="335" t="s">
        <v>34</v>
      </c>
      <c r="AX1291" s="335" t="s">
        <v>76</v>
      </c>
      <c r="AY1291" s="337" t="s">
        <v>146</v>
      </c>
    </row>
    <row r="1292" spans="2:51" s="326" customFormat="1" ht="12">
      <c r="B1292" s="327"/>
      <c r="D1292" s="328" t="s">
        <v>155</v>
      </c>
      <c r="E1292" s="329" t="s">
        <v>1</v>
      </c>
      <c r="F1292" s="330" t="s">
        <v>907</v>
      </c>
      <c r="H1292" s="329" t="s">
        <v>1</v>
      </c>
      <c r="I1292" s="497"/>
      <c r="L1292" s="331"/>
      <c r="M1292" s="332"/>
      <c r="N1292" s="333"/>
      <c r="O1292" s="333"/>
      <c r="P1292" s="333"/>
      <c r="Q1292" s="333"/>
      <c r="R1292" s="333"/>
      <c r="S1292" s="333"/>
      <c r="T1292" s="334"/>
      <c r="AT1292" s="329" t="s">
        <v>155</v>
      </c>
      <c r="AU1292" s="329" t="s">
        <v>83</v>
      </c>
      <c r="AV1292" s="326" t="s">
        <v>81</v>
      </c>
      <c r="AW1292" s="326" t="s">
        <v>34</v>
      </c>
      <c r="AX1292" s="326" t="s">
        <v>76</v>
      </c>
      <c r="AY1292" s="329" t="s">
        <v>146</v>
      </c>
    </row>
    <row r="1293" spans="2:51" s="335" customFormat="1" ht="12">
      <c r="B1293" s="336"/>
      <c r="D1293" s="328" t="s">
        <v>155</v>
      </c>
      <c r="E1293" s="337" t="s">
        <v>1</v>
      </c>
      <c r="F1293" s="338" t="s">
        <v>924</v>
      </c>
      <c r="H1293" s="339">
        <f>2*(25+29)*0.12*0.18</f>
        <v>2.3327999999999998</v>
      </c>
      <c r="I1293" s="498"/>
      <c r="L1293" s="340"/>
      <c r="M1293" s="341"/>
      <c r="N1293" s="342"/>
      <c r="O1293" s="342"/>
      <c r="P1293" s="342"/>
      <c r="Q1293" s="342"/>
      <c r="R1293" s="342"/>
      <c r="S1293" s="342"/>
      <c r="T1293" s="343"/>
      <c r="AT1293" s="337" t="s">
        <v>155</v>
      </c>
      <c r="AU1293" s="337" t="s">
        <v>83</v>
      </c>
      <c r="AV1293" s="335" t="s">
        <v>83</v>
      </c>
      <c r="AW1293" s="335" t="s">
        <v>34</v>
      </c>
      <c r="AX1293" s="335" t="s">
        <v>76</v>
      </c>
      <c r="AY1293" s="337" t="s">
        <v>146</v>
      </c>
    </row>
    <row r="1294" spans="2:51" s="326" customFormat="1" ht="12">
      <c r="B1294" s="327"/>
      <c r="D1294" s="328" t="s">
        <v>155</v>
      </c>
      <c r="E1294" s="329" t="s">
        <v>1</v>
      </c>
      <c r="F1294" s="330" t="s">
        <v>909</v>
      </c>
      <c r="H1294" s="329" t="s">
        <v>1</v>
      </c>
      <c r="I1294" s="497"/>
      <c r="L1294" s="331"/>
      <c r="M1294" s="332"/>
      <c r="N1294" s="333"/>
      <c r="O1294" s="333"/>
      <c r="P1294" s="333"/>
      <c r="Q1294" s="333"/>
      <c r="R1294" s="333"/>
      <c r="S1294" s="333"/>
      <c r="T1294" s="334"/>
      <c r="AT1294" s="329" t="s">
        <v>155</v>
      </c>
      <c r="AU1294" s="329" t="s">
        <v>83</v>
      </c>
      <c r="AV1294" s="326" t="s">
        <v>81</v>
      </c>
      <c r="AW1294" s="326" t="s">
        <v>34</v>
      </c>
      <c r="AX1294" s="326" t="s">
        <v>76</v>
      </c>
      <c r="AY1294" s="329" t="s">
        <v>146</v>
      </c>
    </row>
    <row r="1295" spans="2:51" s="335" customFormat="1" ht="12">
      <c r="B1295" s="336"/>
      <c r="D1295" s="328" t="s">
        <v>155</v>
      </c>
      <c r="E1295" s="337" t="s">
        <v>1</v>
      </c>
      <c r="F1295" s="338" t="s">
        <v>925</v>
      </c>
      <c r="H1295" s="339">
        <f>(25+29+6.4)*0.08*0.18</f>
        <v>0.86976</v>
      </c>
      <c r="I1295" s="498"/>
      <c r="L1295" s="340"/>
      <c r="M1295" s="341"/>
      <c r="N1295" s="342"/>
      <c r="O1295" s="342"/>
      <c r="P1295" s="342"/>
      <c r="Q1295" s="342"/>
      <c r="R1295" s="342"/>
      <c r="S1295" s="342"/>
      <c r="T1295" s="343"/>
      <c r="AT1295" s="337" t="s">
        <v>155</v>
      </c>
      <c r="AU1295" s="337" t="s">
        <v>83</v>
      </c>
      <c r="AV1295" s="335" t="s">
        <v>83</v>
      </c>
      <c r="AW1295" s="335" t="s">
        <v>34</v>
      </c>
      <c r="AX1295" s="335" t="s">
        <v>76</v>
      </c>
      <c r="AY1295" s="337" t="s">
        <v>146</v>
      </c>
    </row>
    <row r="1296" spans="2:51" s="326" customFormat="1" ht="12">
      <c r="B1296" s="327"/>
      <c r="D1296" s="328" t="s">
        <v>155</v>
      </c>
      <c r="E1296" s="329" t="s">
        <v>1</v>
      </c>
      <c r="F1296" s="330" t="s">
        <v>911</v>
      </c>
      <c r="H1296" s="329" t="s">
        <v>1</v>
      </c>
      <c r="I1296" s="497"/>
      <c r="L1296" s="331"/>
      <c r="M1296" s="332"/>
      <c r="N1296" s="333"/>
      <c r="O1296" s="333"/>
      <c r="P1296" s="333"/>
      <c r="Q1296" s="333"/>
      <c r="R1296" s="333"/>
      <c r="S1296" s="333"/>
      <c r="T1296" s="334"/>
      <c r="AT1296" s="329" t="s">
        <v>155</v>
      </c>
      <c r="AU1296" s="329" t="s">
        <v>83</v>
      </c>
      <c r="AV1296" s="326" t="s">
        <v>81</v>
      </c>
      <c r="AW1296" s="326" t="s">
        <v>34</v>
      </c>
      <c r="AX1296" s="326" t="s">
        <v>76</v>
      </c>
      <c r="AY1296" s="329" t="s">
        <v>146</v>
      </c>
    </row>
    <row r="1297" spans="2:51" s="335" customFormat="1" ht="12">
      <c r="B1297" s="336"/>
      <c r="D1297" s="328" t="s">
        <v>155</v>
      </c>
      <c r="E1297" s="337" t="s">
        <v>1</v>
      </c>
      <c r="F1297" s="338" t="s">
        <v>924</v>
      </c>
      <c r="H1297" s="339">
        <f>2*(25+29)*0.12*0.18</f>
        <v>2.3327999999999998</v>
      </c>
      <c r="I1297" s="498"/>
      <c r="L1297" s="340"/>
      <c r="M1297" s="341"/>
      <c r="N1297" s="342"/>
      <c r="O1297" s="342"/>
      <c r="P1297" s="342"/>
      <c r="Q1297" s="342"/>
      <c r="R1297" s="342"/>
      <c r="S1297" s="342"/>
      <c r="T1297" s="343"/>
      <c r="AT1297" s="337" t="s">
        <v>155</v>
      </c>
      <c r="AU1297" s="337" t="s">
        <v>83</v>
      </c>
      <c r="AV1297" s="335" t="s">
        <v>83</v>
      </c>
      <c r="AW1297" s="335" t="s">
        <v>34</v>
      </c>
      <c r="AX1297" s="335" t="s">
        <v>76</v>
      </c>
      <c r="AY1297" s="337" t="s">
        <v>146</v>
      </c>
    </row>
    <row r="1298" spans="2:51" s="326" customFormat="1" ht="12">
      <c r="B1298" s="327"/>
      <c r="D1298" s="328" t="s">
        <v>155</v>
      </c>
      <c r="E1298" s="329" t="s">
        <v>1</v>
      </c>
      <c r="F1298" s="330" t="s">
        <v>912</v>
      </c>
      <c r="H1298" s="329" t="s">
        <v>1</v>
      </c>
      <c r="I1298" s="497"/>
      <c r="L1298" s="331"/>
      <c r="M1298" s="332"/>
      <c r="N1298" s="333"/>
      <c r="O1298" s="333"/>
      <c r="P1298" s="333"/>
      <c r="Q1298" s="333"/>
      <c r="R1298" s="333"/>
      <c r="S1298" s="333"/>
      <c r="T1298" s="334"/>
      <c r="AT1298" s="329" t="s">
        <v>155</v>
      </c>
      <c r="AU1298" s="329" t="s">
        <v>83</v>
      </c>
      <c r="AV1298" s="326" t="s">
        <v>81</v>
      </c>
      <c r="AW1298" s="326" t="s">
        <v>34</v>
      </c>
      <c r="AX1298" s="326" t="s">
        <v>76</v>
      </c>
      <c r="AY1298" s="329" t="s">
        <v>146</v>
      </c>
    </row>
    <row r="1299" spans="2:51" s="335" customFormat="1" ht="12">
      <c r="B1299" s="336"/>
      <c r="D1299" s="328" t="s">
        <v>155</v>
      </c>
      <c r="E1299" s="337" t="s">
        <v>1</v>
      </c>
      <c r="F1299" s="338" t="s">
        <v>926</v>
      </c>
      <c r="H1299" s="339">
        <f>(10*1.7+20*1+15*1.6+23*0.8+2*1.3)*0.12*0.12</f>
        <v>1.1807999999999998</v>
      </c>
      <c r="I1299" s="498"/>
      <c r="L1299" s="340"/>
      <c r="M1299" s="341"/>
      <c r="N1299" s="342"/>
      <c r="O1299" s="342"/>
      <c r="P1299" s="342"/>
      <c r="Q1299" s="342"/>
      <c r="R1299" s="342"/>
      <c r="S1299" s="342"/>
      <c r="T1299" s="343"/>
      <c r="AT1299" s="337" t="s">
        <v>155</v>
      </c>
      <c r="AU1299" s="337" t="s">
        <v>83</v>
      </c>
      <c r="AV1299" s="335" t="s">
        <v>83</v>
      </c>
      <c r="AW1299" s="335" t="s">
        <v>34</v>
      </c>
      <c r="AX1299" s="335" t="s">
        <v>76</v>
      </c>
      <c r="AY1299" s="337" t="s">
        <v>146</v>
      </c>
    </row>
    <row r="1300" spans="2:51" s="326" customFormat="1" ht="12">
      <c r="B1300" s="327"/>
      <c r="D1300" s="328" t="s">
        <v>155</v>
      </c>
      <c r="E1300" s="329" t="s">
        <v>1</v>
      </c>
      <c r="F1300" s="330" t="s">
        <v>914</v>
      </c>
      <c r="H1300" s="329" t="s">
        <v>1</v>
      </c>
      <c r="I1300" s="497"/>
      <c r="L1300" s="331"/>
      <c r="M1300" s="332"/>
      <c r="N1300" s="333"/>
      <c r="O1300" s="333"/>
      <c r="P1300" s="333"/>
      <c r="Q1300" s="333"/>
      <c r="R1300" s="333"/>
      <c r="S1300" s="333"/>
      <c r="T1300" s="334"/>
      <c r="AT1300" s="329" t="s">
        <v>155</v>
      </c>
      <c r="AU1300" s="329" t="s">
        <v>83</v>
      </c>
      <c r="AV1300" s="326" t="s">
        <v>81</v>
      </c>
      <c r="AW1300" s="326" t="s">
        <v>34</v>
      </c>
      <c r="AX1300" s="326" t="s">
        <v>76</v>
      </c>
      <c r="AY1300" s="329" t="s">
        <v>146</v>
      </c>
    </row>
    <row r="1301" spans="2:51" s="335" customFormat="1" ht="12">
      <c r="B1301" s="336"/>
      <c r="D1301" s="328" t="s">
        <v>155</v>
      </c>
      <c r="E1301" s="337" t="s">
        <v>1</v>
      </c>
      <c r="F1301" s="338" t="s">
        <v>2854</v>
      </c>
      <c r="H1301" s="339">
        <f>(3*(23+27)+6)*0.14*0.12</f>
        <v>2.6208000000000005</v>
      </c>
      <c r="I1301" s="498"/>
      <c r="L1301" s="340"/>
      <c r="M1301" s="341"/>
      <c r="N1301" s="342"/>
      <c r="O1301" s="342"/>
      <c r="P1301" s="342"/>
      <c r="Q1301" s="342"/>
      <c r="R1301" s="342"/>
      <c r="S1301" s="342"/>
      <c r="T1301" s="343"/>
      <c r="AT1301" s="337" t="s">
        <v>155</v>
      </c>
      <c r="AU1301" s="337" t="s">
        <v>83</v>
      </c>
      <c r="AV1301" s="335" t="s">
        <v>83</v>
      </c>
      <c r="AW1301" s="335" t="s">
        <v>34</v>
      </c>
      <c r="AX1301" s="335" t="s">
        <v>76</v>
      </c>
      <c r="AY1301" s="337" t="s">
        <v>146</v>
      </c>
    </row>
    <row r="1302" spans="2:51" s="326" customFormat="1" ht="12">
      <c r="B1302" s="327"/>
      <c r="D1302" s="328" t="s">
        <v>155</v>
      </c>
      <c r="E1302" s="329" t="s">
        <v>1</v>
      </c>
      <c r="F1302" s="330" t="s">
        <v>915</v>
      </c>
      <c r="H1302" s="329" t="s">
        <v>1</v>
      </c>
      <c r="I1302" s="497"/>
      <c r="L1302" s="331"/>
      <c r="M1302" s="332"/>
      <c r="N1302" s="333"/>
      <c r="O1302" s="333"/>
      <c r="P1302" s="333"/>
      <c r="Q1302" s="333"/>
      <c r="R1302" s="333"/>
      <c r="S1302" s="333"/>
      <c r="T1302" s="334"/>
      <c r="AT1302" s="329" t="s">
        <v>155</v>
      </c>
      <c r="AU1302" s="329" t="s">
        <v>83</v>
      </c>
      <c r="AV1302" s="326" t="s">
        <v>81</v>
      </c>
      <c r="AW1302" s="326" t="s">
        <v>34</v>
      </c>
      <c r="AX1302" s="326" t="s">
        <v>76</v>
      </c>
      <c r="AY1302" s="329" t="s">
        <v>146</v>
      </c>
    </row>
    <row r="1303" spans="2:51" s="335" customFormat="1" ht="12">
      <c r="B1303" s="336"/>
      <c r="D1303" s="328" t="s">
        <v>155</v>
      </c>
      <c r="E1303" s="337" t="s">
        <v>1</v>
      </c>
      <c r="F1303" s="338" t="s">
        <v>927</v>
      </c>
      <c r="H1303" s="339">
        <f>2*2*0.14*0.1</f>
        <v>0.05600000000000001</v>
      </c>
      <c r="I1303" s="498"/>
      <c r="L1303" s="340"/>
      <c r="M1303" s="341"/>
      <c r="N1303" s="342"/>
      <c r="O1303" s="342"/>
      <c r="P1303" s="342"/>
      <c r="Q1303" s="342"/>
      <c r="R1303" s="342"/>
      <c r="S1303" s="342"/>
      <c r="T1303" s="343"/>
      <c r="AT1303" s="337" t="s">
        <v>155</v>
      </c>
      <c r="AU1303" s="337" t="s">
        <v>83</v>
      </c>
      <c r="AV1303" s="335" t="s">
        <v>83</v>
      </c>
      <c r="AW1303" s="335" t="s">
        <v>34</v>
      </c>
      <c r="AX1303" s="335" t="s">
        <v>76</v>
      </c>
      <c r="AY1303" s="337" t="s">
        <v>146</v>
      </c>
    </row>
    <row r="1304" spans="2:51" s="326" customFormat="1" ht="12">
      <c r="B1304" s="327"/>
      <c r="D1304" s="328" t="s">
        <v>155</v>
      </c>
      <c r="E1304" s="329" t="s">
        <v>1</v>
      </c>
      <c r="F1304" s="330" t="s">
        <v>917</v>
      </c>
      <c r="H1304" s="329" t="s">
        <v>1</v>
      </c>
      <c r="I1304" s="497"/>
      <c r="L1304" s="331"/>
      <c r="M1304" s="332"/>
      <c r="N1304" s="333"/>
      <c r="O1304" s="333"/>
      <c r="P1304" s="333"/>
      <c r="Q1304" s="333"/>
      <c r="R1304" s="333"/>
      <c r="S1304" s="333"/>
      <c r="T1304" s="334"/>
      <c r="AT1304" s="329" t="s">
        <v>155</v>
      </c>
      <c r="AU1304" s="329" t="s">
        <v>83</v>
      </c>
      <c r="AV1304" s="326" t="s">
        <v>81</v>
      </c>
      <c r="AW1304" s="326" t="s">
        <v>34</v>
      </c>
      <c r="AX1304" s="326" t="s">
        <v>76</v>
      </c>
      <c r="AY1304" s="329" t="s">
        <v>146</v>
      </c>
    </row>
    <row r="1305" spans="2:51" s="335" customFormat="1" ht="12">
      <c r="B1305" s="336"/>
      <c r="D1305" s="328" t="s">
        <v>155</v>
      </c>
      <c r="E1305" s="337" t="s">
        <v>1</v>
      </c>
      <c r="F1305" s="338" t="s">
        <v>928</v>
      </c>
      <c r="H1305" s="339">
        <f>30*0.12*0.12</f>
        <v>0.43199999999999994</v>
      </c>
      <c r="I1305" s="498"/>
      <c r="L1305" s="340"/>
      <c r="M1305" s="341"/>
      <c r="N1305" s="342"/>
      <c r="O1305" s="342"/>
      <c r="P1305" s="342"/>
      <c r="Q1305" s="342"/>
      <c r="R1305" s="342"/>
      <c r="S1305" s="342"/>
      <c r="T1305" s="343"/>
      <c r="AT1305" s="337" t="s">
        <v>155</v>
      </c>
      <c r="AU1305" s="337" t="s">
        <v>83</v>
      </c>
      <c r="AV1305" s="335" t="s">
        <v>83</v>
      </c>
      <c r="AW1305" s="335" t="s">
        <v>34</v>
      </c>
      <c r="AX1305" s="335" t="s">
        <v>76</v>
      </c>
      <c r="AY1305" s="337" t="s">
        <v>146</v>
      </c>
    </row>
    <row r="1306" spans="2:51" s="347" customFormat="1" ht="12">
      <c r="B1306" s="348"/>
      <c r="D1306" s="328" t="s">
        <v>155</v>
      </c>
      <c r="E1306" s="349" t="s">
        <v>1</v>
      </c>
      <c r="F1306" s="356" t="s">
        <v>157</v>
      </c>
      <c r="H1306" s="351">
        <f>SUM(H1289:H1305)</f>
        <v>30.394879999999993</v>
      </c>
      <c r="I1306" s="499"/>
      <c r="L1306" s="352"/>
      <c r="M1306" s="353"/>
      <c r="N1306" s="354"/>
      <c r="O1306" s="354"/>
      <c r="P1306" s="354"/>
      <c r="Q1306" s="354"/>
      <c r="R1306" s="354"/>
      <c r="S1306" s="354"/>
      <c r="T1306" s="355"/>
      <c r="AT1306" s="349" t="s">
        <v>155</v>
      </c>
      <c r="AU1306" s="349" t="s">
        <v>83</v>
      </c>
      <c r="AV1306" s="347" t="s">
        <v>153</v>
      </c>
      <c r="AW1306" s="347" t="s">
        <v>34</v>
      </c>
      <c r="AX1306" s="347" t="s">
        <v>81</v>
      </c>
      <c r="AY1306" s="349" t="s">
        <v>146</v>
      </c>
    </row>
    <row r="1307" spans="1:65" s="225" customFormat="1" ht="33" customHeight="1">
      <c r="A1307" s="222"/>
      <c r="B1307" s="223"/>
      <c r="C1307" s="314">
        <v>229</v>
      </c>
      <c r="D1307" s="314" t="s">
        <v>148</v>
      </c>
      <c r="E1307" s="315" t="s">
        <v>929</v>
      </c>
      <c r="F1307" s="316" t="s">
        <v>930</v>
      </c>
      <c r="G1307" s="317" t="s">
        <v>151</v>
      </c>
      <c r="H1307" s="318">
        <f>H1315</f>
        <v>1573.8792283241978</v>
      </c>
      <c r="I1307" s="79"/>
      <c r="J1307" s="319">
        <f>ROUND(I1307*H1307,2)</f>
        <v>0</v>
      </c>
      <c r="K1307" s="316"/>
      <c r="L1307" s="229"/>
      <c r="M1307" s="320" t="s">
        <v>1</v>
      </c>
      <c r="N1307" s="321" t="s">
        <v>42</v>
      </c>
      <c r="O1307" s="322">
        <v>0.29</v>
      </c>
      <c r="P1307" s="322">
        <f>O1307*H1307</f>
        <v>456.4249762140173</v>
      </c>
      <c r="Q1307" s="322">
        <v>0</v>
      </c>
      <c r="R1307" s="322">
        <f>Q1307*H1307</f>
        <v>0</v>
      </c>
      <c r="S1307" s="322">
        <v>0</v>
      </c>
      <c r="T1307" s="323">
        <f>S1307*H1307</f>
        <v>0</v>
      </c>
      <c r="U1307" s="222"/>
      <c r="V1307" s="222"/>
      <c r="W1307" s="222"/>
      <c r="X1307" s="222"/>
      <c r="Y1307" s="222"/>
      <c r="Z1307" s="222"/>
      <c r="AA1307" s="222"/>
      <c r="AB1307" s="222"/>
      <c r="AC1307" s="222"/>
      <c r="AD1307" s="222"/>
      <c r="AE1307" s="222"/>
      <c r="AR1307" s="324" t="s">
        <v>212</v>
      </c>
      <c r="AT1307" s="324" t="s">
        <v>148</v>
      </c>
      <c r="AU1307" s="324" t="s">
        <v>83</v>
      </c>
      <c r="AY1307" s="214" t="s">
        <v>146</v>
      </c>
      <c r="BE1307" s="325">
        <f>IF(N1307="základní",J1307,0)</f>
        <v>0</v>
      </c>
      <c r="BF1307" s="325">
        <f>IF(N1307="snížená",J1307,0)</f>
        <v>0</v>
      </c>
      <c r="BG1307" s="325">
        <f>IF(N1307="zákl. přenesená",J1307,0)</f>
        <v>0</v>
      </c>
      <c r="BH1307" s="325">
        <f>IF(N1307="sníž. přenesená",J1307,0)</f>
        <v>0</v>
      </c>
      <c r="BI1307" s="325">
        <f>IF(N1307="nulová",J1307,0)</f>
        <v>0</v>
      </c>
      <c r="BJ1307" s="214" t="s">
        <v>81</v>
      </c>
      <c r="BK1307" s="325">
        <f>ROUND(I1307*H1307,2)</f>
        <v>0</v>
      </c>
      <c r="BL1307" s="214" t="s">
        <v>212</v>
      </c>
      <c r="BM1307" s="324" t="s">
        <v>931</v>
      </c>
    </row>
    <row r="1308" spans="2:51" s="326" customFormat="1" ht="12">
      <c r="B1308" s="327"/>
      <c r="D1308" s="328" t="s">
        <v>155</v>
      </c>
      <c r="E1308" s="329" t="s">
        <v>1</v>
      </c>
      <c r="F1308" s="330" t="s">
        <v>932</v>
      </c>
      <c r="H1308" s="329" t="s">
        <v>1</v>
      </c>
      <c r="I1308" s="497"/>
      <c r="L1308" s="331"/>
      <c r="M1308" s="332"/>
      <c r="N1308" s="333"/>
      <c r="O1308" s="333"/>
      <c r="P1308" s="333"/>
      <c r="Q1308" s="333"/>
      <c r="R1308" s="333"/>
      <c r="S1308" s="333"/>
      <c r="T1308" s="334"/>
      <c r="AT1308" s="329" t="s">
        <v>155</v>
      </c>
      <c r="AU1308" s="329" t="s">
        <v>83</v>
      </c>
      <c r="AV1308" s="326" t="s">
        <v>81</v>
      </c>
      <c r="AW1308" s="326" t="s">
        <v>34</v>
      </c>
      <c r="AX1308" s="326" t="s">
        <v>76</v>
      </c>
      <c r="AY1308" s="329" t="s">
        <v>146</v>
      </c>
    </row>
    <row r="1309" spans="2:51" s="326" customFormat="1" ht="12">
      <c r="B1309" s="327"/>
      <c r="D1309" s="328" t="s">
        <v>155</v>
      </c>
      <c r="E1309" s="329" t="s">
        <v>1</v>
      </c>
      <c r="F1309" s="330" t="s">
        <v>933</v>
      </c>
      <c r="H1309" s="329" t="s">
        <v>1</v>
      </c>
      <c r="I1309" s="497"/>
      <c r="L1309" s="331"/>
      <c r="M1309" s="332"/>
      <c r="N1309" s="333"/>
      <c r="O1309" s="333"/>
      <c r="P1309" s="333"/>
      <c r="Q1309" s="333"/>
      <c r="R1309" s="333"/>
      <c r="S1309" s="333"/>
      <c r="T1309" s="334"/>
      <c r="AT1309" s="329" t="s">
        <v>155</v>
      </c>
      <c r="AU1309" s="329" t="s">
        <v>83</v>
      </c>
      <c r="AV1309" s="326" t="s">
        <v>81</v>
      </c>
      <c r="AW1309" s="326" t="s">
        <v>34</v>
      </c>
      <c r="AX1309" s="326" t="s">
        <v>76</v>
      </c>
      <c r="AY1309" s="329" t="s">
        <v>146</v>
      </c>
    </row>
    <row r="1310" spans="2:51" s="335" customFormat="1" ht="12">
      <c r="B1310" s="336"/>
      <c r="D1310" s="328" t="s">
        <v>155</v>
      </c>
      <c r="E1310" s="337" t="s">
        <v>1</v>
      </c>
      <c r="F1310" s="338" t="s">
        <v>934</v>
      </c>
      <c r="H1310" s="339">
        <f>7.63*2*24.725</f>
        <v>377.30350000000004</v>
      </c>
      <c r="I1310" s="498"/>
      <c r="L1310" s="340"/>
      <c r="M1310" s="341"/>
      <c r="N1310" s="342"/>
      <c r="O1310" s="342"/>
      <c r="P1310" s="342"/>
      <c r="Q1310" s="342"/>
      <c r="R1310" s="342"/>
      <c r="S1310" s="342"/>
      <c r="T1310" s="343"/>
      <c r="AT1310" s="337" t="s">
        <v>155</v>
      </c>
      <c r="AU1310" s="337" t="s">
        <v>83</v>
      </c>
      <c r="AV1310" s="335" t="s">
        <v>83</v>
      </c>
      <c r="AW1310" s="335" t="s">
        <v>34</v>
      </c>
      <c r="AX1310" s="335" t="s">
        <v>76</v>
      </c>
      <c r="AY1310" s="337" t="s">
        <v>146</v>
      </c>
    </row>
    <row r="1311" spans="2:51" s="326" customFormat="1" ht="12">
      <c r="B1311" s="327"/>
      <c r="D1311" s="328" t="s">
        <v>155</v>
      </c>
      <c r="E1311" s="329" t="s">
        <v>1</v>
      </c>
      <c r="F1311" s="330" t="s">
        <v>935</v>
      </c>
      <c r="H1311" s="329" t="s">
        <v>1</v>
      </c>
      <c r="I1311" s="497"/>
      <c r="L1311" s="331"/>
      <c r="M1311" s="332"/>
      <c r="N1311" s="333"/>
      <c r="O1311" s="333"/>
      <c r="P1311" s="333"/>
      <c r="Q1311" s="333"/>
      <c r="R1311" s="333"/>
      <c r="S1311" s="333"/>
      <c r="T1311" s="334"/>
      <c r="AT1311" s="329" t="s">
        <v>155</v>
      </c>
      <c r="AU1311" s="329" t="s">
        <v>83</v>
      </c>
      <c r="AV1311" s="326" t="s">
        <v>81</v>
      </c>
      <c r="AW1311" s="326" t="s">
        <v>34</v>
      </c>
      <c r="AX1311" s="326" t="s">
        <v>76</v>
      </c>
      <c r="AY1311" s="329" t="s">
        <v>146</v>
      </c>
    </row>
    <row r="1312" spans="2:51" s="335" customFormat="1" ht="12">
      <c r="B1312" s="336"/>
      <c r="D1312" s="328" t="s">
        <v>155</v>
      </c>
      <c r="E1312" s="337" t="s">
        <v>1</v>
      </c>
      <c r="F1312" s="338" t="s">
        <v>2843</v>
      </c>
      <c r="H1312" s="339">
        <f>7.5*(14.825+29.06)+(29.06-14.825)*5.6/COS(8/180*3.14)</f>
        <v>409.63611416209886</v>
      </c>
      <c r="I1312" s="498"/>
      <c r="L1312" s="340"/>
      <c r="M1312" s="341"/>
      <c r="N1312" s="342"/>
      <c r="O1312" s="342"/>
      <c r="P1312" s="342"/>
      <c r="Q1312" s="342"/>
      <c r="R1312" s="342"/>
      <c r="S1312" s="342"/>
      <c r="T1312" s="343"/>
      <c r="AT1312" s="337" t="s">
        <v>155</v>
      </c>
      <c r="AU1312" s="337" t="s">
        <v>83</v>
      </c>
      <c r="AV1312" s="335" t="s">
        <v>83</v>
      </c>
      <c r="AW1312" s="335" t="s">
        <v>34</v>
      </c>
      <c r="AX1312" s="335" t="s">
        <v>76</v>
      </c>
      <c r="AY1312" s="337" t="s">
        <v>146</v>
      </c>
    </row>
    <row r="1313" spans="2:51" s="455" customFormat="1" ht="12">
      <c r="B1313" s="456"/>
      <c r="D1313" s="328" t="s">
        <v>155</v>
      </c>
      <c r="E1313" s="457" t="s">
        <v>1</v>
      </c>
      <c r="F1313" s="458" t="s">
        <v>941</v>
      </c>
      <c r="H1313" s="459">
        <f>SUM(H1310:H1312)</f>
        <v>786.9396141620989</v>
      </c>
      <c r="I1313" s="506"/>
      <c r="L1313" s="460"/>
      <c r="M1313" s="461"/>
      <c r="N1313" s="462"/>
      <c r="O1313" s="462"/>
      <c r="P1313" s="462"/>
      <c r="Q1313" s="462"/>
      <c r="R1313" s="462"/>
      <c r="S1313" s="462"/>
      <c r="T1313" s="463"/>
      <c r="AT1313" s="457" t="s">
        <v>155</v>
      </c>
      <c r="AU1313" s="457" t="s">
        <v>83</v>
      </c>
      <c r="AV1313" s="455" t="s">
        <v>159</v>
      </c>
      <c r="AW1313" s="455" t="s">
        <v>34</v>
      </c>
      <c r="AX1313" s="455" t="s">
        <v>76</v>
      </c>
      <c r="AY1313" s="457" t="s">
        <v>146</v>
      </c>
    </row>
    <row r="1314" spans="2:51" s="326" customFormat="1" ht="12">
      <c r="B1314" s="327"/>
      <c r="D1314" s="328" t="s">
        <v>155</v>
      </c>
      <c r="E1314" s="329" t="s">
        <v>1</v>
      </c>
      <c r="F1314" s="330" t="s">
        <v>942</v>
      </c>
      <c r="H1314" s="416">
        <f>H1313</f>
        <v>786.9396141620989</v>
      </c>
      <c r="I1314" s="497"/>
      <c r="L1314" s="331"/>
      <c r="M1314" s="332"/>
      <c r="N1314" s="333"/>
      <c r="O1314" s="333"/>
      <c r="P1314" s="333"/>
      <c r="Q1314" s="333"/>
      <c r="R1314" s="333"/>
      <c r="S1314" s="333"/>
      <c r="T1314" s="334"/>
      <c r="AT1314" s="329" t="s">
        <v>155</v>
      </c>
      <c r="AU1314" s="329" t="s">
        <v>83</v>
      </c>
      <c r="AV1314" s="326" t="s">
        <v>81</v>
      </c>
      <c r="AW1314" s="326" t="s">
        <v>34</v>
      </c>
      <c r="AX1314" s="326" t="s">
        <v>76</v>
      </c>
      <c r="AY1314" s="329" t="s">
        <v>146</v>
      </c>
    </row>
    <row r="1315" spans="2:51" s="347" customFormat="1" ht="12">
      <c r="B1315" s="348"/>
      <c r="D1315" s="328" t="s">
        <v>155</v>
      </c>
      <c r="E1315" s="349" t="s">
        <v>1</v>
      </c>
      <c r="F1315" s="356" t="s">
        <v>157</v>
      </c>
      <c r="H1315" s="351">
        <f>H1313+H1314</f>
        <v>1573.8792283241978</v>
      </c>
      <c r="I1315" s="499"/>
      <c r="L1315" s="352"/>
      <c r="M1315" s="353"/>
      <c r="N1315" s="354"/>
      <c r="O1315" s="354"/>
      <c r="P1315" s="354"/>
      <c r="Q1315" s="354"/>
      <c r="R1315" s="354"/>
      <c r="S1315" s="354"/>
      <c r="T1315" s="355"/>
      <c r="AT1315" s="349" t="s">
        <v>155</v>
      </c>
      <c r="AU1315" s="349" t="s">
        <v>83</v>
      </c>
      <c r="AV1315" s="347" t="s">
        <v>153</v>
      </c>
      <c r="AW1315" s="347" t="s">
        <v>34</v>
      </c>
      <c r="AX1315" s="347" t="s">
        <v>81</v>
      </c>
      <c r="AY1315" s="349" t="s">
        <v>146</v>
      </c>
    </row>
    <row r="1316" spans="1:65" s="225" customFormat="1" ht="16.5" customHeight="1">
      <c r="A1316" s="222"/>
      <c r="B1316" s="223"/>
      <c r="C1316" s="358">
        <v>230</v>
      </c>
      <c r="D1316" s="358" t="s">
        <v>208</v>
      </c>
      <c r="E1316" s="359" t="s">
        <v>943</v>
      </c>
      <c r="F1316" s="364" t="s">
        <v>944</v>
      </c>
      <c r="G1316" s="361" t="s">
        <v>162</v>
      </c>
      <c r="H1316" s="362">
        <f>H1317</f>
        <v>37.773095999999995</v>
      </c>
      <c r="I1316" s="80"/>
      <c r="J1316" s="363">
        <f>ROUND(I1316*H1316,2)</f>
        <v>0</v>
      </c>
      <c r="K1316" s="364"/>
      <c r="L1316" s="365"/>
      <c r="M1316" s="366" t="s">
        <v>1</v>
      </c>
      <c r="N1316" s="367" t="s">
        <v>42</v>
      </c>
      <c r="O1316" s="322">
        <v>0</v>
      </c>
      <c r="P1316" s="322">
        <f>O1316*H1316</f>
        <v>0</v>
      </c>
      <c r="Q1316" s="322">
        <v>0.55</v>
      </c>
      <c r="R1316" s="322">
        <f>Q1316*H1316</f>
        <v>20.7752028</v>
      </c>
      <c r="S1316" s="322">
        <v>0</v>
      </c>
      <c r="T1316" s="323">
        <f>S1316*H1316</f>
        <v>0</v>
      </c>
      <c r="U1316" s="222"/>
      <c r="V1316" s="222"/>
      <c r="W1316" s="222"/>
      <c r="X1316" s="222"/>
      <c r="Y1316" s="222"/>
      <c r="Z1316" s="222"/>
      <c r="AA1316" s="222"/>
      <c r="AB1316" s="222"/>
      <c r="AC1316" s="222"/>
      <c r="AD1316" s="222"/>
      <c r="AE1316" s="222"/>
      <c r="AR1316" s="324" t="s">
        <v>298</v>
      </c>
      <c r="AT1316" s="324" t="s">
        <v>208</v>
      </c>
      <c r="AU1316" s="324" t="s">
        <v>83</v>
      </c>
      <c r="AY1316" s="214" t="s">
        <v>146</v>
      </c>
      <c r="BE1316" s="325">
        <f>IF(N1316="základní",J1316,0)</f>
        <v>0</v>
      </c>
      <c r="BF1316" s="325">
        <f>IF(N1316="snížená",J1316,0)</f>
        <v>0</v>
      </c>
      <c r="BG1316" s="325">
        <f>IF(N1316="zákl. přenesená",J1316,0)</f>
        <v>0</v>
      </c>
      <c r="BH1316" s="325">
        <f>IF(N1316="sníž. přenesená",J1316,0)</f>
        <v>0</v>
      </c>
      <c r="BI1316" s="325">
        <f>IF(N1316="nulová",J1316,0)</f>
        <v>0</v>
      </c>
      <c r="BJ1316" s="214" t="s">
        <v>81</v>
      </c>
      <c r="BK1316" s="325">
        <f>ROUND(I1316*H1316,2)</f>
        <v>0</v>
      </c>
      <c r="BL1316" s="214" t="s">
        <v>212</v>
      </c>
      <c r="BM1316" s="324" t="s">
        <v>945</v>
      </c>
    </row>
    <row r="1317" spans="2:51" s="335" customFormat="1" ht="12">
      <c r="B1317" s="336"/>
      <c r="D1317" s="328" t="s">
        <v>155</v>
      </c>
      <c r="F1317" s="338" t="s">
        <v>2844</v>
      </c>
      <c r="H1317" s="339">
        <f>1573.879*0.024</f>
        <v>37.773095999999995</v>
      </c>
      <c r="I1317" s="498"/>
      <c r="L1317" s="340"/>
      <c r="M1317" s="341"/>
      <c r="N1317" s="342"/>
      <c r="O1317" s="342"/>
      <c r="P1317" s="342"/>
      <c r="Q1317" s="342"/>
      <c r="R1317" s="342"/>
      <c r="S1317" s="342"/>
      <c r="T1317" s="343"/>
      <c r="AT1317" s="337" t="s">
        <v>155</v>
      </c>
      <c r="AU1317" s="337" t="s">
        <v>83</v>
      </c>
      <c r="AV1317" s="335" t="s">
        <v>83</v>
      </c>
      <c r="AW1317" s="335" t="s">
        <v>3</v>
      </c>
      <c r="AX1317" s="335" t="s">
        <v>81</v>
      </c>
      <c r="AY1317" s="337" t="s">
        <v>146</v>
      </c>
    </row>
    <row r="1318" spans="1:65" s="225" customFormat="1" ht="16.5" customHeight="1">
      <c r="A1318" s="222"/>
      <c r="B1318" s="223"/>
      <c r="C1318" s="314">
        <v>231</v>
      </c>
      <c r="D1318" s="314" t="s">
        <v>148</v>
      </c>
      <c r="E1318" s="315" t="s">
        <v>946</v>
      </c>
      <c r="F1318" s="316" t="s">
        <v>947</v>
      </c>
      <c r="G1318" s="317" t="s">
        <v>158</v>
      </c>
      <c r="H1318" s="318">
        <f>H1320</f>
        <v>1259.104</v>
      </c>
      <c r="I1318" s="79"/>
      <c r="J1318" s="319">
        <f>ROUND(I1318*H1318,2)</f>
        <v>0</v>
      </c>
      <c r="K1318" s="316"/>
      <c r="L1318" s="229"/>
      <c r="M1318" s="320" t="s">
        <v>1</v>
      </c>
      <c r="N1318" s="321" t="s">
        <v>42</v>
      </c>
      <c r="O1318" s="322">
        <v>0.03</v>
      </c>
      <c r="P1318" s="322">
        <f>O1318*H1318</f>
        <v>37.77312</v>
      </c>
      <c r="Q1318" s="322">
        <v>2.1E-05</v>
      </c>
      <c r="R1318" s="322">
        <f>Q1318*H1318</f>
        <v>0.026441184</v>
      </c>
      <c r="S1318" s="322">
        <v>0</v>
      </c>
      <c r="T1318" s="323">
        <f>S1318*H1318</f>
        <v>0</v>
      </c>
      <c r="U1318" s="222"/>
      <c r="V1318" s="222"/>
      <c r="W1318" s="222"/>
      <c r="X1318" s="222"/>
      <c r="Y1318" s="222"/>
      <c r="Z1318" s="222"/>
      <c r="AA1318" s="222"/>
      <c r="AB1318" s="222"/>
      <c r="AC1318" s="222"/>
      <c r="AD1318" s="222"/>
      <c r="AE1318" s="222"/>
      <c r="AR1318" s="324" t="s">
        <v>212</v>
      </c>
      <c r="AT1318" s="324" t="s">
        <v>148</v>
      </c>
      <c r="AU1318" s="324" t="s">
        <v>83</v>
      </c>
      <c r="AY1318" s="214" t="s">
        <v>146</v>
      </c>
      <c r="BE1318" s="325">
        <f>IF(N1318="základní",J1318,0)</f>
        <v>0</v>
      </c>
      <c r="BF1318" s="325">
        <f>IF(N1318="snížená",J1318,0)</f>
        <v>0</v>
      </c>
      <c r="BG1318" s="325">
        <f>IF(N1318="zákl. přenesená",J1318,0)</f>
        <v>0</v>
      </c>
      <c r="BH1318" s="325">
        <f>IF(N1318="sníž. přenesená",J1318,0)</f>
        <v>0</v>
      </c>
      <c r="BI1318" s="325">
        <f>IF(N1318="nulová",J1318,0)</f>
        <v>0</v>
      </c>
      <c r="BJ1318" s="214" t="s">
        <v>81</v>
      </c>
      <c r="BK1318" s="325">
        <f>ROUND(I1318*H1318,2)</f>
        <v>0</v>
      </c>
      <c r="BL1318" s="214" t="s">
        <v>212</v>
      </c>
      <c r="BM1318" s="324" t="s">
        <v>948</v>
      </c>
    </row>
    <row r="1319" spans="2:51" s="326" customFormat="1" ht="12">
      <c r="B1319" s="327"/>
      <c r="D1319" s="328" t="s">
        <v>155</v>
      </c>
      <c r="E1319" s="329" t="s">
        <v>1</v>
      </c>
      <c r="F1319" s="330" t="s">
        <v>2845</v>
      </c>
      <c r="H1319" s="329" t="s">
        <v>1</v>
      </c>
      <c r="I1319" s="497"/>
      <c r="L1319" s="331"/>
      <c r="M1319" s="332"/>
      <c r="N1319" s="333"/>
      <c r="O1319" s="333"/>
      <c r="P1319" s="333"/>
      <c r="Q1319" s="333"/>
      <c r="R1319" s="333"/>
      <c r="S1319" s="333"/>
      <c r="T1319" s="334"/>
      <c r="AT1319" s="329" t="s">
        <v>155</v>
      </c>
      <c r="AU1319" s="329" t="s">
        <v>83</v>
      </c>
      <c r="AV1319" s="326" t="s">
        <v>81</v>
      </c>
      <c r="AW1319" s="326" t="s">
        <v>34</v>
      </c>
      <c r="AX1319" s="326" t="s">
        <v>76</v>
      </c>
      <c r="AY1319" s="329" t="s">
        <v>146</v>
      </c>
    </row>
    <row r="1320" spans="2:51" s="335" customFormat="1" ht="12">
      <c r="B1320" s="336"/>
      <c r="D1320" s="328" t="s">
        <v>155</v>
      </c>
      <c r="E1320" s="337" t="s">
        <v>1</v>
      </c>
      <c r="F1320" s="338" t="s">
        <v>2846</v>
      </c>
      <c r="H1320" s="339">
        <f>786.94/0.625</f>
        <v>1259.104</v>
      </c>
      <c r="I1320" s="498"/>
      <c r="L1320" s="340"/>
      <c r="M1320" s="341"/>
      <c r="N1320" s="342"/>
      <c r="O1320" s="342"/>
      <c r="P1320" s="342"/>
      <c r="Q1320" s="342"/>
      <c r="R1320" s="342"/>
      <c r="S1320" s="342"/>
      <c r="T1320" s="343"/>
      <c r="AT1320" s="337" t="s">
        <v>155</v>
      </c>
      <c r="AU1320" s="337" t="s">
        <v>83</v>
      </c>
      <c r="AV1320" s="335" t="s">
        <v>83</v>
      </c>
      <c r="AW1320" s="335" t="s">
        <v>34</v>
      </c>
      <c r="AX1320" s="335" t="s">
        <v>76</v>
      </c>
      <c r="AY1320" s="337" t="s">
        <v>146</v>
      </c>
    </row>
    <row r="1321" spans="1:65" s="225" customFormat="1" ht="16.5" customHeight="1">
      <c r="A1321" s="222"/>
      <c r="B1321" s="223"/>
      <c r="C1321" s="358">
        <v>232</v>
      </c>
      <c r="D1321" s="358" t="s">
        <v>208</v>
      </c>
      <c r="E1321" s="359" t="s">
        <v>949</v>
      </c>
      <c r="F1321" s="364" t="s">
        <v>950</v>
      </c>
      <c r="G1321" s="361" t="s">
        <v>162</v>
      </c>
      <c r="H1321" s="362">
        <f>H1322</f>
        <v>8.0582656</v>
      </c>
      <c r="I1321" s="80"/>
      <c r="J1321" s="363">
        <f>ROUND(I1321*H1321,2)</f>
        <v>0</v>
      </c>
      <c r="K1321" s="364"/>
      <c r="L1321" s="365"/>
      <c r="M1321" s="366" t="s">
        <v>1</v>
      </c>
      <c r="N1321" s="367" t="s">
        <v>42</v>
      </c>
      <c r="O1321" s="322">
        <v>0</v>
      </c>
      <c r="P1321" s="322">
        <f>O1321*H1321</f>
        <v>0</v>
      </c>
      <c r="Q1321" s="322">
        <v>0.55</v>
      </c>
      <c r="R1321" s="322">
        <f>Q1321*H1321</f>
        <v>4.432046080000001</v>
      </c>
      <c r="S1321" s="322">
        <v>0</v>
      </c>
      <c r="T1321" s="323">
        <f>S1321*H1321</f>
        <v>0</v>
      </c>
      <c r="U1321" s="222"/>
      <c r="V1321" s="222"/>
      <c r="W1321" s="222"/>
      <c r="X1321" s="222"/>
      <c r="Y1321" s="222"/>
      <c r="Z1321" s="222"/>
      <c r="AA1321" s="222"/>
      <c r="AB1321" s="222"/>
      <c r="AC1321" s="222"/>
      <c r="AD1321" s="222"/>
      <c r="AE1321" s="222"/>
      <c r="AR1321" s="324" t="s">
        <v>298</v>
      </c>
      <c r="AT1321" s="324" t="s">
        <v>208</v>
      </c>
      <c r="AU1321" s="324" t="s">
        <v>83</v>
      </c>
      <c r="AY1321" s="214" t="s">
        <v>146</v>
      </c>
      <c r="BE1321" s="325">
        <f>IF(N1321="základní",J1321,0)</f>
        <v>0</v>
      </c>
      <c r="BF1321" s="325">
        <f>IF(N1321="snížená",J1321,0)</f>
        <v>0</v>
      </c>
      <c r="BG1321" s="325">
        <f>IF(N1321="zákl. přenesená",J1321,0)</f>
        <v>0</v>
      </c>
      <c r="BH1321" s="325">
        <f>IF(N1321="sníž. přenesená",J1321,0)</f>
        <v>0</v>
      </c>
      <c r="BI1321" s="325">
        <f>IF(N1321="nulová",J1321,0)</f>
        <v>0</v>
      </c>
      <c r="BJ1321" s="214" t="s">
        <v>81</v>
      </c>
      <c r="BK1321" s="325">
        <f>ROUND(I1321*H1321,2)</f>
        <v>0</v>
      </c>
      <c r="BL1321" s="214" t="s">
        <v>212</v>
      </c>
      <c r="BM1321" s="324" t="s">
        <v>951</v>
      </c>
    </row>
    <row r="1322" spans="2:51" s="335" customFormat="1" ht="12">
      <c r="B1322" s="336"/>
      <c r="D1322" s="328" t="s">
        <v>155</v>
      </c>
      <c r="F1322" s="338" t="s">
        <v>2847</v>
      </c>
      <c r="H1322" s="339">
        <f>1259.104*0.08*0.08</f>
        <v>8.0582656</v>
      </c>
      <c r="I1322" s="498"/>
      <c r="L1322" s="340"/>
      <c r="M1322" s="341"/>
      <c r="N1322" s="342"/>
      <c r="O1322" s="342"/>
      <c r="P1322" s="342"/>
      <c r="Q1322" s="342"/>
      <c r="R1322" s="342"/>
      <c r="S1322" s="342"/>
      <c r="T1322" s="343"/>
      <c r="AT1322" s="337" t="s">
        <v>155</v>
      </c>
      <c r="AU1322" s="337" t="s">
        <v>83</v>
      </c>
      <c r="AV1322" s="335" t="s">
        <v>83</v>
      </c>
      <c r="AW1322" s="335" t="s">
        <v>3</v>
      </c>
      <c r="AX1322" s="335" t="s">
        <v>81</v>
      </c>
      <c r="AY1322" s="337" t="s">
        <v>146</v>
      </c>
    </row>
    <row r="1323" spans="1:65" s="225" customFormat="1" ht="16.5" customHeight="1">
      <c r="A1323" s="222"/>
      <c r="B1323" s="223"/>
      <c r="C1323" s="314">
        <v>233</v>
      </c>
      <c r="D1323" s="314" t="s">
        <v>148</v>
      </c>
      <c r="E1323" s="315" t="s">
        <v>952</v>
      </c>
      <c r="F1323" s="316" t="s">
        <v>953</v>
      </c>
      <c r="G1323" s="317" t="s">
        <v>151</v>
      </c>
      <c r="H1323" s="318">
        <f>H1325</f>
        <v>2.8000000000000003</v>
      </c>
      <c r="I1323" s="79"/>
      <c r="J1323" s="319">
        <f>ROUND(I1323*H1323,2)</f>
        <v>0</v>
      </c>
      <c r="K1323" s="316"/>
      <c r="L1323" s="229"/>
      <c r="M1323" s="320" t="s">
        <v>1</v>
      </c>
      <c r="N1323" s="321" t="s">
        <v>42</v>
      </c>
      <c r="O1323" s="322">
        <v>0.71</v>
      </c>
      <c r="P1323" s="322">
        <f>O1323*H1323</f>
        <v>1.988</v>
      </c>
      <c r="Q1323" s="322">
        <f>0.04*0.75</f>
        <v>0.03</v>
      </c>
      <c r="R1323" s="322">
        <f>Q1323*H1323</f>
        <v>0.084</v>
      </c>
      <c r="S1323" s="322">
        <v>0</v>
      </c>
      <c r="T1323" s="323">
        <f>S1323*H1323</f>
        <v>0</v>
      </c>
      <c r="U1323" s="222"/>
      <c r="V1323" s="222"/>
      <c r="W1323" s="222"/>
      <c r="X1323" s="222"/>
      <c r="Y1323" s="222"/>
      <c r="Z1323" s="222"/>
      <c r="AA1323" s="222"/>
      <c r="AB1323" s="222"/>
      <c r="AC1323" s="222"/>
      <c r="AD1323" s="222"/>
      <c r="AE1323" s="222"/>
      <c r="AR1323" s="324" t="s">
        <v>212</v>
      </c>
      <c r="AT1323" s="324" t="s">
        <v>148</v>
      </c>
      <c r="AU1323" s="324" t="s">
        <v>83</v>
      </c>
      <c r="AY1323" s="214" t="s">
        <v>146</v>
      </c>
      <c r="BE1323" s="325">
        <f>IF(N1323="základní",J1323,0)</f>
        <v>0</v>
      </c>
      <c r="BF1323" s="325">
        <f>IF(N1323="snížená",J1323,0)</f>
        <v>0</v>
      </c>
      <c r="BG1323" s="325">
        <f>IF(N1323="zákl. přenesená",J1323,0)</f>
        <v>0</v>
      </c>
      <c r="BH1323" s="325">
        <f>IF(N1323="sníž. přenesená",J1323,0)</f>
        <v>0</v>
      </c>
      <c r="BI1323" s="325">
        <f>IF(N1323="nulová",J1323,0)</f>
        <v>0</v>
      </c>
      <c r="BJ1323" s="214" t="s">
        <v>81</v>
      </c>
      <c r="BK1323" s="325">
        <f>ROUND(I1323*H1323,2)</f>
        <v>0</v>
      </c>
      <c r="BL1323" s="214" t="s">
        <v>212</v>
      </c>
      <c r="BM1323" s="324" t="s">
        <v>954</v>
      </c>
    </row>
    <row r="1324" spans="2:51" s="326" customFormat="1" ht="12">
      <c r="B1324" s="327"/>
      <c r="D1324" s="328" t="s">
        <v>155</v>
      </c>
      <c r="E1324" s="329" t="s">
        <v>1</v>
      </c>
      <c r="F1324" s="330" t="s">
        <v>955</v>
      </c>
      <c r="H1324" s="329" t="s">
        <v>1</v>
      </c>
      <c r="I1324" s="497"/>
      <c r="L1324" s="331"/>
      <c r="M1324" s="332"/>
      <c r="N1324" s="333"/>
      <c r="O1324" s="333"/>
      <c r="P1324" s="333"/>
      <c r="Q1324" s="333"/>
      <c r="R1324" s="333"/>
      <c r="S1324" s="333"/>
      <c r="T1324" s="334"/>
      <c r="AT1324" s="329" t="s">
        <v>155</v>
      </c>
      <c r="AU1324" s="329" t="s">
        <v>83</v>
      </c>
      <c r="AV1324" s="326" t="s">
        <v>81</v>
      </c>
      <c r="AW1324" s="326" t="s">
        <v>34</v>
      </c>
      <c r="AX1324" s="326" t="s">
        <v>76</v>
      </c>
      <c r="AY1324" s="329" t="s">
        <v>146</v>
      </c>
    </row>
    <row r="1325" spans="2:51" s="335" customFormat="1" ht="12">
      <c r="B1325" s="336"/>
      <c r="D1325" s="328" t="s">
        <v>155</v>
      </c>
      <c r="E1325" s="337" t="s">
        <v>1</v>
      </c>
      <c r="F1325" s="338" t="s">
        <v>956</v>
      </c>
      <c r="H1325" s="339">
        <f>70*0.2*0.2</f>
        <v>2.8000000000000003</v>
      </c>
      <c r="I1325" s="498"/>
      <c r="L1325" s="340"/>
      <c r="M1325" s="341"/>
      <c r="N1325" s="342"/>
      <c r="O1325" s="342"/>
      <c r="P1325" s="342"/>
      <c r="Q1325" s="342"/>
      <c r="R1325" s="342"/>
      <c r="S1325" s="342"/>
      <c r="T1325" s="343"/>
      <c r="AT1325" s="337" t="s">
        <v>155</v>
      </c>
      <c r="AU1325" s="337" t="s">
        <v>83</v>
      </c>
      <c r="AV1325" s="335" t="s">
        <v>83</v>
      </c>
      <c r="AW1325" s="335" t="s">
        <v>34</v>
      </c>
      <c r="AX1325" s="335" t="s">
        <v>81</v>
      </c>
      <c r="AY1325" s="337" t="s">
        <v>146</v>
      </c>
    </row>
    <row r="1326" spans="1:65" s="225" customFormat="1" ht="24.2" customHeight="1">
      <c r="A1326" s="222"/>
      <c r="B1326" s="223"/>
      <c r="C1326" s="314">
        <v>234</v>
      </c>
      <c r="D1326" s="314" t="s">
        <v>148</v>
      </c>
      <c r="E1326" s="315" t="s">
        <v>957</v>
      </c>
      <c r="F1326" s="316" t="s">
        <v>958</v>
      </c>
      <c r="G1326" s="317" t="s">
        <v>162</v>
      </c>
      <c r="H1326" s="318">
        <f>H1327</f>
        <v>78.04400000000001</v>
      </c>
      <c r="I1326" s="79"/>
      <c r="J1326" s="319">
        <f>ROUND(I1326*H1326,2)</f>
        <v>0</v>
      </c>
      <c r="K1326" s="316"/>
      <c r="L1326" s="229"/>
      <c r="M1326" s="320" t="s">
        <v>1</v>
      </c>
      <c r="N1326" s="321" t="s">
        <v>42</v>
      </c>
      <c r="O1326" s="322">
        <v>0</v>
      </c>
      <c r="P1326" s="322">
        <f>O1326*H1326</f>
        <v>0</v>
      </c>
      <c r="Q1326" s="322">
        <v>0.023367805</v>
      </c>
      <c r="R1326" s="322">
        <f>Q1326*H1326</f>
        <v>1.82371697342</v>
      </c>
      <c r="S1326" s="322">
        <v>0</v>
      </c>
      <c r="T1326" s="323">
        <f>S1326*H1326</f>
        <v>0</v>
      </c>
      <c r="U1326" s="222"/>
      <c r="V1326" s="222"/>
      <c r="W1326" s="222"/>
      <c r="X1326" s="222"/>
      <c r="Y1326" s="222"/>
      <c r="Z1326" s="222"/>
      <c r="AA1326" s="222"/>
      <c r="AB1326" s="222"/>
      <c r="AC1326" s="222"/>
      <c r="AD1326" s="222"/>
      <c r="AE1326" s="222"/>
      <c r="AR1326" s="324" t="s">
        <v>212</v>
      </c>
      <c r="AT1326" s="324" t="s">
        <v>148</v>
      </c>
      <c r="AU1326" s="324" t="s">
        <v>83</v>
      </c>
      <c r="AY1326" s="214" t="s">
        <v>146</v>
      </c>
      <c r="BE1326" s="325">
        <f>IF(N1326="základní",J1326,0)</f>
        <v>0</v>
      </c>
      <c r="BF1326" s="325">
        <f>IF(N1326="snížená",J1326,0)</f>
        <v>0</v>
      </c>
      <c r="BG1326" s="325">
        <f>IF(N1326="zákl. přenesená",J1326,0)</f>
        <v>0</v>
      </c>
      <c r="BH1326" s="325">
        <f>IF(N1326="sníž. přenesená",J1326,0)</f>
        <v>0</v>
      </c>
      <c r="BI1326" s="325">
        <f>IF(N1326="nulová",J1326,0)</f>
        <v>0</v>
      </c>
      <c r="BJ1326" s="214" t="s">
        <v>81</v>
      </c>
      <c r="BK1326" s="325">
        <f>ROUND(I1326*H1326,2)</f>
        <v>0</v>
      </c>
      <c r="BL1326" s="214" t="s">
        <v>212</v>
      </c>
      <c r="BM1326" s="324" t="s">
        <v>959</v>
      </c>
    </row>
    <row r="1327" spans="2:51" s="335" customFormat="1" ht="12">
      <c r="B1327" s="336"/>
      <c r="D1327" s="328" t="s">
        <v>155</v>
      </c>
      <c r="E1327" s="337" t="s">
        <v>1</v>
      </c>
      <c r="F1327" s="338" t="s">
        <v>2855</v>
      </c>
      <c r="H1327" s="339">
        <f>1.818+30.395+37.773+8.058</f>
        <v>78.04400000000001</v>
      </c>
      <c r="I1327" s="498"/>
      <c r="L1327" s="340"/>
      <c r="M1327" s="341"/>
      <c r="N1327" s="342"/>
      <c r="O1327" s="342"/>
      <c r="P1327" s="342"/>
      <c r="Q1327" s="342"/>
      <c r="R1327" s="342"/>
      <c r="S1327" s="342"/>
      <c r="T1327" s="343"/>
      <c r="AT1327" s="337" t="s">
        <v>155</v>
      </c>
      <c r="AU1327" s="337" t="s">
        <v>83</v>
      </c>
      <c r="AV1327" s="335" t="s">
        <v>83</v>
      </c>
      <c r="AW1327" s="335" t="s">
        <v>34</v>
      </c>
      <c r="AX1327" s="335" t="s">
        <v>76</v>
      </c>
      <c r="AY1327" s="337" t="s">
        <v>146</v>
      </c>
    </row>
    <row r="1328" spans="1:65" s="225" customFormat="1" ht="25.5" customHeight="1">
      <c r="A1328" s="222"/>
      <c r="B1328" s="223"/>
      <c r="C1328" s="314">
        <v>235</v>
      </c>
      <c r="D1328" s="314" t="s">
        <v>148</v>
      </c>
      <c r="E1328" s="315"/>
      <c r="F1328" s="316" t="s">
        <v>2848</v>
      </c>
      <c r="G1328" s="317" t="s">
        <v>158</v>
      </c>
      <c r="H1328" s="318">
        <f>H1330</f>
        <v>83.2</v>
      </c>
      <c r="I1328" s="79"/>
      <c r="J1328" s="319">
        <f>ROUND(I1328*H1328,2)</f>
        <v>0</v>
      </c>
      <c r="K1328" s="316"/>
      <c r="L1328" s="229"/>
      <c r="M1328" s="320" t="s">
        <v>1</v>
      </c>
      <c r="N1328" s="321" t="s">
        <v>42</v>
      </c>
      <c r="O1328" s="322">
        <v>0.71</v>
      </c>
      <c r="P1328" s="322">
        <f>O1328*H1328</f>
        <v>59.071999999999996</v>
      </c>
      <c r="Q1328" s="322">
        <f>0.005*0.08*7.85</f>
        <v>0.00314</v>
      </c>
      <c r="R1328" s="322">
        <f>Q1328*H1328</f>
        <v>0.26124800000000004</v>
      </c>
      <c r="S1328" s="322">
        <v>0</v>
      </c>
      <c r="T1328" s="323">
        <f>S1328*H1328</f>
        <v>0</v>
      </c>
      <c r="U1328" s="222"/>
      <c r="V1328" s="222"/>
      <c r="W1328" s="222"/>
      <c r="X1328" s="222"/>
      <c r="Y1328" s="222"/>
      <c r="Z1328" s="222"/>
      <c r="AA1328" s="222"/>
      <c r="AB1328" s="222"/>
      <c r="AC1328" s="222"/>
      <c r="AD1328" s="222"/>
      <c r="AE1328" s="222"/>
      <c r="AR1328" s="324" t="s">
        <v>212</v>
      </c>
      <c r="AT1328" s="324" t="s">
        <v>148</v>
      </c>
      <c r="AU1328" s="324" t="s">
        <v>83</v>
      </c>
      <c r="AY1328" s="214" t="s">
        <v>146</v>
      </c>
      <c r="BE1328" s="325">
        <f>IF(N1328="základní",J1328,0)</f>
        <v>0</v>
      </c>
      <c r="BF1328" s="325">
        <f>IF(N1328="snížená",J1328,0)</f>
        <v>0</v>
      </c>
      <c r="BG1328" s="325">
        <f>IF(N1328="zákl. přenesená",J1328,0)</f>
        <v>0</v>
      </c>
      <c r="BH1328" s="325">
        <f>IF(N1328="sníž. přenesená",J1328,0)</f>
        <v>0</v>
      </c>
      <c r="BI1328" s="325">
        <f>IF(N1328="nulová",J1328,0)</f>
        <v>0</v>
      </c>
      <c r="BJ1328" s="214" t="s">
        <v>81</v>
      </c>
      <c r="BK1328" s="325">
        <f>ROUND(I1328*H1328,2)</f>
        <v>0</v>
      </c>
      <c r="BL1328" s="214" t="s">
        <v>212</v>
      </c>
      <c r="BM1328" s="324" t="s">
        <v>954</v>
      </c>
    </row>
    <row r="1329" spans="2:51" s="326" customFormat="1" ht="12">
      <c r="B1329" s="327"/>
      <c r="D1329" s="328" t="s">
        <v>155</v>
      </c>
      <c r="E1329" s="329" t="s">
        <v>1</v>
      </c>
      <c r="F1329" s="330" t="s">
        <v>2849</v>
      </c>
      <c r="H1329" s="329" t="s">
        <v>1</v>
      </c>
      <c r="I1329" s="497"/>
      <c r="L1329" s="331"/>
      <c r="M1329" s="332"/>
      <c r="N1329" s="333"/>
      <c r="O1329" s="333"/>
      <c r="P1329" s="333"/>
      <c r="Q1329" s="333"/>
      <c r="R1329" s="333"/>
      <c r="S1329" s="333"/>
      <c r="T1329" s="334"/>
      <c r="AT1329" s="329" t="s">
        <v>155</v>
      </c>
      <c r="AU1329" s="329" t="s">
        <v>83</v>
      </c>
      <c r="AV1329" s="326" t="s">
        <v>81</v>
      </c>
      <c r="AW1329" s="326" t="s">
        <v>34</v>
      </c>
      <c r="AX1329" s="326" t="s">
        <v>76</v>
      </c>
      <c r="AY1329" s="329" t="s">
        <v>146</v>
      </c>
    </row>
    <row r="1330" spans="2:51" s="335" customFormat="1" ht="12">
      <c r="B1330" s="336"/>
      <c r="D1330" s="328" t="s">
        <v>155</v>
      </c>
      <c r="E1330" s="337" t="s">
        <v>1</v>
      </c>
      <c r="F1330" s="338" t="s">
        <v>2850</v>
      </c>
      <c r="H1330" s="339">
        <f>20*2+24*1.8</f>
        <v>83.2</v>
      </c>
      <c r="I1330" s="498"/>
      <c r="L1330" s="340"/>
      <c r="M1330" s="341"/>
      <c r="N1330" s="342"/>
      <c r="O1330" s="342"/>
      <c r="P1330" s="342"/>
      <c r="Q1330" s="342"/>
      <c r="R1330" s="342"/>
      <c r="S1330" s="342"/>
      <c r="T1330" s="343"/>
      <c r="AT1330" s="337" t="s">
        <v>155</v>
      </c>
      <c r="AU1330" s="337" t="s">
        <v>83</v>
      </c>
      <c r="AV1330" s="335" t="s">
        <v>83</v>
      </c>
      <c r="AW1330" s="335" t="s">
        <v>34</v>
      </c>
      <c r="AX1330" s="335" t="s">
        <v>81</v>
      </c>
      <c r="AY1330" s="337" t="s">
        <v>146</v>
      </c>
    </row>
    <row r="1331" spans="1:65" s="225" customFormat="1" ht="49.5" customHeight="1">
      <c r="A1331" s="222"/>
      <c r="B1331" s="223"/>
      <c r="C1331" s="314">
        <v>236</v>
      </c>
      <c r="D1331" s="314" t="s">
        <v>148</v>
      </c>
      <c r="E1331" s="315"/>
      <c r="F1331" s="316" t="s">
        <v>3678</v>
      </c>
      <c r="G1331" s="317" t="s">
        <v>1361</v>
      </c>
      <c r="H1331" s="318">
        <f>H1333</f>
        <v>64</v>
      </c>
      <c r="I1331" s="79"/>
      <c r="J1331" s="319">
        <f>ROUND(I1331*H1331,2)</f>
        <v>0</v>
      </c>
      <c r="K1331" s="316"/>
      <c r="L1331" s="229"/>
      <c r="M1331" s="320" t="s">
        <v>1</v>
      </c>
      <c r="N1331" s="321" t="s">
        <v>42</v>
      </c>
      <c r="O1331" s="322">
        <v>0.71</v>
      </c>
      <c r="P1331" s="322">
        <f>O1331*H1331</f>
        <v>45.44</v>
      </c>
      <c r="Q1331" s="322">
        <v>0.0005</v>
      </c>
      <c r="R1331" s="322">
        <f>Q1331*H1331</f>
        <v>0.032</v>
      </c>
      <c r="S1331" s="322">
        <v>0</v>
      </c>
      <c r="T1331" s="323">
        <f>S1331*H1331</f>
        <v>0</v>
      </c>
      <c r="U1331" s="222"/>
      <c r="V1331" s="222"/>
      <c r="W1331" s="222"/>
      <c r="X1331" s="222"/>
      <c r="Y1331" s="222"/>
      <c r="Z1331" s="222"/>
      <c r="AA1331" s="222"/>
      <c r="AB1331" s="222"/>
      <c r="AC1331" s="222"/>
      <c r="AD1331" s="222"/>
      <c r="AE1331" s="222"/>
      <c r="AR1331" s="324" t="s">
        <v>212</v>
      </c>
      <c r="AT1331" s="324" t="s">
        <v>148</v>
      </c>
      <c r="AU1331" s="324" t="s">
        <v>83</v>
      </c>
      <c r="AY1331" s="214" t="s">
        <v>146</v>
      </c>
      <c r="BE1331" s="325">
        <f>IF(N1331="základní",J1331,0)</f>
        <v>0</v>
      </c>
      <c r="BF1331" s="325">
        <f>IF(N1331="snížená",J1331,0)</f>
        <v>0</v>
      </c>
      <c r="BG1331" s="325">
        <f>IF(N1331="zákl. přenesená",J1331,0)</f>
        <v>0</v>
      </c>
      <c r="BH1331" s="325">
        <f>IF(N1331="sníž. přenesená",J1331,0)</f>
        <v>0</v>
      </c>
      <c r="BI1331" s="325">
        <f>IF(N1331="nulová",J1331,0)</f>
        <v>0</v>
      </c>
      <c r="BJ1331" s="214" t="s">
        <v>81</v>
      </c>
      <c r="BK1331" s="325">
        <f>ROUND(I1331*H1331,2)</f>
        <v>0</v>
      </c>
      <c r="BL1331" s="214" t="s">
        <v>212</v>
      </c>
      <c r="BM1331" s="324" t="s">
        <v>954</v>
      </c>
    </row>
    <row r="1332" spans="2:51" s="326" customFormat="1" ht="12">
      <c r="B1332" s="327"/>
      <c r="D1332" s="328" t="s">
        <v>155</v>
      </c>
      <c r="E1332" s="329" t="s">
        <v>1</v>
      </c>
      <c r="F1332" s="330" t="s">
        <v>2851</v>
      </c>
      <c r="H1332" s="329" t="s">
        <v>1</v>
      </c>
      <c r="I1332" s="497"/>
      <c r="L1332" s="331"/>
      <c r="M1332" s="332"/>
      <c r="N1332" s="333"/>
      <c r="O1332" s="333"/>
      <c r="P1332" s="333"/>
      <c r="Q1332" s="333"/>
      <c r="R1332" s="333"/>
      <c r="S1332" s="333"/>
      <c r="T1332" s="334"/>
      <c r="AT1332" s="329" t="s">
        <v>155</v>
      </c>
      <c r="AU1332" s="329" t="s">
        <v>83</v>
      </c>
      <c r="AV1332" s="326" t="s">
        <v>81</v>
      </c>
      <c r="AW1332" s="326" t="s">
        <v>34</v>
      </c>
      <c r="AX1332" s="326" t="s">
        <v>76</v>
      </c>
      <c r="AY1332" s="329" t="s">
        <v>146</v>
      </c>
    </row>
    <row r="1333" spans="2:51" s="335" customFormat="1" ht="12">
      <c r="B1333" s="336"/>
      <c r="D1333" s="328" t="s">
        <v>155</v>
      </c>
      <c r="E1333" s="337" t="s">
        <v>1</v>
      </c>
      <c r="F1333" s="338" t="s">
        <v>2852</v>
      </c>
      <c r="H1333" s="339">
        <f>9*3+10*3+3+2*2</f>
        <v>64</v>
      </c>
      <c r="I1333" s="498"/>
      <c r="L1333" s="340"/>
      <c r="M1333" s="341"/>
      <c r="N1333" s="342"/>
      <c r="O1333" s="342"/>
      <c r="P1333" s="342"/>
      <c r="Q1333" s="342"/>
      <c r="R1333" s="342"/>
      <c r="S1333" s="342"/>
      <c r="T1333" s="343"/>
      <c r="AT1333" s="337" t="s">
        <v>155</v>
      </c>
      <c r="AU1333" s="337" t="s">
        <v>83</v>
      </c>
      <c r="AV1333" s="335" t="s">
        <v>83</v>
      </c>
      <c r="AW1333" s="335" t="s">
        <v>34</v>
      </c>
      <c r="AX1333" s="335" t="s">
        <v>81</v>
      </c>
      <c r="AY1333" s="337" t="s">
        <v>146</v>
      </c>
    </row>
    <row r="1334" spans="1:65" s="225" customFormat="1" ht="24.2" customHeight="1">
      <c r="A1334" s="222"/>
      <c r="B1334" s="223"/>
      <c r="C1334" s="314">
        <v>237</v>
      </c>
      <c r="D1334" s="314" t="s">
        <v>148</v>
      </c>
      <c r="E1334" s="315" t="s">
        <v>960</v>
      </c>
      <c r="F1334" s="344" t="s">
        <v>961</v>
      </c>
      <c r="G1334" s="317" t="s">
        <v>151</v>
      </c>
      <c r="H1334" s="318">
        <f>H1341</f>
        <v>872.9099999999999</v>
      </c>
      <c r="I1334" s="79"/>
      <c r="J1334" s="319">
        <f>ROUND(I1334*H1334,2)</f>
        <v>0</v>
      </c>
      <c r="K1334" s="316"/>
      <c r="L1334" s="229"/>
      <c r="M1334" s="320" t="s">
        <v>1</v>
      </c>
      <c r="N1334" s="321" t="s">
        <v>42</v>
      </c>
      <c r="O1334" s="322">
        <v>0.299</v>
      </c>
      <c r="P1334" s="322">
        <f>O1334*H1334</f>
        <v>261.00008999999994</v>
      </c>
      <c r="Q1334" s="322">
        <v>0</v>
      </c>
      <c r="R1334" s="322">
        <f>Q1334*H1334</f>
        <v>0</v>
      </c>
      <c r="S1334" s="322">
        <v>0</v>
      </c>
      <c r="T1334" s="323">
        <f>S1334*H1334</f>
        <v>0</v>
      </c>
      <c r="U1334" s="222"/>
      <c r="V1334" s="222"/>
      <c r="W1334" s="222"/>
      <c r="X1334" s="222"/>
      <c r="Y1334" s="222"/>
      <c r="Z1334" s="222"/>
      <c r="AA1334" s="222"/>
      <c r="AB1334" s="222"/>
      <c r="AC1334" s="222"/>
      <c r="AD1334" s="222"/>
      <c r="AE1334" s="222"/>
      <c r="AR1334" s="324" t="s">
        <v>212</v>
      </c>
      <c r="AT1334" s="324" t="s">
        <v>148</v>
      </c>
      <c r="AU1334" s="324" t="s">
        <v>83</v>
      </c>
      <c r="AY1334" s="214" t="s">
        <v>146</v>
      </c>
      <c r="BE1334" s="325">
        <f>IF(N1334="základní",J1334,0)</f>
        <v>0</v>
      </c>
      <c r="BF1334" s="325">
        <f>IF(N1334="snížená",J1334,0)</f>
        <v>0</v>
      </c>
      <c r="BG1334" s="325">
        <f>IF(N1334="zákl. přenesená",J1334,0)</f>
        <v>0</v>
      </c>
      <c r="BH1334" s="325">
        <f>IF(N1334="sníž. přenesená",J1334,0)</f>
        <v>0</v>
      </c>
      <c r="BI1334" s="325">
        <f>IF(N1334="nulová",J1334,0)</f>
        <v>0</v>
      </c>
      <c r="BJ1334" s="214" t="s">
        <v>81</v>
      </c>
      <c r="BK1334" s="325">
        <f>ROUND(I1334*H1334,2)</f>
        <v>0</v>
      </c>
      <c r="BL1334" s="214" t="s">
        <v>212</v>
      </c>
      <c r="BM1334" s="324" t="s">
        <v>962</v>
      </c>
    </row>
    <row r="1335" spans="2:51" s="326" customFormat="1" ht="12">
      <c r="B1335" s="327"/>
      <c r="D1335" s="328" t="s">
        <v>155</v>
      </c>
      <c r="E1335" s="329" t="s">
        <v>1</v>
      </c>
      <c r="F1335" s="345" t="s">
        <v>786</v>
      </c>
      <c r="H1335" s="329" t="s">
        <v>1</v>
      </c>
      <c r="I1335" s="497"/>
      <c r="L1335" s="331"/>
      <c r="M1335" s="332"/>
      <c r="N1335" s="333"/>
      <c r="O1335" s="333"/>
      <c r="P1335" s="333"/>
      <c r="Q1335" s="333"/>
      <c r="R1335" s="333"/>
      <c r="S1335" s="333"/>
      <c r="T1335" s="334"/>
      <c r="AT1335" s="329" t="s">
        <v>155</v>
      </c>
      <c r="AU1335" s="329" t="s">
        <v>83</v>
      </c>
      <c r="AV1335" s="326" t="s">
        <v>81</v>
      </c>
      <c r="AW1335" s="326" t="s">
        <v>34</v>
      </c>
      <c r="AX1335" s="326" t="s">
        <v>76</v>
      </c>
      <c r="AY1335" s="329" t="s">
        <v>146</v>
      </c>
    </row>
    <row r="1336" spans="2:51" s="326" customFormat="1" ht="12">
      <c r="B1336" s="327"/>
      <c r="D1336" s="328" t="s">
        <v>155</v>
      </c>
      <c r="E1336" s="329" t="s">
        <v>1</v>
      </c>
      <c r="F1336" s="345" t="s">
        <v>167</v>
      </c>
      <c r="H1336" s="329" t="s">
        <v>1</v>
      </c>
      <c r="I1336" s="497"/>
      <c r="L1336" s="331"/>
      <c r="M1336" s="332"/>
      <c r="N1336" s="333"/>
      <c r="O1336" s="333"/>
      <c r="P1336" s="333"/>
      <c r="Q1336" s="333"/>
      <c r="R1336" s="333"/>
      <c r="S1336" s="333"/>
      <c r="T1336" s="334"/>
      <c r="AT1336" s="329" t="s">
        <v>155</v>
      </c>
      <c r="AU1336" s="329" t="s">
        <v>83</v>
      </c>
      <c r="AV1336" s="326" t="s">
        <v>81</v>
      </c>
      <c r="AW1336" s="326" t="s">
        <v>34</v>
      </c>
      <c r="AX1336" s="326" t="s">
        <v>76</v>
      </c>
      <c r="AY1336" s="329" t="s">
        <v>146</v>
      </c>
    </row>
    <row r="1337" spans="2:51" s="335" customFormat="1" ht="12">
      <c r="B1337" s="336"/>
      <c r="D1337" s="328" t="s">
        <v>155</v>
      </c>
      <c r="E1337" s="337" t="s">
        <v>1</v>
      </c>
      <c r="F1337" s="346" t="s">
        <v>2865</v>
      </c>
      <c r="H1337" s="339">
        <f>22.375*12.2*2</f>
        <v>545.9499999999999</v>
      </c>
      <c r="I1337" s="498"/>
      <c r="L1337" s="340"/>
      <c r="M1337" s="341"/>
      <c r="N1337" s="342"/>
      <c r="O1337" s="342"/>
      <c r="P1337" s="342"/>
      <c r="Q1337" s="342"/>
      <c r="R1337" s="342"/>
      <c r="S1337" s="342"/>
      <c r="T1337" s="343"/>
      <c r="AT1337" s="337" t="s">
        <v>155</v>
      </c>
      <c r="AU1337" s="337" t="s">
        <v>83</v>
      </c>
      <c r="AV1337" s="335" t="s">
        <v>83</v>
      </c>
      <c r="AW1337" s="335" t="s">
        <v>34</v>
      </c>
      <c r="AX1337" s="335" t="s">
        <v>76</v>
      </c>
      <c r="AY1337" s="337" t="s">
        <v>146</v>
      </c>
    </row>
    <row r="1338" spans="2:51" s="326" customFormat="1" ht="12">
      <c r="B1338" s="327"/>
      <c r="D1338" s="328" t="s">
        <v>155</v>
      </c>
      <c r="E1338" s="329" t="s">
        <v>1</v>
      </c>
      <c r="F1338" s="345" t="s">
        <v>788</v>
      </c>
      <c r="H1338" s="329" t="s">
        <v>1</v>
      </c>
      <c r="I1338" s="497"/>
      <c r="L1338" s="331"/>
      <c r="M1338" s="332"/>
      <c r="N1338" s="333"/>
      <c r="O1338" s="333"/>
      <c r="P1338" s="333"/>
      <c r="Q1338" s="333"/>
      <c r="R1338" s="333"/>
      <c r="S1338" s="333"/>
      <c r="T1338" s="334"/>
      <c r="AT1338" s="329" t="s">
        <v>155</v>
      </c>
      <c r="AU1338" s="329" t="s">
        <v>83</v>
      </c>
      <c r="AV1338" s="326" t="s">
        <v>81</v>
      </c>
      <c r="AW1338" s="326" t="s">
        <v>34</v>
      </c>
      <c r="AX1338" s="326" t="s">
        <v>76</v>
      </c>
      <c r="AY1338" s="329" t="s">
        <v>146</v>
      </c>
    </row>
    <row r="1339" spans="2:51" s="326" customFormat="1" ht="12">
      <c r="B1339" s="327"/>
      <c r="D1339" s="328" t="s">
        <v>155</v>
      </c>
      <c r="E1339" s="329" t="s">
        <v>1</v>
      </c>
      <c r="F1339" s="345" t="s">
        <v>164</v>
      </c>
      <c r="H1339" s="329" t="s">
        <v>1</v>
      </c>
      <c r="I1339" s="497"/>
      <c r="L1339" s="331"/>
      <c r="M1339" s="332"/>
      <c r="N1339" s="333"/>
      <c r="O1339" s="333"/>
      <c r="P1339" s="333"/>
      <c r="Q1339" s="333"/>
      <c r="R1339" s="333"/>
      <c r="S1339" s="333"/>
      <c r="T1339" s="334"/>
      <c r="AT1339" s="329" t="s">
        <v>155</v>
      </c>
      <c r="AU1339" s="329" t="s">
        <v>83</v>
      </c>
      <c r="AV1339" s="326" t="s">
        <v>81</v>
      </c>
      <c r="AW1339" s="326" t="s">
        <v>34</v>
      </c>
      <c r="AX1339" s="326" t="s">
        <v>76</v>
      </c>
      <c r="AY1339" s="329" t="s">
        <v>146</v>
      </c>
    </row>
    <row r="1340" spans="2:51" s="335" customFormat="1" ht="12">
      <c r="B1340" s="336"/>
      <c r="D1340" s="328" t="s">
        <v>155</v>
      </c>
      <c r="E1340" s="337" t="s">
        <v>1</v>
      </c>
      <c r="F1340" s="346" t="s">
        <v>2866</v>
      </c>
      <c r="H1340" s="339">
        <f>26.8*12.2</f>
        <v>326.96</v>
      </c>
      <c r="I1340" s="498"/>
      <c r="L1340" s="340"/>
      <c r="M1340" s="341"/>
      <c r="N1340" s="342"/>
      <c r="O1340" s="342"/>
      <c r="P1340" s="342"/>
      <c r="Q1340" s="342"/>
      <c r="R1340" s="342"/>
      <c r="S1340" s="342"/>
      <c r="T1340" s="343"/>
      <c r="AT1340" s="337" t="s">
        <v>155</v>
      </c>
      <c r="AU1340" s="337" t="s">
        <v>83</v>
      </c>
      <c r="AV1340" s="335" t="s">
        <v>83</v>
      </c>
      <c r="AW1340" s="335" t="s">
        <v>34</v>
      </c>
      <c r="AX1340" s="335" t="s">
        <v>76</v>
      </c>
      <c r="AY1340" s="337" t="s">
        <v>146</v>
      </c>
    </row>
    <row r="1341" spans="2:51" s="347" customFormat="1" ht="12">
      <c r="B1341" s="348"/>
      <c r="D1341" s="328" t="s">
        <v>155</v>
      </c>
      <c r="E1341" s="349" t="s">
        <v>1</v>
      </c>
      <c r="F1341" s="350" t="s">
        <v>157</v>
      </c>
      <c r="H1341" s="351">
        <f>SUM(H1337:H1340)</f>
        <v>872.9099999999999</v>
      </c>
      <c r="I1341" s="499"/>
      <c r="L1341" s="352"/>
      <c r="M1341" s="353"/>
      <c r="N1341" s="354"/>
      <c r="O1341" s="354"/>
      <c r="P1341" s="354"/>
      <c r="Q1341" s="354"/>
      <c r="R1341" s="354"/>
      <c r="S1341" s="354"/>
      <c r="T1341" s="355"/>
      <c r="AT1341" s="349" t="s">
        <v>155</v>
      </c>
      <c r="AU1341" s="349" t="s">
        <v>83</v>
      </c>
      <c r="AV1341" s="347" t="s">
        <v>153</v>
      </c>
      <c r="AW1341" s="347" t="s">
        <v>34</v>
      </c>
      <c r="AX1341" s="347" t="s">
        <v>81</v>
      </c>
      <c r="AY1341" s="349" t="s">
        <v>146</v>
      </c>
    </row>
    <row r="1342" spans="1:65" s="225" customFormat="1" ht="21.75" customHeight="1">
      <c r="A1342" s="222"/>
      <c r="B1342" s="223"/>
      <c r="C1342" s="358">
        <v>238</v>
      </c>
      <c r="D1342" s="358" t="s">
        <v>208</v>
      </c>
      <c r="E1342" s="359" t="s">
        <v>895</v>
      </c>
      <c r="F1342" s="360" t="s">
        <v>896</v>
      </c>
      <c r="G1342" s="361" t="s">
        <v>162</v>
      </c>
      <c r="H1342" s="362">
        <f>H1349</f>
        <v>13.407897599999998</v>
      </c>
      <c r="I1342" s="80"/>
      <c r="J1342" s="363">
        <f>ROUND(I1342*H1342,2)</f>
        <v>0</v>
      </c>
      <c r="K1342" s="364"/>
      <c r="L1342" s="365"/>
      <c r="M1342" s="366" t="s">
        <v>1</v>
      </c>
      <c r="N1342" s="367" t="s">
        <v>42</v>
      </c>
      <c r="O1342" s="322">
        <v>0</v>
      </c>
      <c r="P1342" s="322">
        <f>O1342*H1342</f>
        <v>0</v>
      </c>
      <c r="Q1342" s="322">
        <v>0.55</v>
      </c>
      <c r="R1342" s="322">
        <f>Q1342*H1342</f>
        <v>7.37434368</v>
      </c>
      <c r="S1342" s="322">
        <v>0</v>
      </c>
      <c r="T1342" s="323">
        <f>S1342*H1342</f>
        <v>0</v>
      </c>
      <c r="U1342" s="222"/>
      <c r="V1342" s="222"/>
      <c r="W1342" s="222"/>
      <c r="X1342" s="222"/>
      <c r="Y1342" s="222"/>
      <c r="Z1342" s="222"/>
      <c r="AA1342" s="222"/>
      <c r="AB1342" s="222"/>
      <c r="AC1342" s="222"/>
      <c r="AD1342" s="222"/>
      <c r="AE1342" s="222"/>
      <c r="AR1342" s="324" t="s">
        <v>298</v>
      </c>
      <c r="AT1342" s="324" t="s">
        <v>208</v>
      </c>
      <c r="AU1342" s="324" t="s">
        <v>83</v>
      </c>
      <c r="AY1342" s="214" t="s">
        <v>146</v>
      </c>
      <c r="BE1342" s="325">
        <f>IF(N1342="základní",J1342,0)</f>
        <v>0</v>
      </c>
      <c r="BF1342" s="325">
        <f>IF(N1342="snížená",J1342,0)</f>
        <v>0</v>
      </c>
      <c r="BG1342" s="325">
        <f>IF(N1342="zákl. přenesená",J1342,0)</f>
        <v>0</v>
      </c>
      <c r="BH1342" s="325">
        <f>IF(N1342="sníž. přenesená",J1342,0)</f>
        <v>0</v>
      </c>
      <c r="BI1342" s="325">
        <f>IF(N1342="nulová",J1342,0)</f>
        <v>0</v>
      </c>
      <c r="BJ1342" s="214" t="s">
        <v>81</v>
      </c>
      <c r="BK1342" s="325">
        <f>ROUND(I1342*H1342,2)</f>
        <v>0</v>
      </c>
      <c r="BL1342" s="214" t="s">
        <v>212</v>
      </c>
      <c r="BM1342" s="324" t="s">
        <v>963</v>
      </c>
    </row>
    <row r="1343" spans="2:51" s="326" customFormat="1" ht="12">
      <c r="B1343" s="327"/>
      <c r="D1343" s="328" t="s">
        <v>155</v>
      </c>
      <c r="E1343" s="329" t="s">
        <v>1</v>
      </c>
      <c r="F1343" s="345" t="s">
        <v>964</v>
      </c>
      <c r="H1343" s="329" t="s">
        <v>1</v>
      </c>
      <c r="I1343" s="497"/>
      <c r="L1343" s="331"/>
      <c r="M1343" s="332"/>
      <c r="N1343" s="333"/>
      <c r="O1343" s="333"/>
      <c r="P1343" s="333"/>
      <c r="Q1343" s="333"/>
      <c r="R1343" s="333"/>
      <c r="S1343" s="333"/>
      <c r="T1343" s="334"/>
      <c r="AT1343" s="329" t="s">
        <v>155</v>
      </c>
      <c r="AU1343" s="329" t="s">
        <v>83</v>
      </c>
      <c r="AV1343" s="326" t="s">
        <v>81</v>
      </c>
      <c r="AW1343" s="326" t="s">
        <v>34</v>
      </c>
      <c r="AX1343" s="326" t="s">
        <v>76</v>
      </c>
      <c r="AY1343" s="329" t="s">
        <v>146</v>
      </c>
    </row>
    <row r="1344" spans="2:51" s="326" customFormat="1" ht="12">
      <c r="B1344" s="327"/>
      <c r="D1344" s="328" t="s">
        <v>155</v>
      </c>
      <c r="E1344" s="329" t="s">
        <v>1</v>
      </c>
      <c r="F1344" s="345" t="s">
        <v>786</v>
      </c>
      <c r="H1344" s="329" t="s">
        <v>1</v>
      </c>
      <c r="I1344" s="497"/>
      <c r="L1344" s="331"/>
      <c r="M1344" s="332"/>
      <c r="N1344" s="333"/>
      <c r="O1344" s="333"/>
      <c r="P1344" s="333"/>
      <c r="Q1344" s="333"/>
      <c r="R1344" s="333"/>
      <c r="S1344" s="333"/>
      <c r="T1344" s="334"/>
      <c r="AT1344" s="329" t="s">
        <v>155</v>
      </c>
      <c r="AU1344" s="329" t="s">
        <v>83</v>
      </c>
      <c r="AV1344" s="326" t="s">
        <v>81</v>
      </c>
      <c r="AW1344" s="326" t="s">
        <v>34</v>
      </c>
      <c r="AX1344" s="326" t="s">
        <v>76</v>
      </c>
      <c r="AY1344" s="329" t="s">
        <v>146</v>
      </c>
    </row>
    <row r="1345" spans="2:51" s="326" customFormat="1" ht="12">
      <c r="B1345" s="327"/>
      <c r="D1345" s="328" t="s">
        <v>155</v>
      </c>
      <c r="E1345" s="329" t="s">
        <v>1</v>
      </c>
      <c r="F1345" s="345" t="s">
        <v>167</v>
      </c>
      <c r="H1345" s="329" t="s">
        <v>1</v>
      </c>
      <c r="I1345" s="497"/>
      <c r="L1345" s="331"/>
      <c r="M1345" s="332"/>
      <c r="N1345" s="333"/>
      <c r="O1345" s="333"/>
      <c r="P1345" s="333"/>
      <c r="Q1345" s="333"/>
      <c r="R1345" s="333"/>
      <c r="S1345" s="333"/>
      <c r="T1345" s="334"/>
      <c r="AT1345" s="329" t="s">
        <v>155</v>
      </c>
      <c r="AU1345" s="329" t="s">
        <v>83</v>
      </c>
      <c r="AV1345" s="326" t="s">
        <v>81</v>
      </c>
      <c r="AW1345" s="326" t="s">
        <v>34</v>
      </c>
      <c r="AX1345" s="326" t="s">
        <v>76</v>
      </c>
      <c r="AY1345" s="329" t="s">
        <v>146</v>
      </c>
    </row>
    <row r="1346" spans="2:51" s="335" customFormat="1" ht="12">
      <c r="B1346" s="336"/>
      <c r="D1346" s="328" t="s">
        <v>155</v>
      </c>
      <c r="E1346" s="337" t="s">
        <v>1</v>
      </c>
      <c r="F1346" s="346" t="s">
        <v>2867</v>
      </c>
      <c r="H1346" s="339">
        <f>22.375*12.2/0.625*0.06*0.16*2</f>
        <v>8.385791999999999</v>
      </c>
      <c r="I1346" s="498"/>
      <c r="L1346" s="340"/>
      <c r="M1346" s="341"/>
      <c r="N1346" s="342"/>
      <c r="O1346" s="342"/>
      <c r="P1346" s="342"/>
      <c r="Q1346" s="342"/>
      <c r="R1346" s="342"/>
      <c r="S1346" s="342"/>
      <c r="T1346" s="343"/>
      <c r="AT1346" s="337" t="s">
        <v>155</v>
      </c>
      <c r="AU1346" s="337" t="s">
        <v>83</v>
      </c>
      <c r="AV1346" s="335" t="s">
        <v>83</v>
      </c>
      <c r="AW1346" s="335" t="s">
        <v>34</v>
      </c>
      <c r="AX1346" s="335" t="s">
        <v>76</v>
      </c>
      <c r="AY1346" s="337" t="s">
        <v>146</v>
      </c>
    </row>
    <row r="1347" spans="2:51" s="326" customFormat="1" ht="12">
      <c r="B1347" s="327"/>
      <c r="D1347" s="328" t="s">
        <v>155</v>
      </c>
      <c r="E1347" s="329" t="s">
        <v>1</v>
      </c>
      <c r="F1347" s="345" t="s">
        <v>164</v>
      </c>
      <c r="H1347" s="329" t="s">
        <v>1</v>
      </c>
      <c r="I1347" s="497"/>
      <c r="L1347" s="331"/>
      <c r="M1347" s="332"/>
      <c r="N1347" s="333"/>
      <c r="O1347" s="333"/>
      <c r="P1347" s="333"/>
      <c r="Q1347" s="333"/>
      <c r="R1347" s="333"/>
      <c r="S1347" s="333"/>
      <c r="T1347" s="334"/>
      <c r="AT1347" s="329" t="s">
        <v>155</v>
      </c>
      <c r="AU1347" s="329" t="s">
        <v>83</v>
      </c>
      <c r="AV1347" s="326" t="s">
        <v>81</v>
      </c>
      <c r="AW1347" s="326" t="s">
        <v>34</v>
      </c>
      <c r="AX1347" s="326" t="s">
        <v>76</v>
      </c>
      <c r="AY1347" s="329" t="s">
        <v>146</v>
      </c>
    </row>
    <row r="1348" spans="2:51" s="335" customFormat="1" ht="12">
      <c r="B1348" s="336"/>
      <c r="D1348" s="328" t="s">
        <v>155</v>
      </c>
      <c r="E1348" s="337" t="s">
        <v>1</v>
      </c>
      <c r="F1348" s="346" t="s">
        <v>3721</v>
      </c>
      <c r="H1348" s="339">
        <f>26.8*12.2/0.625*0.06*0.16</f>
        <v>5.0221056</v>
      </c>
      <c r="I1348" s="498"/>
      <c r="L1348" s="340"/>
      <c r="M1348" s="341"/>
      <c r="N1348" s="342"/>
      <c r="O1348" s="342"/>
      <c r="P1348" s="342"/>
      <c r="Q1348" s="342"/>
      <c r="R1348" s="342"/>
      <c r="S1348" s="342"/>
      <c r="T1348" s="343"/>
      <c r="AT1348" s="337" t="s">
        <v>155</v>
      </c>
      <c r="AU1348" s="337" t="s">
        <v>83</v>
      </c>
      <c r="AV1348" s="335" t="s">
        <v>83</v>
      </c>
      <c r="AW1348" s="335" t="s">
        <v>34</v>
      </c>
      <c r="AX1348" s="335" t="s">
        <v>76</v>
      </c>
      <c r="AY1348" s="337" t="s">
        <v>146</v>
      </c>
    </row>
    <row r="1349" spans="2:51" s="347" customFormat="1" ht="12">
      <c r="B1349" s="348"/>
      <c r="D1349" s="328" t="s">
        <v>155</v>
      </c>
      <c r="E1349" s="349" t="s">
        <v>1</v>
      </c>
      <c r="F1349" s="350" t="s">
        <v>157</v>
      </c>
      <c r="H1349" s="351">
        <f>SUM(H1346:H1348)</f>
        <v>13.407897599999998</v>
      </c>
      <c r="I1349" s="499"/>
      <c r="L1349" s="352"/>
      <c r="M1349" s="353"/>
      <c r="N1349" s="354"/>
      <c r="O1349" s="354"/>
      <c r="P1349" s="354"/>
      <c r="Q1349" s="354"/>
      <c r="R1349" s="354"/>
      <c r="S1349" s="354"/>
      <c r="T1349" s="355"/>
      <c r="AT1349" s="349" t="s">
        <v>155</v>
      </c>
      <c r="AU1349" s="349" t="s">
        <v>83</v>
      </c>
      <c r="AV1349" s="347" t="s">
        <v>153</v>
      </c>
      <c r="AW1349" s="347" t="s">
        <v>34</v>
      </c>
      <c r="AX1349" s="347" t="s">
        <v>81</v>
      </c>
      <c r="AY1349" s="349" t="s">
        <v>146</v>
      </c>
    </row>
    <row r="1350" spans="1:65" s="225" customFormat="1" ht="24.2" customHeight="1">
      <c r="A1350" s="222"/>
      <c r="B1350" s="223"/>
      <c r="C1350" s="314">
        <v>239</v>
      </c>
      <c r="D1350" s="314" t="s">
        <v>148</v>
      </c>
      <c r="E1350" s="315" t="s">
        <v>965</v>
      </c>
      <c r="F1350" s="344" t="s">
        <v>966</v>
      </c>
      <c r="G1350" s="317" t="s">
        <v>151</v>
      </c>
      <c r="H1350" s="318">
        <f>H1357</f>
        <v>591.4089999999999</v>
      </c>
      <c r="I1350" s="79"/>
      <c r="J1350" s="319">
        <f>ROUND(I1350*H1350,2)</f>
        <v>0</v>
      </c>
      <c r="K1350" s="316"/>
      <c r="L1350" s="229"/>
      <c r="M1350" s="320" t="s">
        <v>1</v>
      </c>
      <c r="N1350" s="321" t="s">
        <v>42</v>
      </c>
      <c r="O1350" s="322">
        <v>0.32</v>
      </c>
      <c r="P1350" s="322">
        <f>O1350*H1350</f>
        <v>189.25087999999997</v>
      </c>
      <c r="Q1350" s="322">
        <v>0</v>
      </c>
      <c r="R1350" s="322">
        <f>Q1350*H1350</f>
        <v>0</v>
      </c>
      <c r="S1350" s="322">
        <v>0</v>
      </c>
      <c r="T1350" s="323">
        <f>S1350*H1350</f>
        <v>0</v>
      </c>
      <c r="U1350" s="222"/>
      <c r="V1350" s="222"/>
      <c r="W1350" s="222"/>
      <c r="X1350" s="222"/>
      <c r="Y1350" s="222"/>
      <c r="Z1350" s="222"/>
      <c r="AA1350" s="222"/>
      <c r="AB1350" s="222"/>
      <c r="AC1350" s="222"/>
      <c r="AD1350" s="222"/>
      <c r="AE1350" s="222"/>
      <c r="AR1350" s="324" t="s">
        <v>212</v>
      </c>
      <c r="AT1350" s="324" t="s">
        <v>148</v>
      </c>
      <c r="AU1350" s="324" t="s">
        <v>83</v>
      </c>
      <c r="AY1350" s="214" t="s">
        <v>146</v>
      </c>
      <c r="BE1350" s="325">
        <f>IF(N1350="základní",J1350,0)</f>
        <v>0</v>
      </c>
      <c r="BF1350" s="325">
        <f>IF(N1350="snížená",J1350,0)</f>
        <v>0</v>
      </c>
      <c r="BG1350" s="325">
        <f>IF(N1350="zákl. přenesená",J1350,0)</f>
        <v>0</v>
      </c>
      <c r="BH1350" s="325">
        <f>IF(N1350="sníž. přenesená",J1350,0)</f>
        <v>0</v>
      </c>
      <c r="BI1350" s="325">
        <f>IF(N1350="nulová",J1350,0)</f>
        <v>0</v>
      </c>
      <c r="BJ1350" s="214" t="s">
        <v>81</v>
      </c>
      <c r="BK1350" s="325">
        <f>ROUND(I1350*H1350,2)</f>
        <v>0</v>
      </c>
      <c r="BL1350" s="214" t="s">
        <v>212</v>
      </c>
      <c r="BM1350" s="324" t="s">
        <v>967</v>
      </c>
    </row>
    <row r="1351" spans="2:51" s="326" customFormat="1" ht="12">
      <c r="B1351" s="327"/>
      <c r="D1351" s="328" t="s">
        <v>155</v>
      </c>
      <c r="E1351" s="329" t="s">
        <v>1</v>
      </c>
      <c r="F1351" s="345" t="s">
        <v>786</v>
      </c>
      <c r="H1351" s="329" t="s">
        <v>1</v>
      </c>
      <c r="I1351" s="497"/>
      <c r="L1351" s="331"/>
      <c r="M1351" s="332"/>
      <c r="N1351" s="333"/>
      <c r="O1351" s="333"/>
      <c r="P1351" s="333"/>
      <c r="Q1351" s="333"/>
      <c r="R1351" s="333"/>
      <c r="S1351" s="333"/>
      <c r="T1351" s="334"/>
      <c r="AT1351" s="329" t="s">
        <v>155</v>
      </c>
      <c r="AU1351" s="329" t="s">
        <v>83</v>
      </c>
      <c r="AV1351" s="326" t="s">
        <v>81</v>
      </c>
      <c r="AW1351" s="326" t="s">
        <v>34</v>
      </c>
      <c r="AX1351" s="326" t="s">
        <v>76</v>
      </c>
      <c r="AY1351" s="329" t="s">
        <v>146</v>
      </c>
    </row>
    <row r="1352" spans="2:51" s="326" customFormat="1" ht="12">
      <c r="B1352" s="327"/>
      <c r="D1352" s="328" t="s">
        <v>155</v>
      </c>
      <c r="E1352" s="329" t="s">
        <v>1</v>
      </c>
      <c r="F1352" s="345" t="s">
        <v>167</v>
      </c>
      <c r="H1352" s="329" t="s">
        <v>1</v>
      </c>
      <c r="I1352" s="497"/>
      <c r="L1352" s="331"/>
      <c r="M1352" s="332"/>
      <c r="N1352" s="333"/>
      <c r="O1352" s="333"/>
      <c r="P1352" s="333"/>
      <c r="Q1352" s="333"/>
      <c r="R1352" s="333"/>
      <c r="S1352" s="333"/>
      <c r="T1352" s="334"/>
      <c r="AT1352" s="329" t="s">
        <v>155</v>
      </c>
      <c r="AU1352" s="329" t="s">
        <v>83</v>
      </c>
      <c r="AV1352" s="326" t="s">
        <v>81</v>
      </c>
      <c r="AW1352" s="326" t="s">
        <v>34</v>
      </c>
      <c r="AX1352" s="326" t="s">
        <v>76</v>
      </c>
      <c r="AY1352" s="329" t="s">
        <v>146</v>
      </c>
    </row>
    <row r="1353" spans="2:51" s="335" customFormat="1" ht="12">
      <c r="B1353" s="336"/>
      <c r="D1353" s="328" t="s">
        <v>155</v>
      </c>
      <c r="E1353" s="337" t="s">
        <v>1</v>
      </c>
      <c r="F1353" s="346" t="s">
        <v>2868</v>
      </c>
      <c r="H1353" s="339">
        <f>22.375*12.2</f>
        <v>272.97499999999997</v>
      </c>
      <c r="I1353" s="498"/>
      <c r="L1353" s="340"/>
      <c r="M1353" s="341"/>
      <c r="N1353" s="342"/>
      <c r="O1353" s="342"/>
      <c r="P1353" s="342"/>
      <c r="Q1353" s="342"/>
      <c r="R1353" s="342"/>
      <c r="S1353" s="342"/>
      <c r="T1353" s="343"/>
      <c r="AT1353" s="337" t="s">
        <v>155</v>
      </c>
      <c r="AU1353" s="337" t="s">
        <v>83</v>
      </c>
      <c r="AV1353" s="335" t="s">
        <v>83</v>
      </c>
      <c r="AW1353" s="335" t="s">
        <v>34</v>
      </c>
      <c r="AX1353" s="335" t="s">
        <v>76</v>
      </c>
      <c r="AY1353" s="337" t="s">
        <v>146</v>
      </c>
    </row>
    <row r="1354" spans="2:51" s="326" customFormat="1" ht="12">
      <c r="B1354" s="327"/>
      <c r="D1354" s="328" t="s">
        <v>155</v>
      </c>
      <c r="E1354" s="329" t="s">
        <v>1</v>
      </c>
      <c r="F1354" s="345" t="s">
        <v>788</v>
      </c>
      <c r="H1354" s="329" t="s">
        <v>1</v>
      </c>
      <c r="I1354" s="497"/>
      <c r="L1354" s="331"/>
      <c r="M1354" s="332"/>
      <c r="N1354" s="333"/>
      <c r="O1354" s="333"/>
      <c r="P1354" s="333"/>
      <c r="Q1354" s="333"/>
      <c r="R1354" s="333"/>
      <c r="S1354" s="333"/>
      <c r="T1354" s="334"/>
      <c r="AT1354" s="329" t="s">
        <v>155</v>
      </c>
      <c r="AU1354" s="329" t="s">
        <v>83</v>
      </c>
      <c r="AV1354" s="326" t="s">
        <v>81</v>
      </c>
      <c r="AW1354" s="326" t="s">
        <v>34</v>
      </c>
      <c r="AX1354" s="326" t="s">
        <v>76</v>
      </c>
      <c r="AY1354" s="329" t="s">
        <v>146</v>
      </c>
    </row>
    <row r="1355" spans="2:51" s="326" customFormat="1" ht="12">
      <c r="B1355" s="327"/>
      <c r="D1355" s="328" t="s">
        <v>155</v>
      </c>
      <c r="E1355" s="329" t="s">
        <v>1</v>
      </c>
      <c r="F1355" s="345" t="s">
        <v>164</v>
      </c>
      <c r="H1355" s="329" t="s">
        <v>1</v>
      </c>
      <c r="I1355" s="497"/>
      <c r="L1355" s="331"/>
      <c r="M1355" s="332"/>
      <c r="N1355" s="333"/>
      <c r="O1355" s="333"/>
      <c r="P1355" s="333"/>
      <c r="Q1355" s="333"/>
      <c r="R1355" s="333"/>
      <c r="S1355" s="333"/>
      <c r="T1355" s="334"/>
      <c r="AT1355" s="329" t="s">
        <v>155</v>
      </c>
      <c r="AU1355" s="329" t="s">
        <v>83</v>
      </c>
      <c r="AV1355" s="326" t="s">
        <v>81</v>
      </c>
      <c r="AW1355" s="326" t="s">
        <v>34</v>
      </c>
      <c r="AX1355" s="326" t="s">
        <v>76</v>
      </c>
      <c r="AY1355" s="329" t="s">
        <v>146</v>
      </c>
    </row>
    <row r="1356" spans="2:51" s="335" customFormat="1" ht="12">
      <c r="B1356" s="336"/>
      <c r="D1356" s="328" t="s">
        <v>155</v>
      </c>
      <c r="E1356" s="337" t="s">
        <v>1</v>
      </c>
      <c r="F1356" s="346" t="s">
        <v>2882</v>
      </c>
      <c r="H1356" s="339">
        <f>(26.8-6.5)*(12.2-0.14*3)+6.5*12.2</f>
        <v>318.43399999999997</v>
      </c>
      <c r="I1356" s="498"/>
      <c r="L1356" s="340"/>
      <c r="M1356" s="341"/>
      <c r="N1356" s="342"/>
      <c r="O1356" s="342"/>
      <c r="P1356" s="342"/>
      <c r="Q1356" s="342"/>
      <c r="R1356" s="342"/>
      <c r="S1356" s="342"/>
      <c r="T1356" s="343"/>
      <c r="AT1356" s="337" t="s">
        <v>155</v>
      </c>
      <c r="AU1356" s="337" t="s">
        <v>83</v>
      </c>
      <c r="AV1356" s="335" t="s">
        <v>83</v>
      </c>
      <c r="AW1356" s="335" t="s">
        <v>34</v>
      </c>
      <c r="AX1356" s="335" t="s">
        <v>76</v>
      </c>
      <c r="AY1356" s="337" t="s">
        <v>146</v>
      </c>
    </row>
    <row r="1357" spans="2:51" s="347" customFormat="1" ht="12">
      <c r="B1357" s="348"/>
      <c r="D1357" s="328" t="s">
        <v>155</v>
      </c>
      <c r="E1357" s="349" t="s">
        <v>1</v>
      </c>
      <c r="F1357" s="350" t="s">
        <v>157</v>
      </c>
      <c r="H1357" s="351">
        <f>SUM(H1353:H1356)</f>
        <v>591.4089999999999</v>
      </c>
      <c r="I1357" s="499"/>
      <c r="L1357" s="352"/>
      <c r="M1357" s="353"/>
      <c r="N1357" s="354"/>
      <c r="O1357" s="354"/>
      <c r="P1357" s="354"/>
      <c r="Q1357" s="354"/>
      <c r="R1357" s="354"/>
      <c r="S1357" s="354"/>
      <c r="T1357" s="355"/>
      <c r="AT1357" s="349" t="s">
        <v>155</v>
      </c>
      <c r="AU1357" s="349" t="s">
        <v>83</v>
      </c>
      <c r="AV1357" s="347" t="s">
        <v>153</v>
      </c>
      <c r="AW1357" s="347" t="s">
        <v>34</v>
      </c>
      <c r="AX1357" s="347" t="s">
        <v>81</v>
      </c>
      <c r="AY1357" s="349" t="s">
        <v>146</v>
      </c>
    </row>
    <row r="1358" spans="1:65" s="225" customFormat="1" ht="16.5" customHeight="1">
      <c r="A1358" s="222"/>
      <c r="B1358" s="223"/>
      <c r="C1358" s="358">
        <v>240</v>
      </c>
      <c r="D1358" s="358" t="s">
        <v>208</v>
      </c>
      <c r="E1358" s="359" t="s">
        <v>943</v>
      </c>
      <c r="F1358" s="360" t="s">
        <v>944</v>
      </c>
      <c r="G1358" s="361" t="s">
        <v>162</v>
      </c>
      <c r="H1358" s="362">
        <f>H1365</f>
        <v>14.301416</v>
      </c>
      <c r="I1358" s="80"/>
      <c r="J1358" s="363">
        <f>ROUND(I1358*H1358,2)</f>
        <v>0</v>
      </c>
      <c r="K1358" s="364"/>
      <c r="L1358" s="365"/>
      <c r="M1358" s="366" t="s">
        <v>1</v>
      </c>
      <c r="N1358" s="367" t="s">
        <v>42</v>
      </c>
      <c r="O1358" s="322">
        <v>0</v>
      </c>
      <c r="P1358" s="322">
        <f>O1358*H1358</f>
        <v>0</v>
      </c>
      <c r="Q1358" s="322">
        <v>0.55</v>
      </c>
      <c r="R1358" s="322">
        <f>Q1358*H1358</f>
        <v>7.8657788</v>
      </c>
      <c r="S1358" s="322">
        <v>0</v>
      </c>
      <c r="T1358" s="323">
        <f>S1358*H1358</f>
        <v>0</v>
      </c>
      <c r="U1358" s="222"/>
      <c r="V1358" s="222"/>
      <c r="W1358" s="222"/>
      <c r="X1358" s="222"/>
      <c r="Y1358" s="222"/>
      <c r="Z1358" s="222"/>
      <c r="AA1358" s="222"/>
      <c r="AB1358" s="222"/>
      <c r="AC1358" s="222"/>
      <c r="AD1358" s="222"/>
      <c r="AE1358" s="222"/>
      <c r="AR1358" s="324" t="s">
        <v>298</v>
      </c>
      <c r="AT1358" s="324" t="s">
        <v>208</v>
      </c>
      <c r="AU1358" s="324" t="s">
        <v>83</v>
      </c>
      <c r="AY1358" s="214" t="s">
        <v>146</v>
      </c>
      <c r="BE1358" s="325">
        <f>IF(N1358="základní",J1358,0)</f>
        <v>0</v>
      </c>
      <c r="BF1358" s="325">
        <f>IF(N1358="snížená",J1358,0)</f>
        <v>0</v>
      </c>
      <c r="BG1358" s="325">
        <f>IF(N1358="zákl. přenesená",J1358,0)</f>
        <v>0</v>
      </c>
      <c r="BH1358" s="325">
        <f>IF(N1358="sníž. přenesená",J1358,0)</f>
        <v>0</v>
      </c>
      <c r="BI1358" s="325">
        <f>IF(N1358="nulová",J1358,0)</f>
        <v>0</v>
      </c>
      <c r="BJ1358" s="214" t="s">
        <v>81</v>
      </c>
      <c r="BK1358" s="325">
        <f>ROUND(I1358*H1358,2)</f>
        <v>0</v>
      </c>
      <c r="BL1358" s="214" t="s">
        <v>212</v>
      </c>
      <c r="BM1358" s="324" t="s">
        <v>968</v>
      </c>
    </row>
    <row r="1359" spans="2:51" s="326" customFormat="1" ht="12">
      <c r="B1359" s="327"/>
      <c r="D1359" s="328" t="s">
        <v>155</v>
      </c>
      <c r="E1359" s="329" t="s">
        <v>1</v>
      </c>
      <c r="F1359" s="345" t="s">
        <v>786</v>
      </c>
      <c r="H1359" s="329" t="s">
        <v>1</v>
      </c>
      <c r="I1359" s="497"/>
      <c r="L1359" s="331"/>
      <c r="M1359" s="332"/>
      <c r="N1359" s="333"/>
      <c r="O1359" s="333"/>
      <c r="P1359" s="333"/>
      <c r="Q1359" s="333"/>
      <c r="R1359" s="333"/>
      <c r="S1359" s="333"/>
      <c r="T1359" s="334"/>
      <c r="AT1359" s="329" t="s">
        <v>155</v>
      </c>
      <c r="AU1359" s="329" t="s">
        <v>83</v>
      </c>
      <c r="AV1359" s="326" t="s">
        <v>81</v>
      </c>
      <c r="AW1359" s="326" t="s">
        <v>34</v>
      </c>
      <c r="AX1359" s="326" t="s">
        <v>76</v>
      </c>
      <c r="AY1359" s="329" t="s">
        <v>146</v>
      </c>
    </row>
    <row r="1360" spans="2:51" s="326" customFormat="1" ht="12">
      <c r="B1360" s="327"/>
      <c r="D1360" s="328" t="s">
        <v>155</v>
      </c>
      <c r="E1360" s="329" t="s">
        <v>1</v>
      </c>
      <c r="F1360" s="345" t="s">
        <v>167</v>
      </c>
      <c r="H1360" s="329" t="s">
        <v>1</v>
      </c>
      <c r="I1360" s="497"/>
      <c r="L1360" s="331"/>
      <c r="M1360" s="332"/>
      <c r="N1360" s="333"/>
      <c r="O1360" s="333"/>
      <c r="P1360" s="333"/>
      <c r="Q1360" s="333"/>
      <c r="R1360" s="333"/>
      <c r="S1360" s="333"/>
      <c r="T1360" s="334"/>
      <c r="AT1360" s="329" t="s">
        <v>155</v>
      </c>
      <c r="AU1360" s="329" t="s">
        <v>83</v>
      </c>
      <c r="AV1360" s="326" t="s">
        <v>81</v>
      </c>
      <c r="AW1360" s="326" t="s">
        <v>34</v>
      </c>
      <c r="AX1360" s="326" t="s">
        <v>76</v>
      </c>
      <c r="AY1360" s="329" t="s">
        <v>146</v>
      </c>
    </row>
    <row r="1361" spans="2:51" s="335" customFormat="1" ht="12">
      <c r="B1361" s="336"/>
      <c r="D1361" s="328" t="s">
        <v>155</v>
      </c>
      <c r="E1361" s="337" t="s">
        <v>1</v>
      </c>
      <c r="F1361" s="346" t="s">
        <v>2869</v>
      </c>
      <c r="H1361" s="339">
        <v>6.659</v>
      </c>
      <c r="I1361" s="498"/>
      <c r="L1361" s="340"/>
      <c r="M1361" s="341"/>
      <c r="N1361" s="342"/>
      <c r="O1361" s="342"/>
      <c r="P1361" s="342"/>
      <c r="Q1361" s="342"/>
      <c r="R1361" s="342"/>
      <c r="S1361" s="342"/>
      <c r="T1361" s="343"/>
      <c r="AT1361" s="337" t="s">
        <v>155</v>
      </c>
      <c r="AU1361" s="337" t="s">
        <v>83</v>
      </c>
      <c r="AV1361" s="335" t="s">
        <v>83</v>
      </c>
      <c r="AW1361" s="335" t="s">
        <v>34</v>
      </c>
      <c r="AX1361" s="335" t="s">
        <v>76</v>
      </c>
      <c r="AY1361" s="337" t="s">
        <v>146</v>
      </c>
    </row>
    <row r="1362" spans="2:51" s="326" customFormat="1" ht="12">
      <c r="B1362" s="327"/>
      <c r="D1362" s="328" t="s">
        <v>155</v>
      </c>
      <c r="E1362" s="329" t="s">
        <v>1</v>
      </c>
      <c r="F1362" s="345" t="s">
        <v>788</v>
      </c>
      <c r="H1362" s="329" t="s">
        <v>1</v>
      </c>
      <c r="I1362" s="497"/>
      <c r="L1362" s="331"/>
      <c r="M1362" s="332"/>
      <c r="N1362" s="333"/>
      <c r="O1362" s="333"/>
      <c r="P1362" s="333"/>
      <c r="Q1362" s="333"/>
      <c r="R1362" s="333"/>
      <c r="S1362" s="333"/>
      <c r="T1362" s="334"/>
      <c r="AT1362" s="329" t="s">
        <v>155</v>
      </c>
      <c r="AU1362" s="329" t="s">
        <v>83</v>
      </c>
      <c r="AV1362" s="326" t="s">
        <v>81</v>
      </c>
      <c r="AW1362" s="326" t="s">
        <v>34</v>
      </c>
      <c r="AX1362" s="326" t="s">
        <v>76</v>
      </c>
      <c r="AY1362" s="329" t="s">
        <v>146</v>
      </c>
    </row>
    <row r="1363" spans="2:51" s="326" customFormat="1" ht="12">
      <c r="B1363" s="327"/>
      <c r="D1363" s="328" t="s">
        <v>155</v>
      </c>
      <c r="E1363" s="329" t="s">
        <v>1</v>
      </c>
      <c r="F1363" s="345" t="s">
        <v>164</v>
      </c>
      <c r="H1363" s="329" t="s">
        <v>1</v>
      </c>
      <c r="I1363" s="497"/>
      <c r="L1363" s="331"/>
      <c r="M1363" s="332"/>
      <c r="N1363" s="333"/>
      <c r="O1363" s="333"/>
      <c r="P1363" s="333"/>
      <c r="Q1363" s="333"/>
      <c r="R1363" s="333"/>
      <c r="S1363" s="333"/>
      <c r="T1363" s="334"/>
      <c r="AT1363" s="329" t="s">
        <v>155</v>
      </c>
      <c r="AU1363" s="329" t="s">
        <v>83</v>
      </c>
      <c r="AV1363" s="326" t="s">
        <v>81</v>
      </c>
      <c r="AW1363" s="326" t="s">
        <v>34</v>
      </c>
      <c r="AX1363" s="326" t="s">
        <v>76</v>
      </c>
      <c r="AY1363" s="329" t="s">
        <v>146</v>
      </c>
    </row>
    <row r="1364" spans="2:51" s="335" customFormat="1" ht="12">
      <c r="B1364" s="336"/>
      <c r="D1364" s="328" t="s">
        <v>155</v>
      </c>
      <c r="E1364" s="337" t="s">
        <v>1</v>
      </c>
      <c r="F1364" s="346" t="s">
        <v>2883</v>
      </c>
      <c r="H1364" s="339">
        <f>((26.8-6.5)*(12.2-0.14*3)+6.5*12.2)*0.024</f>
        <v>7.642415999999999</v>
      </c>
      <c r="I1364" s="498"/>
      <c r="L1364" s="340"/>
      <c r="M1364" s="341"/>
      <c r="N1364" s="342"/>
      <c r="O1364" s="342"/>
      <c r="P1364" s="342"/>
      <c r="Q1364" s="342"/>
      <c r="R1364" s="342"/>
      <c r="S1364" s="342"/>
      <c r="T1364" s="343"/>
      <c r="AT1364" s="337" t="s">
        <v>155</v>
      </c>
      <c r="AU1364" s="337" t="s">
        <v>83</v>
      </c>
      <c r="AV1364" s="335" t="s">
        <v>83</v>
      </c>
      <c r="AW1364" s="335" t="s">
        <v>34</v>
      </c>
      <c r="AX1364" s="335" t="s">
        <v>76</v>
      </c>
      <c r="AY1364" s="337" t="s">
        <v>146</v>
      </c>
    </row>
    <row r="1365" spans="2:51" s="347" customFormat="1" ht="12">
      <c r="B1365" s="348"/>
      <c r="D1365" s="328" t="s">
        <v>155</v>
      </c>
      <c r="E1365" s="349" t="s">
        <v>1</v>
      </c>
      <c r="F1365" s="350" t="s">
        <v>157</v>
      </c>
      <c r="H1365" s="351">
        <f>SUM(H1361:H1364)</f>
        <v>14.301416</v>
      </c>
      <c r="I1365" s="499"/>
      <c r="L1365" s="352"/>
      <c r="M1365" s="353"/>
      <c r="N1365" s="354"/>
      <c r="O1365" s="354"/>
      <c r="P1365" s="354"/>
      <c r="Q1365" s="354"/>
      <c r="R1365" s="354"/>
      <c r="S1365" s="354"/>
      <c r="T1365" s="355"/>
      <c r="AT1365" s="349" t="s">
        <v>155</v>
      </c>
      <c r="AU1365" s="349" t="s">
        <v>83</v>
      </c>
      <c r="AV1365" s="347" t="s">
        <v>153</v>
      </c>
      <c r="AW1365" s="347" t="s">
        <v>34</v>
      </c>
      <c r="AX1365" s="347" t="s">
        <v>81</v>
      </c>
      <c r="AY1365" s="349" t="s">
        <v>146</v>
      </c>
    </row>
    <row r="1366" spans="1:65" s="225" customFormat="1" ht="24.2" customHeight="1">
      <c r="A1366" s="222"/>
      <c r="B1366" s="223"/>
      <c r="C1366" s="314">
        <v>241</v>
      </c>
      <c r="D1366" s="314" t="s">
        <v>148</v>
      </c>
      <c r="E1366" s="315" t="s">
        <v>969</v>
      </c>
      <c r="F1366" s="344" t="s">
        <v>970</v>
      </c>
      <c r="G1366" s="317" t="s">
        <v>162</v>
      </c>
      <c r="H1366" s="318">
        <f>H1367</f>
        <v>27.791</v>
      </c>
      <c r="I1366" s="79"/>
      <c r="J1366" s="319">
        <f>ROUND(I1366*H1366,2)</f>
        <v>0</v>
      </c>
      <c r="K1366" s="316"/>
      <c r="L1366" s="229"/>
      <c r="M1366" s="320" t="s">
        <v>1</v>
      </c>
      <c r="N1366" s="321" t="s">
        <v>42</v>
      </c>
      <c r="O1366" s="322">
        <v>0</v>
      </c>
      <c r="P1366" s="322">
        <f>O1366*H1366</f>
        <v>0</v>
      </c>
      <c r="Q1366" s="322">
        <v>0.002808</v>
      </c>
      <c r="R1366" s="322">
        <f>Q1366*H1366</f>
        <v>0.07803712800000001</v>
      </c>
      <c r="S1366" s="322">
        <v>0</v>
      </c>
      <c r="T1366" s="323">
        <f>S1366*H1366</f>
        <v>0</v>
      </c>
      <c r="U1366" s="222"/>
      <c r="V1366" s="222"/>
      <c r="W1366" s="222"/>
      <c r="X1366" s="222"/>
      <c r="Y1366" s="222"/>
      <c r="Z1366" s="222"/>
      <c r="AA1366" s="222"/>
      <c r="AB1366" s="222"/>
      <c r="AC1366" s="222"/>
      <c r="AD1366" s="222"/>
      <c r="AE1366" s="222"/>
      <c r="AR1366" s="324" t="s">
        <v>212</v>
      </c>
      <c r="AT1366" s="324" t="s">
        <v>148</v>
      </c>
      <c r="AU1366" s="324" t="s">
        <v>83</v>
      </c>
      <c r="AY1366" s="214" t="s">
        <v>146</v>
      </c>
      <c r="BE1366" s="325">
        <f>IF(N1366="základní",J1366,0)</f>
        <v>0</v>
      </c>
      <c r="BF1366" s="325">
        <f>IF(N1366="snížená",J1366,0)</f>
        <v>0</v>
      </c>
      <c r="BG1366" s="325">
        <f>IF(N1366="zákl. přenesená",J1366,0)</f>
        <v>0</v>
      </c>
      <c r="BH1366" s="325">
        <f>IF(N1366="sníž. přenesená",J1366,0)</f>
        <v>0</v>
      </c>
      <c r="BI1366" s="325">
        <f>IF(N1366="nulová",J1366,0)</f>
        <v>0</v>
      </c>
      <c r="BJ1366" s="214" t="s">
        <v>81</v>
      </c>
      <c r="BK1366" s="325">
        <f>ROUND(I1366*H1366,2)</f>
        <v>0</v>
      </c>
      <c r="BL1366" s="214" t="s">
        <v>212</v>
      </c>
      <c r="BM1366" s="324" t="s">
        <v>971</v>
      </c>
    </row>
    <row r="1367" spans="2:51" s="335" customFormat="1" ht="12">
      <c r="B1367" s="336"/>
      <c r="D1367" s="328" t="s">
        <v>155</v>
      </c>
      <c r="E1367" s="337" t="s">
        <v>1</v>
      </c>
      <c r="F1367" s="346" t="s">
        <v>2884</v>
      </c>
      <c r="H1367" s="339">
        <f>13.49+14.301</f>
        <v>27.791</v>
      </c>
      <c r="I1367" s="498"/>
      <c r="L1367" s="340"/>
      <c r="M1367" s="341"/>
      <c r="N1367" s="342"/>
      <c r="O1367" s="342"/>
      <c r="P1367" s="342"/>
      <c r="Q1367" s="342"/>
      <c r="R1367" s="342"/>
      <c r="S1367" s="342"/>
      <c r="T1367" s="343"/>
      <c r="AT1367" s="337" t="s">
        <v>155</v>
      </c>
      <c r="AU1367" s="337" t="s">
        <v>83</v>
      </c>
      <c r="AV1367" s="335" t="s">
        <v>83</v>
      </c>
      <c r="AW1367" s="335" t="s">
        <v>34</v>
      </c>
      <c r="AX1367" s="335" t="s">
        <v>76</v>
      </c>
      <c r="AY1367" s="337" t="s">
        <v>146</v>
      </c>
    </row>
    <row r="1368" spans="1:65" s="225" customFormat="1" ht="24.2" customHeight="1">
      <c r="A1368" s="222"/>
      <c r="B1368" s="223"/>
      <c r="C1368" s="314">
        <v>242</v>
      </c>
      <c r="D1368" s="314" t="s">
        <v>148</v>
      </c>
      <c r="E1368" s="315" t="s">
        <v>972</v>
      </c>
      <c r="F1368" s="344" t="s">
        <v>973</v>
      </c>
      <c r="G1368" s="317" t="s">
        <v>151</v>
      </c>
      <c r="H1368" s="318">
        <f>H1370</f>
        <v>51.611</v>
      </c>
      <c r="I1368" s="79"/>
      <c r="J1368" s="319">
        <f>ROUND(I1368*H1368,2)</f>
        <v>0</v>
      </c>
      <c r="K1368" s="316"/>
      <c r="L1368" s="229"/>
      <c r="M1368" s="320" t="s">
        <v>1</v>
      </c>
      <c r="N1368" s="321" t="s">
        <v>42</v>
      </c>
      <c r="O1368" s="322">
        <v>0.332</v>
      </c>
      <c r="P1368" s="322">
        <f>O1368*H1368</f>
        <v>17.134852</v>
      </c>
      <c r="Q1368" s="322">
        <v>0</v>
      </c>
      <c r="R1368" s="322">
        <f>Q1368*H1368</f>
        <v>0</v>
      </c>
      <c r="S1368" s="322">
        <v>0</v>
      </c>
      <c r="T1368" s="323">
        <f>S1368*H1368</f>
        <v>0</v>
      </c>
      <c r="U1368" s="222"/>
      <c r="V1368" s="222"/>
      <c r="W1368" s="222"/>
      <c r="X1368" s="222"/>
      <c r="Y1368" s="222"/>
      <c r="Z1368" s="222"/>
      <c r="AA1368" s="222"/>
      <c r="AB1368" s="222"/>
      <c r="AC1368" s="222"/>
      <c r="AD1368" s="222"/>
      <c r="AE1368" s="222"/>
      <c r="AR1368" s="324" t="s">
        <v>212</v>
      </c>
      <c r="AT1368" s="324" t="s">
        <v>148</v>
      </c>
      <c r="AU1368" s="324" t="s">
        <v>83</v>
      </c>
      <c r="AY1368" s="214" t="s">
        <v>146</v>
      </c>
      <c r="BE1368" s="325">
        <f>IF(N1368="základní",J1368,0)</f>
        <v>0</v>
      </c>
      <c r="BF1368" s="325">
        <f>IF(N1368="snížená",J1368,0)</f>
        <v>0</v>
      </c>
      <c r="BG1368" s="325">
        <f>IF(N1368="zákl. přenesená",J1368,0)</f>
        <v>0</v>
      </c>
      <c r="BH1368" s="325">
        <f>IF(N1368="sníž. přenesená",J1368,0)</f>
        <v>0</v>
      </c>
      <c r="BI1368" s="325">
        <f>IF(N1368="nulová",J1368,0)</f>
        <v>0</v>
      </c>
      <c r="BJ1368" s="214" t="s">
        <v>81</v>
      </c>
      <c r="BK1368" s="325">
        <f>ROUND(I1368*H1368,2)</f>
        <v>0</v>
      </c>
      <c r="BL1368" s="214" t="s">
        <v>212</v>
      </c>
      <c r="BM1368" s="324" t="s">
        <v>974</v>
      </c>
    </row>
    <row r="1369" spans="2:51" s="326" customFormat="1" ht="12">
      <c r="B1369" s="327"/>
      <c r="D1369" s="328" t="s">
        <v>155</v>
      </c>
      <c r="E1369" s="329" t="s">
        <v>1</v>
      </c>
      <c r="F1369" s="345" t="s">
        <v>975</v>
      </c>
      <c r="H1369" s="329" t="s">
        <v>1</v>
      </c>
      <c r="I1369" s="497"/>
      <c r="L1369" s="331"/>
      <c r="M1369" s="332"/>
      <c r="N1369" s="333"/>
      <c r="O1369" s="333"/>
      <c r="P1369" s="333"/>
      <c r="Q1369" s="333"/>
      <c r="R1369" s="333"/>
      <c r="S1369" s="333"/>
      <c r="T1369" s="334"/>
      <c r="AT1369" s="329" t="s">
        <v>155</v>
      </c>
      <c r="AU1369" s="329" t="s">
        <v>83</v>
      </c>
      <c r="AV1369" s="326" t="s">
        <v>81</v>
      </c>
      <c r="AW1369" s="326" t="s">
        <v>34</v>
      </c>
      <c r="AX1369" s="326" t="s">
        <v>76</v>
      </c>
      <c r="AY1369" s="329" t="s">
        <v>146</v>
      </c>
    </row>
    <row r="1370" spans="2:51" s="335" customFormat="1" ht="12">
      <c r="B1370" s="336"/>
      <c r="D1370" s="328" t="s">
        <v>155</v>
      </c>
      <c r="E1370" s="337" t="s">
        <v>1</v>
      </c>
      <c r="F1370" s="346" t="s">
        <v>2871</v>
      </c>
      <c r="H1370" s="339">
        <f>9.675*4.35+6.145*1.55</f>
        <v>51.611</v>
      </c>
      <c r="I1370" s="498"/>
      <c r="L1370" s="340"/>
      <c r="M1370" s="341"/>
      <c r="N1370" s="342"/>
      <c r="O1370" s="342"/>
      <c r="P1370" s="342"/>
      <c r="Q1370" s="342"/>
      <c r="R1370" s="342"/>
      <c r="S1370" s="342"/>
      <c r="T1370" s="343"/>
      <c r="AT1370" s="337" t="s">
        <v>155</v>
      </c>
      <c r="AU1370" s="337" t="s">
        <v>83</v>
      </c>
      <c r="AV1370" s="335" t="s">
        <v>83</v>
      </c>
      <c r="AW1370" s="335" t="s">
        <v>34</v>
      </c>
      <c r="AX1370" s="335" t="s">
        <v>81</v>
      </c>
      <c r="AY1370" s="337" t="s">
        <v>146</v>
      </c>
    </row>
    <row r="1371" spans="1:65" s="225" customFormat="1" ht="16.5" customHeight="1">
      <c r="A1371" s="222"/>
      <c r="B1371" s="223"/>
      <c r="C1371" s="358">
        <v>243</v>
      </c>
      <c r="D1371" s="358" t="s">
        <v>208</v>
      </c>
      <c r="E1371" s="359" t="s">
        <v>976</v>
      </c>
      <c r="F1371" s="360" t="s">
        <v>977</v>
      </c>
      <c r="G1371" s="361" t="s">
        <v>162</v>
      </c>
      <c r="H1371" s="362">
        <f>H1374</f>
        <v>1.238664</v>
      </c>
      <c r="I1371" s="80"/>
      <c r="J1371" s="363">
        <f>ROUND(I1371*H1371,2)</f>
        <v>0</v>
      </c>
      <c r="K1371" s="364"/>
      <c r="L1371" s="365"/>
      <c r="M1371" s="366" t="s">
        <v>1</v>
      </c>
      <c r="N1371" s="367" t="s">
        <v>42</v>
      </c>
      <c r="O1371" s="322">
        <v>0</v>
      </c>
      <c r="P1371" s="322">
        <f>O1371*H1371</f>
        <v>0</v>
      </c>
      <c r="Q1371" s="322">
        <v>0.55</v>
      </c>
      <c r="R1371" s="322">
        <f>Q1371*H1371</f>
        <v>0.6812652</v>
      </c>
      <c r="S1371" s="322">
        <v>0</v>
      </c>
      <c r="T1371" s="323">
        <f>S1371*H1371</f>
        <v>0</v>
      </c>
      <c r="U1371" s="222"/>
      <c r="V1371" s="222"/>
      <c r="W1371" s="222"/>
      <c r="X1371" s="222"/>
      <c r="Y1371" s="222"/>
      <c r="Z1371" s="222"/>
      <c r="AA1371" s="222"/>
      <c r="AB1371" s="222"/>
      <c r="AC1371" s="222"/>
      <c r="AD1371" s="222"/>
      <c r="AE1371" s="222"/>
      <c r="AR1371" s="324" t="s">
        <v>298</v>
      </c>
      <c r="AT1371" s="324" t="s">
        <v>208</v>
      </c>
      <c r="AU1371" s="324" t="s">
        <v>83</v>
      </c>
      <c r="AY1371" s="214" t="s">
        <v>146</v>
      </c>
      <c r="BE1371" s="325">
        <f>IF(N1371="základní",J1371,0)</f>
        <v>0</v>
      </c>
      <c r="BF1371" s="325">
        <f>IF(N1371="snížená",J1371,0)</f>
        <v>0</v>
      </c>
      <c r="BG1371" s="325">
        <f>IF(N1371="zákl. přenesená",J1371,0)</f>
        <v>0</v>
      </c>
      <c r="BH1371" s="325">
        <f>IF(N1371="sníž. přenesená",J1371,0)</f>
        <v>0</v>
      </c>
      <c r="BI1371" s="325">
        <f>IF(N1371="nulová",J1371,0)</f>
        <v>0</v>
      </c>
      <c r="BJ1371" s="214" t="s">
        <v>81</v>
      </c>
      <c r="BK1371" s="325">
        <f>ROUND(I1371*H1371,2)</f>
        <v>0</v>
      </c>
      <c r="BL1371" s="214" t="s">
        <v>212</v>
      </c>
      <c r="BM1371" s="324" t="s">
        <v>978</v>
      </c>
    </row>
    <row r="1372" spans="2:51" s="326" customFormat="1" ht="12">
      <c r="B1372" s="327"/>
      <c r="D1372" s="328" t="s">
        <v>155</v>
      </c>
      <c r="E1372" s="329" t="s">
        <v>1</v>
      </c>
      <c r="F1372" s="345" t="s">
        <v>975</v>
      </c>
      <c r="H1372" s="329" t="s">
        <v>1</v>
      </c>
      <c r="I1372" s="497"/>
      <c r="L1372" s="331"/>
      <c r="M1372" s="332"/>
      <c r="N1372" s="333"/>
      <c r="O1372" s="333"/>
      <c r="P1372" s="333"/>
      <c r="Q1372" s="333"/>
      <c r="R1372" s="333"/>
      <c r="S1372" s="333"/>
      <c r="T1372" s="334"/>
      <c r="AT1372" s="329" t="s">
        <v>155</v>
      </c>
      <c r="AU1372" s="329" t="s">
        <v>83</v>
      </c>
      <c r="AV1372" s="326" t="s">
        <v>81</v>
      </c>
      <c r="AW1372" s="326" t="s">
        <v>34</v>
      </c>
      <c r="AX1372" s="326" t="s">
        <v>76</v>
      </c>
      <c r="AY1372" s="329" t="s">
        <v>146</v>
      </c>
    </row>
    <row r="1373" spans="2:51" s="326" customFormat="1" ht="12">
      <c r="B1373" s="327"/>
      <c r="D1373" s="328" t="s">
        <v>155</v>
      </c>
      <c r="E1373" s="329" t="s">
        <v>1</v>
      </c>
      <c r="F1373" s="345" t="s">
        <v>979</v>
      </c>
      <c r="H1373" s="329" t="s">
        <v>1</v>
      </c>
      <c r="I1373" s="497"/>
      <c r="L1373" s="331"/>
      <c r="M1373" s="332"/>
      <c r="N1373" s="333"/>
      <c r="O1373" s="333"/>
      <c r="P1373" s="333"/>
      <c r="Q1373" s="333"/>
      <c r="R1373" s="333"/>
      <c r="S1373" s="333"/>
      <c r="T1373" s="334"/>
      <c r="AT1373" s="329" t="s">
        <v>155</v>
      </c>
      <c r="AU1373" s="329" t="s">
        <v>83</v>
      </c>
      <c r="AV1373" s="326" t="s">
        <v>81</v>
      </c>
      <c r="AW1373" s="326" t="s">
        <v>34</v>
      </c>
      <c r="AX1373" s="326" t="s">
        <v>76</v>
      </c>
      <c r="AY1373" s="329" t="s">
        <v>146</v>
      </c>
    </row>
    <row r="1374" spans="2:51" s="335" customFormat="1" ht="12">
      <c r="B1374" s="336"/>
      <c r="D1374" s="328" t="s">
        <v>155</v>
      </c>
      <c r="E1374" s="337" t="s">
        <v>1</v>
      </c>
      <c r="F1374" s="346" t="s">
        <v>2870</v>
      </c>
      <c r="H1374" s="339">
        <f>(9.675*4.35+6.145*1.55)*0.024</f>
        <v>1.238664</v>
      </c>
      <c r="I1374" s="498"/>
      <c r="L1374" s="340"/>
      <c r="M1374" s="341"/>
      <c r="N1374" s="342"/>
      <c r="O1374" s="342"/>
      <c r="P1374" s="342"/>
      <c r="Q1374" s="342"/>
      <c r="R1374" s="342"/>
      <c r="S1374" s="342"/>
      <c r="T1374" s="343"/>
      <c r="AT1374" s="337" t="s">
        <v>155</v>
      </c>
      <c r="AU1374" s="337" t="s">
        <v>83</v>
      </c>
      <c r="AV1374" s="335" t="s">
        <v>83</v>
      </c>
      <c r="AW1374" s="335" t="s">
        <v>34</v>
      </c>
      <c r="AX1374" s="335" t="s">
        <v>81</v>
      </c>
      <c r="AY1374" s="337" t="s">
        <v>146</v>
      </c>
    </row>
    <row r="1375" spans="1:65" s="225" customFormat="1" ht="33" customHeight="1">
      <c r="A1375" s="222"/>
      <c r="B1375" s="223"/>
      <c r="C1375" s="314">
        <v>244</v>
      </c>
      <c r="D1375" s="314" t="s">
        <v>148</v>
      </c>
      <c r="E1375" s="315" t="s">
        <v>980</v>
      </c>
      <c r="F1375" s="344" t="s">
        <v>981</v>
      </c>
      <c r="G1375" s="317" t="s">
        <v>158</v>
      </c>
      <c r="H1375" s="318">
        <f>H1385</f>
        <v>74.58</v>
      </c>
      <c r="I1375" s="79"/>
      <c r="J1375" s="319">
        <f>ROUND(I1375*H1375,2)</f>
        <v>0</v>
      </c>
      <c r="K1375" s="316"/>
      <c r="L1375" s="229"/>
      <c r="M1375" s="320" t="s">
        <v>1</v>
      </c>
      <c r="N1375" s="321" t="s">
        <v>42</v>
      </c>
      <c r="O1375" s="322">
        <v>0.158</v>
      </c>
      <c r="P1375" s="322">
        <f>O1375*H1375</f>
        <v>11.78364</v>
      </c>
      <c r="Q1375" s="322">
        <v>0</v>
      </c>
      <c r="R1375" s="322">
        <f>Q1375*H1375</f>
        <v>0</v>
      </c>
      <c r="S1375" s="322">
        <v>0</v>
      </c>
      <c r="T1375" s="323">
        <f>S1375*H1375</f>
        <v>0</v>
      </c>
      <c r="U1375" s="222"/>
      <c r="V1375" s="222"/>
      <c r="W1375" s="222"/>
      <c r="X1375" s="222"/>
      <c r="Y1375" s="222"/>
      <c r="Z1375" s="222"/>
      <c r="AA1375" s="222"/>
      <c r="AB1375" s="222"/>
      <c r="AC1375" s="222"/>
      <c r="AD1375" s="222"/>
      <c r="AE1375" s="222"/>
      <c r="AR1375" s="324" t="s">
        <v>212</v>
      </c>
      <c r="AT1375" s="324" t="s">
        <v>148</v>
      </c>
      <c r="AU1375" s="324" t="s">
        <v>83</v>
      </c>
      <c r="AY1375" s="214" t="s">
        <v>146</v>
      </c>
      <c r="BE1375" s="325">
        <f>IF(N1375="základní",J1375,0)</f>
        <v>0</v>
      </c>
      <c r="BF1375" s="325">
        <f>IF(N1375="snížená",J1375,0)</f>
        <v>0</v>
      </c>
      <c r="BG1375" s="325">
        <f>IF(N1375="zákl. přenesená",J1375,0)</f>
        <v>0</v>
      </c>
      <c r="BH1375" s="325">
        <f>IF(N1375="sníž. přenesená",J1375,0)</f>
        <v>0</v>
      </c>
      <c r="BI1375" s="325">
        <f>IF(N1375="nulová",J1375,0)</f>
        <v>0</v>
      </c>
      <c r="BJ1375" s="214" t="s">
        <v>81</v>
      </c>
      <c r="BK1375" s="325">
        <f>ROUND(I1375*H1375,2)</f>
        <v>0</v>
      </c>
      <c r="BL1375" s="214" t="s">
        <v>212</v>
      </c>
      <c r="BM1375" s="324" t="s">
        <v>982</v>
      </c>
    </row>
    <row r="1376" spans="2:51" s="326" customFormat="1" ht="12">
      <c r="B1376" s="327"/>
      <c r="D1376" s="328" t="s">
        <v>155</v>
      </c>
      <c r="E1376" s="329" t="s">
        <v>1</v>
      </c>
      <c r="F1376" s="345" t="s">
        <v>975</v>
      </c>
      <c r="H1376" s="329" t="s">
        <v>1</v>
      </c>
      <c r="I1376" s="497"/>
      <c r="L1376" s="331"/>
      <c r="M1376" s="332"/>
      <c r="N1376" s="333"/>
      <c r="O1376" s="333"/>
      <c r="P1376" s="333"/>
      <c r="Q1376" s="333"/>
      <c r="R1376" s="333"/>
      <c r="S1376" s="333"/>
      <c r="T1376" s="334"/>
      <c r="AT1376" s="329" t="s">
        <v>155</v>
      </c>
      <c r="AU1376" s="329" t="s">
        <v>83</v>
      </c>
      <c r="AV1376" s="326" t="s">
        <v>81</v>
      </c>
      <c r="AW1376" s="326" t="s">
        <v>34</v>
      </c>
      <c r="AX1376" s="326" t="s">
        <v>76</v>
      </c>
      <c r="AY1376" s="329" t="s">
        <v>146</v>
      </c>
    </row>
    <row r="1377" spans="2:51" s="326" customFormat="1" ht="12">
      <c r="B1377" s="327"/>
      <c r="D1377" s="328" t="s">
        <v>155</v>
      </c>
      <c r="E1377" s="329" t="s">
        <v>1</v>
      </c>
      <c r="F1377" s="345" t="s">
        <v>983</v>
      </c>
      <c r="H1377" s="329" t="s">
        <v>1</v>
      </c>
      <c r="I1377" s="497"/>
      <c r="L1377" s="331"/>
      <c r="M1377" s="332"/>
      <c r="N1377" s="333"/>
      <c r="O1377" s="333"/>
      <c r="P1377" s="333"/>
      <c r="Q1377" s="333"/>
      <c r="R1377" s="333"/>
      <c r="S1377" s="333"/>
      <c r="T1377" s="334"/>
      <c r="AT1377" s="329" t="s">
        <v>155</v>
      </c>
      <c r="AU1377" s="329" t="s">
        <v>83</v>
      </c>
      <c r="AV1377" s="326" t="s">
        <v>81</v>
      </c>
      <c r="AW1377" s="326" t="s">
        <v>34</v>
      </c>
      <c r="AX1377" s="326" t="s">
        <v>76</v>
      </c>
      <c r="AY1377" s="329" t="s">
        <v>146</v>
      </c>
    </row>
    <row r="1378" spans="2:51" s="335" customFormat="1" ht="12">
      <c r="B1378" s="336"/>
      <c r="D1378" s="328" t="s">
        <v>155</v>
      </c>
      <c r="E1378" s="337" t="s">
        <v>1</v>
      </c>
      <c r="F1378" s="346" t="s">
        <v>2872</v>
      </c>
      <c r="H1378" s="339">
        <f>11*4.35</f>
        <v>47.849999999999994</v>
      </c>
      <c r="I1378" s="498"/>
      <c r="L1378" s="340"/>
      <c r="M1378" s="341"/>
      <c r="N1378" s="342"/>
      <c r="O1378" s="342"/>
      <c r="P1378" s="342"/>
      <c r="Q1378" s="342"/>
      <c r="R1378" s="342"/>
      <c r="S1378" s="342"/>
      <c r="T1378" s="343"/>
      <c r="AT1378" s="337" t="s">
        <v>155</v>
      </c>
      <c r="AU1378" s="337" t="s">
        <v>83</v>
      </c>
      <c r="AV1378" s="335" t="s">
        <v>83</v>
      </c>
      <c r="AW1378" s="335" t="s">
        <v>34</v>
      </c>
      <c r="AX1378" s="335" t="s">
        <v>76</v>
      </c>
      <c r="AY1378" s="337" t="s">
        <v>146</v>
      </c>
    </row>
    <row r="1379" spans="2:51" s="326" customFormat="1" ht="12">
      <c r="B1379" s="327"/>
      <c r="D1379" s="328" t="s">
        <v>155</v>
      </c>
      <c r="E1379" s="329" t="s">
        <v>1</v>
      </c>
      <c r="F1379" s="345" t="s">
        <v>984</v>
      </c>
      <c r="H1379" s="329" t="s">
        <v>1</v>
      </c>
      <c r="I1379" s="497"/>
      <c r="L1379" s="331"/>
      <c r="M1379" s="332"/>
      <c r="N1379" s="333"/>
      <c r="O1379" s="333"/>
      <c r="P1379" s="333"/>
      <c r="Q1379" s="333"/>
      <c r="R1379" s="333"/>
      <c r="S1379" s="333"/>
      <c r="T1379" s="334"/>
      <c r="AT1379" s="329" t="s">
        <v>155</v>
      </c>
      <c r="AU1379" s="329" t="s">
        <v>83</v>
      </c>
      <c r="AV1379" s="326" t="s">
        <v>81</v>
      </c>
      <c r="AW1379" s="326" t="s">
        <v>34</v>
      </c>
      <c r="AX1379" s="326" t="s">
        <v>76</v>
      </c>
      <c r="AY1379" s="329" t="s">
        <v>146</v>
      </c>
    </row>
    <row r="1380" spans="2:51" s="335" customFormat="1" ht="12">
      <c r="B1380" s="336"/>
      <c r="D1380" s="328" t="s">
        <v>155</v>
      </c>
      <c r="E1380" s="337" t="s">
        <v>1</v>
      </c>
      <c r="F1380" s="346" t="s">
        <v>985</v>
      </c>
      <c r="H1380" s="339">
        <f>7*1.75</f>
        <v>12.25</v>
      </c>
      <c r="I1380" s="498"/>
      <c r="L1380" s="340"/>
      <c r="M1380" s="341"/>
      <c r="N1380" s="342"/>
      <c r="O1380" s="342"/>
      <c r="P1380" s="342"/>
      <c r="Q1380" s="342"/>
      <c r="R1380" s="342"/>
      <c r="S1380" s="342"/>
      <c r="T1380" s="343"/>
      <c r="AT1380" s="337" t="s">
        <v>155</v>
      </c>
      <c r="AU1380" s="337" t="s">
        <v>83</v>
      </c>
      <c r="AV1380" s="335" t="s">
        <v>83</v>
      </c>
      <c r="AW1380" s="335" t="s">
        <v>34</v>
      </c>
      <c r="AX1380" s="335" t="s">
        <v>76</v>
      </c>
      <c r="AY1380" s="337" t="s">
        <v>146</v>
      </c>
    </row>
    <row r="1381" spans="2:51" s="326" customFormat="1" ht="12">
      <c r="B1381" s="327"/>
      <c r="D1381" s="328" t="s">
        <v>155</v>
      </c>
      <c r="E1381" s="329" t="s">
        <v>1</v>
      </c>
      <c r="F1381" s="345" t="s">
        <v>986</v>
      </c>
      <c r="H1381" s="329" t="s">
        <v>1</v>
      </c>
      <c r="I1381" s="497"/>
      <c r="L1381" s="331"/>
      <c r="M1381" s="332"/>
      <c r="N1381" s="333"/>
      <c r="O1381" s="333"/>
      <c r="P1381" s="333"/>
      <c r="Q1381" s="333"/>
      <c r="R1381" s="333"/>
      <c r="S1381" s="333"/>
      <c r="T1381" s="334"/>
      <c r="AT1381" s="329" t="s">
        <v>155</v>
      </c>
      <c r="AU1381" s="329" t="s">
        <v>83</v>
      </c>
      <c r="AV1381" s="326" t="s">
        <v>81</v>
      </c>
      <c r="AW1381" s="326" t="s">
        <v>34</v>
      </c>
      <c r="AX1381" s="326" t="s">
        <v>76</v>
      </c>
      <c r="AY1381" s="329" t="s">
        <v>146</v>
      </c>
    </row>
    <row r="1382" spans="2:51" s="335" customFormat="1" ht="12">
      <c r="B1382" s="336"/>
      <c r="D1382" s="328" t="s">
        <v>155</v>
      </c>
      <c r="E1382" s="337" t="s">
        <v>1</v>
      </c>
      <c r="F1382" s="346" t="s">
        <v>2873</v>
      </c>
      <c r="H1382" s="339">
        <f>2*5.6</f>
        <v>11.2</v>
      </c>
      <c r="I1382" s="498"/>
      <c r="L1382" s="340"/>
      <c r="M1382" s="341"/>
      <c r="N1382" s="342"/>
      <c r="O1382" s="342"/>
      <c r="P1382" s="342"/>
      <c r="Q1382" s="342"/>
      <c r="R1382" s="342"/>
      <c r="S1382" s="342"/>
      <c r="T1382" s="343"/>
      <c r="AT1382" s="337" t="s">
        <v>155</v>
      </c>
      <c r="AU1382" s="337" t="s">
        <v>83</v>
      </c>
      <c r="AV1382" s="335" t="s">
        <v>83</v>
      </c>
      <c r="AW1382" s="335" t="s">
        <v>34</v>
      </c>
      <c r="AX1382" s="335" t="s">
        <v>76</v>
      </c>
      <c r="AY1382" s="337" t="s">
        <v>146</v>
      </c>
    </row>
    <row r="1383" spans="2:51" s="326" customFormat="1" ht="12">
      <c r="B1383" s="327"/>
      <c r="D1383" s="328" t="s">
        <v>155</v>
      </c>
      <c r="E1383" s="329" t="s">
        <v>1</v>
      </c>
      <c r="F1383" s="345" t="s">
        <v>987</v>
      </c>
      <c r="H1383" s="329" t="s">
        <v>1</v>
      </c>
      <c r="I1383" s="497"/>
      <c r="L1383" s="331"/>
      <c r="M1383" s="332"/>
      <c r="N1383" s="333"/>
      <c r="O1383" s="333"/>
      <c r="P1383" s="333"/>
      <c r="Q1383" s="333"/>
      <c r="R1383" s="333"/>
      <c r="S1383" s="333"/>
      <c r="T1383" s="334"/>
      <c r="AT1383" s="329" t="s">
        <v>155</v>
      </c>
      <c r="AU1383" s="329" t="s">
        <v>83</v>
      </c>
      <c r="AV1383" s="326" t="s">
        <v>81</v>
      </c>
      <c r="AW1383" s="326" t="s">
        <v>34</v>
      </c>
      <c r="AX1383" s="326" t="s">
        <v>76</v>
      </c>
      <c r="AY1383" s="329" t="s">
        <v>146</v>
      </c>
    </row>
    <row r="1384" spans="2:51" s="335" customFormat="1" ht="12">
      <c r="B1384" s="336"/>
      <c r="D1384" s="328" t="s">
        <v>155</v>
      </c>
      <c r="E1384" s="337" t="s">
        <v>1</v>
      </c>
      <c r="F1384" s="346" t="s">
        <v>988</v>
      </c>
      <c r="H1384" s="339">
        <v>3.28</v>
      </c>
      <c r="I1384" s="498"/>
      <c r="L1384" s="340"/>
      <c r="M1384" s="341"/>
      <c r="N1384" s="342"/>
      <c r="O1384" s="342"/>
      <c r="P1384" s="342"/>
      <c r="Q1384" s="342"/>
      <c r="R1384" s="342"/>
      <c r="S1384" s="342"/>
      <c r="T1384" s="343"/>
      <c r="AT1384" s="337" t="s">
        <v>155</v>
      </c>
      <c r="AU1384" s="337" t="s">
        <v>83</v>
      </c>
      <c r="AV1384" s="335" t="s">
        <v>83</v>
      </c>
      <c r="AW1384" s="335" t="s">
        <v>34</v>
      </c>
      <c r="AX1384" s="335" t="s">
        <v>76</v>
      </c>
      <c r="AY1384" s="337" t="s">
        <v>146</v>
      </c>
    </row>
    <row r="1385" spans="2:51" s="347" customFormat="1" ht="12">
      <c r="B1385" s="348"/>
      <c r="D1385" s="328" t="s">
        <v>155</v>
      </c>
      <c r="E1385" s="349" t="s">
        <v>1</v>
      </c>
      <c r="F1385" s="350" t="s">
        <v>157</v>
      </c>
      <c r="H1385" s="351">
        <f>SUM(H1378:H1384)</f>
        <v>74.58</v>
      </c>
      <c r="I1385" s="499"/>
      <c r="L1385" s="352"/>
      <c r="M1385" s="353"/>
      <c r="N1385" s="354"/>
      <c r="O1385" s="354"/>
      <c r="P1385" s="354"/>
      <c r="Q1385" s="354"/>
      <c r="R1385" s="354"/>
      <c r="S1385" s="354"/>
      <c r="T1385" s="355"/>
      <c r="AT1385" s="349" t="s">
        <v>155</v>
      </c>
      <c r="AU1385" s="349" t="s">
        <v>83</v>
      </c>
      <c r="AV1385" s="347" t="s">
        <v>153</v>
      </c>
      <c r="AW1385" s="347" t="s">
        <v>34</v>
      </c>
      <c r="AX1385" s="347" t="s">
        <v>81</v>
      </c>
      <c r="AY1385" s="349" t="s">
        <v>146</v>
      </c>
    </row>
    <row r="1386" spans="1:65" s="225" customFormat="1" ht="21.75" customHeight="1">
      <c r="A1386" s="222"/>
      <c r="B1386" s="223"/>
      <c r="C1386" s="358">
        <v>245</v>
      </c>
      <c r="D1386" s="358" t="s">
        <v>208</v>
      </c>
      <c r="E1386" s="359" t="s">
        <v>989</v>
      </c>
      <c r="F1386" s="360" t="s">
        <v>990</v>
      </c>
      <c r="G1386" s="361" t="s">
        <v>162</v>
      </c>
      <c r="H1386" s="362">
        <f>H1396</f>
        <v>1.1353600000000001</v>
      </c>
      <c r="I1386" s="80"/>
      <c r="J1386" s="363">
        <f>ROUND(I1386*H1386,2)</f>
        <v>0</v>
      </c>
      <c r="K1386" s="364"/>
      <c r="L1386" s="365"/>
      <c r="M1386" s="366" t="s">
        <v>1</v>
      </c>
      <c r="N1386" s="367" t="s">
        <v>42</v>
      </c>
      <c r="O1386" s="322">
        <v>0</v>
      </c>
      <c r="P1386" s="322">
        <f>O1386*H1386</f>
        <v>0</v>
      </c>
      <c r="Q1386" s="322">
        <v>0.55</v>
      </c>
      <c r="R1386" s="322">
        <f>Q1386*H1386</f>
        <v>0.6244480000000001</v>
      </c>
      <c r="S1386" s="322">
        <v>0</v>
      </c>
      <c r="T1386" s="323">
        <f>S1386*H1386</f>
        <v>0</v>
      </c>
      <c r="U1386" s="222"/>
      <c r="V1386" s="222"/>
      <c r="W1386" s="222"/>
      <c r="X1386" s="222"/>
      <c r="Y1386" s="222"/>
      <c r="Z1386" s="222"/>
      <c r="AA1386" s="222"/>
      <c r="AB1386" s="222"/>
      <c r="AC1386" s="222"/>
      <c r="AD1386" s="222"/>
      <c r="AE1386" s="222"/>
      <c r="AR1386" s="324" t="s">
        <v>298</v>
      </c>
      <c r="AT1386" s="324" t="s">
        <v>208</v>
      </c>
      <c r="AU1386" s="324" t="s">
        <v>83</v>
      </c>
      <c r="AY1386" s="214" t="s">
        <v>146</v>
      </c>
      <c r="BE1386" s="325">
        <f>IF(N1386="základní",J1386,0)</f>
        <v>0</v>
      </c>
      <c r="BF1386" s="325">
        <f>IF(N1386="snížená",J1386,0)</f>
        <v>0</v>
      </c>
      <c r="BG1386" s="325">
        <f>IF(N1386="zákl. přenesená",J1386,0)</f>
        <v>0</v>
      </c>
      <c r="BH1386" s="325">
        <f>IF(N1386="sníž. přenesená",J1386,0)</f>
        <v>0</v>
      </c>
      <c r="BI1386" s="325">
        <f>IF(N1386="nulová",J1386,0)</f>
        <v>0</v>
      </c>
      <c r="BJ1386" s="214" t="s">
        <v>81</v>
      </c>
      <c r="BK1386" s="325">
        <f>ROUND(I1386*H1386,2)</f>
        <v>0</v>
      </c>
      <c r="BL1386" s="214" t="s">
        <v>212</v>
      </c>
      <c r="BM1386" s="324" t="s">
        <v>991</v>
      </c>
    </row>
    <row r="1387" spans="2:51" s="326" customFormat="1" ht="12">
      <c r="B1387" s="327"/>
      <c r="D1387" s="328" t="s">
        <v>155</v>
      </c>
      <c r="E1387" s="329" t="s">
        <v>1</v>
      </c>
      <c r="F1387" s="345" t="s">
        <v>975</v>
      </c>
      <c r="H1387" s="329" t="s">
        <v>1</v>
      </c>
      <c r="I1387" s="497"/>
      <c r="L1387" s="331"/>
      <c r="M1387" s="332"/>
      <c r="N1387" s="333"/>
      <c r="O1387" s="333"/>
      <c r="P1387" s="333"/>
      <c r="Q1387" s="333"/>
      <c r="R1387" s="333"/>
      <c r="S1387" s="333"/>
      <c r="T1387" s="334"/>
      <c r="AT1387" s="329" t="s">
        <v>155</v>
      </c>
      <c r="AU1387" s="329" t="s">
        <v>83</v>
      </c>
      <c r="AV1387" s="326" t="s">
        <v>81</v>
      </c>
      <c r="AW1387" s="326" t="s">
        <v>34</v>
      </c>
      <c r="AX1387" s="326" t="s">
        <v>76</v>
      </c>
      <c r="AY1387" s="329" t="s">
        <v>146</v>
      </c>
    </row>
    <row r="1388" spans="2:51" s="326" customFormat="1" ht="12">
      <c r="B1388" s="327"/>
      <c r="D1388" s="328" t="s">
        <v>155</v>
      </c>
      <c r="E1388" s="329" t="s">
        <v>1</v>
      </c>
      <c r="F1388" s="345" t="s">
        <v>983</v>
      </c>
      <c r="H1388" s="329" t="s">
        <v>1</v>
      </c>
      <c r="I1388" s="497"/>
      <c r="L1388" s="331"/>
      <c r="M1388" s="332"/>
      <c r="N1388" s="333"/>
      <c r="O1388" s="333"/>
      <c r="P1388" s="333"/>
      <c r="Q1388" s="333"/>
      <c r="R1388" s="333"/>
      <c r="S1388" s="333"/>
      <c r="T1388" s="334"/>
      <c r="AT1388" s="329" t="s">
        <v>155</v>
      </c>
      <c r="AU1388" s="329" t="s">
        <v>83</v>
      </c>
      <c r="AV1388" s="326" t="s">
        <v>81</v>
      </c>
      <c r="AW1388" s="326" t="s">
        <v>34</v>
      </c>
      <c r="AX1388" s="326" t="s">
        <v>76</v>
      </c>
      <c r="AY1388" s="329" t="s">
        <v>146</v>
      </c>
    </row>
    <row r="1389" spans="2:51" s="335" customFormat="1" ht="12">
      <c r="B1389" s="336"/>
      <c r="D1389" s="328" t="s">
        <v>155</v>
      </c>
      <c r="E1389" s="337" t="s">
        <v>1</v>
      </c>
      <c r="F1389" s="346" t="s">
        <v>2874</v>
      </c>
      <c r="H1389" s="339">
        <f>11*4.35*0.08*0.2</f>
        <v>0.7656</v>
      </c>
      <c r="I1389" s="498"/>
      <c r="L1389" s="340"/>
      <c r="M1389" s="341"/>
      <c r="N1389" s="342"/>
      <c r="O1389" s="342"/>
      <c r="P1389" s="342"/>
      <c r="Q1389" s="342"/>
      <c r="R1389" s="342"/>
      <c r="S1389" s="342"/>
      <c r="T1389" s="343"/>
      <c r="AT1389" s="337" t="s">
        <v>155</v>
      </c>
      <c r="AU1389" s="337" t="s">
        <v>83</v>
      </c>
      <c r="AV1389" s="335" t="s">
        <v>83</v>
      </c>
      <c r="AW1389" s="335" t="s">
        <v>34</v>
      </c>
      <c r="AX1389" s="335" t="s">
        <v>76</v>
      </c>
      <c r="AY1389" s="337" t="s">
        <v>146</v>
      </c>
    </row>
    <row r="1390" spans="2:51" s="326" customFormat="1" ht="12">
      <c r="B1390" s="327"/>
      <c r="D1390" s="328" t="s">
        <v>155</v>
      </c>
      <c r="E1390" s="329" t="s">
        <v>1</v>
      </c>
      <c r="F1390" s="345" t="s">
        <v>984</v>
      </c>
      <c r="H1390" s="329" t="s">
        <v>1</v>
      </c>
      <c r="I1390" s="497"/>
      <c r="L1390" s="331"/>
      <c r="M1390" s="332"/>
      <c r="N1390" s="333"/>
      <c r="O1390" s="333"/>
      <c r="P1390" s="333"/>
      <c r="Q1390" s="333"/>
      <c r="R1390" s="333"/>
      <c r="S1390" s="333"/>
      <c r="T1390" s="334"/>
      <c r="AT1390" s="329" t="s">
        <v>155</v>
      </c>
      <c r="AU1390" s="329" t="s">
        <v>83</v>
      </c>
      <c r="AV1390" s="326" t="s">
        <v>81</v>
      </c>
      <c r="AW1390" s="326" t="s">
        <v>34</v>
      </c>
      <c r="AX1390" s="326" t="s">
        <v>76</v>
      </c>
      <c r="AY1390" s="329" t="s">
        <v>146</v>
      </c>
    </row>
    <row r="1391" spans="2:51" s="335" customFormat="1" ht="12">
      <c r="B1391" s="336"/>
      <c r="D1391" s="328" t="s">
        <v>155</v>
      </c>
      <c r="E1391" s="337" t="s">
        <v>1</v>
      </c>
      <c r="F1391" s="346" t="s">
        <v>992</v>
      </c>
      <c r="H1391" s="339">
        <f>7*1.75*0.08*0.2</f>
        <v>0.196</v>
      </c>
      <c r="I1391" s="498"/>
      <c r="L1391" s="340"/>
      <c r="M1391" s="341"/>
      <c r="N1391" s="342"/>
      <c r="O1391" s="342"/>
      <c r="P1391" s="342"/>
      <c r="Q1391" s="342"/>
      <c r="R1391" s="342"/>
      <c r="S1391" s="342"/>
      <c r="T1391" s="343"/>
      <c r="AT1391" s="337" t="s">
        <v>155</v>
      </c>
      <c r="AU1391" s="337" t="s">
        <v>83</v>
      </c>
      <c r="AV1391" s="335" t="s">
        <v>83</v>
      </c>
      <c r="AW1391" s="335" t="s">
        <v>34</v>
      </c>
      <c r="AX1391" s="335" t="s">
        <v>76</v>
      </c>
      <c r="AY1391" s="337" t="s">
        <v>146</v>
      </c>
    </row>
    <row r="1392" spans="2:51" s="326" customFormat="1" ht="12">
      <c r="B1392" s="327"/>
      <c r="D1392" s="328" t="s">
        <v>155</v>
      </c>
      <c r="E1392" s="329" t="s">
        <v>1</v>
      </c>
      <c r="F1392" s="345" t="s">
        <v>986</v>
      </c>
      <c r="H1392" s="329"/>
      <c r="I1392" s="497"/>
      <c r="L1392" s="331"/>
      <c r="M1392" s="332"/>
      <c r="N1392" s="333"/>
      <c r="O1392" s="333"/>
      <c r="P1392" s="333"/>
      <c r="Q1392" s="333"/>
      <c r="R1392" s="333"/>
      <c r="S1392" s="333"/>
      <c r="T1392" s="334"/>
      <c r="AT1392" s="329" t="s">
        <v>155</v>
      </c>
      <c r="AU1392" s="329" t="s">
        <v>83</v>
      </c>
      <c r="AV1392" s="326" t="s">
        <v>81</v>
      </c>
      <c r="AW1392" s="326" t="s">
        <v>34</v>
      </c>
      <c r="AX1392" s="326" t="s">
        <v>76</v>
      </c>
      <c r="AY1392" s="329" t="s">
        <v>146</v>
      </c>
    </row>
    <row r="1393" spans="2:51" s="335" customFormat="1" ht="12">
      <c r="B1393" s="336"/>
      <c r="D1393" s="328" t="s">
        <v>155</v>
      </c>
      <c r="E1393" s="337" t="s">
        <v>1</v>
      </c>
      <c r="F1393" s="346" t="s">
        <v>2875</v>
      </c>
      <c r="H1393" s="339">
        <f>2*5.6*0.1*0.12</f>
        <v>0.1344</v>
      </c>
      <c r="I1393" s="498"/>
      <c r="L1393" s="340"/>
      <c r="M1393" s="341"/>
      <c r="N1393" s="342"/>
      <c r="O1393" s="342"/>
      <c r="P1393" s="342"/>
      <c r="Q1393" s="342"/>
      <c r="R1393" s="342"/>
      <c r="S1393" s="342"/>
      <c r="T1393" s="343"/>
      <c r="AT1393" s="337" t="s">
        <v>155</v>
      </c>
      <c r="AU1393" s="337" t="s">
        <v>83</v>
      </c>
      <c r="AV1393" s="335" t="s">
        <v>83</v>
      </c>
      <c r="AW1393" s="335" t="s">
        <v>34</v>
      </c>
      <c r="AX1393" s="335" t="s">
        <v>76</v>
      </c>
      <c r="AY1393" s="337" t="s">
        <v>146</v>
      </c>
    </row>
    <row r="1394" spans="2:51" s="326" customFormat="1" ht="12">
      <c r="B1394" s="327"/>
      <c r="D1394" s="328" t="s">
        <v>155</v>
      </c>
      <c r="E1394" s="329" t="s">
        <v>1</v>
      </c>
      <c r="F1394" s="345" t="s">
        <v>987</v>
      </c>
      <c r="H1394" s="329" t="s">
        <v>1</v>
      </c>
      <c r="I1394" s="497"/>
      <c r="L1394" s="331"/>
      <c r="M1394" s="332"/>
      <c r="N1394" s="333"/>
      <c r="O1394" s="333"/>
      <c r="P1394" s="333"/>
      <c r="Q1394" s="333"/>
      <c r="R1394" s="333"/>
      <c r="S1394" s="333"/>
      <c r="T1394" s="334"/>
      <c r="AT1394" s="329" t="s">
        <v>155</v>
      </c>
      <c r="AU1394" s="329" t="s">
        <v>83</v>
      </c>
      <c r="AV1394" s="326" t="s">
        <v>81</v>
      </c>
      <c r="AW1394" s="326" t="s">
        <v>34</v>
      </c>
      <c r="AX1394" s="326" t="s">
        <v>76</v>
      </c>
      <c r="AY1394" s="329" t="s">
        <v>146</v>
      </c>
    </row>
    <row r="1395" spans="2:51" s="335" customFormat="1" ht="12">
      <c r="B1395" s="336"/>
      <c r="D1395" s="328" t="s">
        <v>155</v>
      </c>
      <c r="E1395" s="337" t="s">
        <v>1</v>
      </c>
      <c r="F1395" s="346" t="s">
        <v>993</v>
      </c>
      <c r="H1395" s="339">
        <f>3.28*0.1*0.12</f>
        <v>0.03936</v>
      </c>
      <c r="I1395" s="498"/>
      <c r="L1395" s="340"/>
      <c r="M1395" s="341"/>
      <c r="N1395" s="342"/>
      <c r="O1395" s="342"/>
      <c r="P1395" s="342"/>
      <c r="Q1395" s="342"/>
      <c r="R1395" s="342"/>
      <c r="S1395" s="342"/>
      <c r="T1395" s="343"/>
      <c r="AT1395" s="337" t="s">
        <v>155</v>
      </c>
      <c r="AU1395" s="337" t="s">
        <v>83</v>
      </c>
      <c r="AV1395" s="335" t="s">
        <v>83</v>
      </c>
      <c r="AW1395" s="335" t="s">
        <v>34</v>
      </c>
      <c r="AX1395" s="335" t="s">
        <v>76</v>
      </c>
      <c r="AY1395" s="337" t="s">
        <v>146</v>
      </c>
    </row>
    <row r="1396" spans="2:51" s="347" customFormat="1" ht="12">
      <c r="B1396" s="348"/>
      <c r="D1396" s="328" t="s">
        <v>155</v>
      </c>
      <c r="E1396" s="349" t="s">
        <v>1</v>
      </c>
      <c r="F1396" s="350" t="s">
        <v>157</v>
      </c>
      <c r="H1396" s="351">
        <f>SUM(H1389:H1395)</f>
        <v>1.1353600000000001</v>
      </c>
      <c r="I1396" s="499"/>
      <c r="L1396" s="352"/>
      <c r="M1396" s="353"/>
      <c r="N1396" s="354"/>
      <c r="O1396" s="354"/>
      <c r="P1396" s="354"/>
      <c r="Q1396" s="354"/>
      <c r="R1396" s="354"/>
      <c r="S1396" s="354"/>
      <c r="T1396" s="355"/>
      <c r="AT1396" s="349" t="s">
        <v>155</v>
      </c>
      <c r="AU1396" s="349" t="s">
        <v>83</v>
      </c>
      <c r="AV1396" s="347" t="s">
        <v>153</v>
      </c>
      <c r="AW1396" s="347" t="s">
        <v>34</v>
      </c>
      <c r="AX1396" s="347" t="s">
        <v>81</v>
      </c>
      <c r="AY1396" s="349" t="s">
        <v>146</v>
      </c>
    </row>
    <row r="1397" spans="1:65" s="225" customFormat="1" ht="24.2" customHeight="1">
      <c r="A1397" s="222"/>
      <c r="B1397" s="223"/>
      <c r="C1397" s="314">
        <v>246</v>
      </c>
      <c r="D1397" s="314" t="s">
        <v>148</v>
      </c>
      <c r="E1397" s="315" t="s">
        <v>969</v>
      </c>
      <c r="F1397" s="344" t="s">
        <v>970</v>
      </c>
      <c r="G1397" s="317" t="s">
        <v>162</v>
      </c>
      <c r="H1397" s="318">
        <f>H1398</f>
        <v>2.374</v>
      </c>
      <c r="I1397" s="79"/>
      <c r="J1397" s="319">
        <f>ROUND(I1397*H1397,2)</f>
        <v>0</v>
      </c>
      <c r="K1397" s="316"/>
      <c r="L1397" s="229"/>
      <c r="M1397" s="320" t="s">
        <v>1</v>
      </c>
      <c r="N1397" s="321" t="s">
        <v>42</v>
      </c>
      <c r="O1397" s="322">
        <v>0</v>
      </c>
      <c r="P1397" s="322">
        <f>O1397*H1397</f>
        <v>0</v>
      </c>
      <c r="Q1397" s="322">
        <v>0.002808</v>
      </c>
      <c r="R1397" s="322">
        <f>Q1397*H1397</f>
        <v>0.0066661920000000005</v>
      </c>
      <c r="S1397" s="322">
        <v>0</v>
      </c>
      <c r="T1397" s="323">
        <f>S1397*H1397</f>
        <v>0</v>
      </c>
      <c r="U1397" s="222"/>
      <c r="V1397" s="222"/>
      <c r="W1397" s="222"/>
      <c r="X1397" s="222"/>
      <c r="Y1397" s="222"/>
      <c r="Z1397" s="222"/>
      <c r="AA1397" s="222"/>
      <c r="AB1397" s="222"/>
      <c r="AC1397" s="222"/>
      <c r="AD1397" s="222"/>
      <c r="AE1397" s="222"/>
      <c r="AR1397" s="324" t="s">
        <v>212</v>
      </c>
      <c r="AT1397" s="324" t="s">
        <v>148</v>
      </c>
      <c r="AU1397" s="324" t="s">
        <v>83</v>
      </c>
      <c r="AY1397" s="214" t="s">
        <v>146</v>
      </c>
      <c r="BE1397" s="325">
        <f>IF(N1397="základní",J1397,0)</f>
        <v>0</v>
      </c>
      <c r="BF1397" s="325">
        <f>IF(N1397="snížená",J1397,0)</f>
        <v>0</v>
      </c>
      <c r="BG1397" s="325">
        <f>IF(N1397="zákl. přenesená",J1397,0)</f>
        <v>0</v>
      </c>
      <c r="BH1397" s="325">
        <f>IF(N1397="sníž. přenesená",J1397,0)</f>
        <v>0</v>
      </c>
      <c r="BI1397" s="325">
        <f>IF(N1397="nulová",J1397,0)</f>
        <v>0</v>
      </c>
      <c r="BJ1397" s="214" t="s">
        <v>81</v>
      </c>
      <c r="BK1397" s="325">
        <f>ROUND(I1397*H1397,2)</f>
        <v>0</v>
      </c>
      <c r="BL1397" s="214" t="s">
        <v>212</v>
      </c>
      <c r="BM1397" s="324" t="s">
        <v>971</v>
      </c>
    </row>
    <row r="1398" spans="2:51" s="335" customFormat="1" ht="12">
      <c r="B1398" s="336"/>
      <c r="D1398" s="328" t="s">
        <v>155</v>
      </c>
      <c r="E1398" s="337" t="s">
        <v>1</v>
      </c>
      <c r="F1398" s="346" t="s">
        <v>2876</v>
      </c>
      <c r="H1398" s="339">
        <f>1.239+1.135</f>
        <v>2.374</v>
      </c>
      <c r="I1398" s="498"/>
      <c r="L1398" s="340"/>
      <c r="M1398" s="341"/>
      <c r="N1398" s="342"/>
      <c r="O1398" s="342"/>
      <c r="P1398" s="342"/>
      <c r="Q1398" s="342"/>
      <c r="R1398" s="342"/>
      <c r="S1398" s="342"/>
      <c r="T1398" s="343"/>
      <c r="AT1398" s="337" t="s">
        <v>155</v>
      </c>
      <c r="AU1398" s="337" t="s">
        <v>83</v>
      </c>
      <c r="AV1398" s="335" t="s">
        <v>83</v>
      </c>
      <c r="AW1398" s="335" t="s">
        <v>34</v>
      </c>
      <c r="AX1398" s="335" t="s">
        <v>76</v>
      </c>
      <c r="AY1398" s="337" t="s">
        <v>146</v>
      </c>
    </row>
    <row r="1399" spans="1:65" s="263" customFormat="1" ht="24.2" customHeight="1">
      <c r="A1399" s="258"/>
      <c r="B1399" s="259"/>
      <c r="C1399" s="357">
        <v>247</v>
      </c>
      <c r="D1399" s="357" t="s">
        <v>148</v>
      </c>
      <c r="E1399" s="397" t="s">
        <v>994</v>
      </c>
      <c r="F1399" s="344" t="s">
        <v>2912</v>
      </c>
      <c r="G1399" s="399" t="s">
        <v>194</v>
      </c>
      <c r="H1399" s="400">
        <f>R1249</f>
        <v>61.75917803741999</v>
      </c>
      <c r="I1399" s="85"/>
      <c r="J1399" s="401">
        <f>ROUND(I1399*H1399,2)</f>
        <v>0</v>
      </c>
      <c r="K1399" s="344"/>
      <c r="L1399" s="373"/>
      <c r="M1399" s="402" t="s">
        <v>1</v>
      </c>
      <c r="N1399" s="403" t="s">
        <v>42</v>
      </c>
      <c r="O1399" s="404">
        <v>0</v>
      </c>
      <c r="P1399" s="404">
        <f>O1399*H1399</f>
        <v>0</v>
      </c>
      <c r="Q1399" s="404"/>
      <c r="R1399" s="404"/>
      <c r="S1399" s="404"/>
      <c r="T1399" s="405">
        <f>S1399*H1399</f>
        <v>0</v>
      </c>
      <c r="U1399" s="258"/>
      <c r="V1399" s="258"/>
      <c r="W1399" s="258"/>
      <c r="X1399" s="258"/>
      <c r="Y1399" s="258"/>
      <c r="Z1399" s="258"/>
      <c r="AA1399" s="258"/>
      <c r="AB1399" s="258"/>
      <c r="AC1399" s="258"/>
      <c r="AD1399" s="258"/>
      <c r="AE1399" s="258"/>
      <c r="AR1399" s="260" t="s">
        <v>212</v>
      </c>
      <c r="AT1399" s="260" t="s">
        <v>148</v>
      </c>
      <c r="AU1399" s="260" t="s">
        <v>83</v>
      </c>
      <c r="AY1399" s="406" t="s">
        <v>146</v>
      </c>
      <c r="BE1399" s="407">
        <f>IF(N1399="základní",J1399,0)</f>
        <v>0</v>
      </c>
      <c r="BF1399" s="407">
        <f>IF(N1399="snížená",J1399,0)</f>
        <v>0</v>
      </c>
      <c r="BG1399" s="407">
        <f>IF(N1399="zákl. přenesená",J1399,0)</f>
        <v>0</v>
      </c>
      <c r="BH1399" s="407">
        <f>IF(N1399="sníž. přenesená",J1399,0)</f>
        <v>0</v>
      </c>
      <c r="BI1399" s="407">
        <f>IF(N1399="nulová",J1399,0)</f>
        <v>0</v>
      </c>
      <c r="BJ1399" s="406" t="s">
        <v>81</v>
      </c>
      <c r="BK1399" s="407">
        <f>ROUND(I1399*H1399,2)</f>
        <v>0</v>
      </c>
      <c r="BL1399" s="406" t="s">
        <v>212</v>
      </c>
      <c r="BM1399" s="260" t="s">
        <v>995</v>
      </c>
    </row>
    <row r="1400" spans="2:63" s="297" customFormat="1" ht="22.9" customHeight="1">
      <c r="B1400" s="298"/>
      <c r="D1400" s="299" t="s">
        <v>75</v>
      </c>
      <c r="E1400" s="310" t="s">
        <v>996</v>
      </c>
      <c r="F1400" s="310" t="s">
        <v>997</v>
      </c>
      <c r="I1400" s="501"/>
      <c r="J1400" s="311">
        <f>SUM(J1401:J1438)</f>
        <v>0</v>
      </c>
      <c r="L1400" s="302"/>
      <c r="M1400" s="303"/>
      <c r="N1400" s="304"/>
      <c r="O1400" s="304"/>
      <c r="P1400" s="305">
        <f>SUM(P1401:P1438)</f>
        <v>152.78689250000002</v>
      </c>
      <c r="Q1400" s="304"/>
      <c r="R1400" s="305">
        <f>SUM(R1401:R1438)</f>
        <v>2.2512142791380003</v>
      </c>
      <c r="S1400" s="304"/>
      <c r="T1400" s="313">
        <f>SUM(T1401:T1438)</f>
        <v>0</v>
      </c>
      <c r="AR1400" s="299" t="s">
        <v>83</v>
      </c>
      <c r="AT1400" s="308" t="s">
        <v>75</v>
      </c>
      <c r="AU1400" s="308" t="s">
        <v>81</v>
      </c>
      <c r="AY1400" s="299" t="s">
        <v>146</v>
      </c>
      <c r="BK1400" s="309">
        <f>SUM(BK1401:BK1438)</f>
        <v>0</v>
      </c>
    </row>
    <row r="1401" spans="1:65" s="225" customFormat="1" ht="24.2" customHeight="1">
      <c r="A1401" s="222"/>
      <c r="B1401" s="223"/>
      <c r="C1401" s="314">
        <v>248</v>
      </c>
      <c r="D1401" s="314" t="s">
        <v>148</v>
      </c>
      <c r="E1401" s="315" t="s">
        <v>998</v>
      </c>
      <c r="F1401" s="316" t="s">
        <v>999</v>
      </c>
      <c r="G1401" s="317" t="s">
        <v>151</v>
      </c>
      <c r="H1401" s="318">
        <f>H1408</f>
        <v>8.32</v>
      </c>
      <c r="I1401" s="79"/>
      <c r="J1401" s="319">
        <f>ROUND(I1401*H1401,2)</f>
        <v>0</v>
      </c>
      <c r="K1401" s="316"/>
      <c r="L1401" s="229"/>
      <c r="M1401" s="320" t="s">
        <v>1</v>
      </c>
      <c r="N1401" s="321" t="s">
        <v>42</v>
      </c>
      <c r="O1401" s="322">
        <v>0.968</v>
      </c>
      <c r="P1401" s="322">
        <f>O1401*H1401</f>
        <v>8.05376</v>
      </c>
      <c r="Q1401" s="322">
        <v>0.0122014909</v>
      </c>
      <c r="R1401" s="322">
        <f>Q1401*H1401</f>
        <v>0.101516404288</v>
      </c>
      <c r="S1401" s="322">
        <v>0</v>
      </c>
      <c r="T1401" s="323">
        <f>S1401*H1401</f>
        <v>0</v>
      </c>
      <c r="U1401" s="222"/>
      <c r="V1401" s="222"/>
      <c r="W1401" s="222"/>
      <c r="X1401" s="222"/>
      <c r="Y1401" s="222"/>
      <c r="Z1401" s="222"/>
      <c r="AA1401" s="222"/>
      <c r="AB1401" s="222"/>
      <c r="AC1401" s="222"/>
      <c r="AD1401" s="222"/>
      <c r="AE1401" s="222"/>
      <c r="AR1401" s="324" t="s">
        <v>212</v>
      </c>
      <c r="AT1401" s="324" t="s">
        <v>148</v>
      </c>
      <c r="AU1401" s="324" t="s">
        <v>83</v>
      </c>
      <c r="AY1401" s="214" t="s">
        <v>146</v>
      </c>
      <c r="BE1401" s="325">
        <f>IF(N1401="základní",J1401,0)</f>
        <v>0</v>
      </c>
      <c r="BF1401" s="325">
        <f>IF(N1401="snížená",J1401,0)</f>
        <v>0</v>
      </c>
      <c r="BG1401" s="325">
        <f>IF(N1401="zákl. přenesená",J1401,0)</f>
        <v>0</v>
      </c>
      <c r="BH1401" s="325">
        <f>IF(N1401="sníž. přenesená",J1401,0)</f>
        <v>0</v>
      </c>
      <c r="BI1401" s="325">
        <f>IF(N1401="nulová",J1401,0)</f>
        <v>0</v>
      </c>
      <c r="BJ1401" s="214" t="s">
        <v>81</v>
      </c>
      <c r="BK1401" s="325">
        <f>ROUND(I1401*H1401,2)</f>
        <v>0</v>
      </c>
      <c r="BL1401" s="214" t="s">
        <v>212</v>
      </c>
      <c r="BM1401" s="324" t="s">
        <v>1000</v>
      </c>
    </row>
    <row r="1402" spans="2:51" s="326" customFormat="1" ht="12">
      <c r="B1402" s="327"/>
      <c r="D1402" s="328" t="s">
        <v>155</v>
      </c>
      <c r="E1402" s="329" t="s">
        <v>1</v>
      </c>
      <c r="F1402" s="330" t="s">
        <v>874</v>
      </c>
      <c r="H1402" s="329" t="s">
        <v>1</v>
      </c>
      <c r="I1402" s="497"/>
      <c r="L1402" s="331"/>
      <c r="M1402" s="332"/>
      <c r="N1402" s="333"/>
      <c r="O1402" s="333"/>
      <c r="P1402" s="333"/>
      <c r="Q1402" s="333"/>
      <c r="R1402" s="333"/>
      <c r="S1402" s="333"/>
      <c r="T1402" s="334"/>
      <c r="AT1402" s="329" t="s">
        <v>155</v>
      </c>
      <c r="AU1402" s="329" t="s">
        <v>83</v>
      </c>
      <c r="AV1402" s="326" t="s">
        <v>81</v>
      </c>
      <c r="AW1402" s="326" t="s">
        <v>34</v>
      </c>
      <c r="AX1402" s="326" t="s">
        <v>76</v>
      </c>
      <c r="AY1402" s="329" t="s">
        <v>146</v>
      </c>
    </row>
    <row r="1403" spans="2:51" s="335" customFormat="1" ht="12">
      <c r="B1403" s="336"/>
      <c r="D1403" s="328" t="s">
        <v>155</v>
      </c>
      <c r="E1403" s="337" t="s">
        <v>1</v>
      </c>
      <c r="F1403" s="338" t="s">
        <v>1001</v>
      </c>
      <c r="H1403" s="339">
        <v>2.59</v>
      </c>
      <c r="I1403" s="498"/>
      <c r="L1403" s="340"/>
      <c r="M1403" s="341"/>
      <c r="N1403" s="342"/>
      <c r="O1403" s="342"/>
      <c r="P1403" s="342"/>
      <c r="Q1403" s="342"/>
      <c r="R1403" s="342"/>
      <c r="S1403" s="342"/>
      <c r="T1403" s="343"/>
      <c r="AT1403" s="337" t="s">
        <v>155</v>
      </c>
      <c r="AU1403" s="337" t="s">
        <v>83</v>
      </c>
      <c r="AV1403" s="335" t="s">
        <v>83</v>
      </c>
      <c r="AW1403" s="335" t="s">
        <v>34</v>
      </c>
      <c r="AX1403" s="335" t="s">
        <v>76</v>
      </c>
      <c r="AY1403" s="337" t="s">
        <v>146</v>
      </c>
    </row>
    <row r="1404" spans="2:51" s="326" customFormat="1" ht="12">
      <c r="B1404" s="327"/>
      <c r="D1404" s="328" t="s">
        <v>155</v>
      </c>
      <c r="E1404" s="329" t="s">
        <v>1</v>
      </c>
      <c r="F1404" s="330" t="s">
        <v>870</v>
      </c>
      <c r="H1404" s="329" t="s">
        <v>1</v>
      </c>
      <c r="I1404" s="497"/>
      <c r="L1404" s="331"/>
      <c r="M1404" s="332"/>
      <c r="N1404" s="333"/>
      <c r="O1404" s="333"/>
      <c r="P1404" s="333"/>
      <c r="Q1404" s="333"/>
      <c r="R1404" s="333"/>
      <c r="S1404" s="333"/>
      <c r="T1404" s="334"/>
      <c r="AT1404" s="329" t="s">
        <v>155</v>
      </c>
      <c r="AU1404" s="329" t="s">
        <v>83</v>
      </c>
      <c r="AV1404" s="326" t="s">
        <v>81</v>
      </c>
      <c r="AW1404" s="326" t="s">
        <v>34</v>
      </c>
      <c r="AX1404" s="326" t="s">
        <v>76</v>
      </c>
      <c r="AY1404" s="329" t="s">
        <v>146</v>
      </c>
    </row>
    <row r="1405" spans="2:51" s="335" customFormat="1" ht="12">
      <c r="B1405" s="336"/>
      <c r="D1405" s="328" t="s">
        <v>155</v>
      </c>
      <c r="E1405" s="337" t="s">
        <v>1</v>
      </c>
      <c r="F1405" s="338" t="s">
        <v>1002</v>
      </c>
      <c r="H1405" s="339">
        <v>2.77</v>
      </c>
      <c r="I1405" s="498"/>
      <c r="L1405" s="340"/>
      <c r="M1405" s="341"/>
      <c r="N1405" s="342"/>
      <c r="O1405" s="342"/>
      <c r="P1405" s="342"/>
      <c r="Q1405" s="342"/>
      <c r="R1405" s="342"/>
      <c r="S1405" s="342"/>
      <c r="T1405" s="343"/>
      <c r="AT1405" s="337" t="s">
        <v>155</v>
      </c>
      <c r="AU1405" s="337" t="s">
        <v>83</v>
      </c>
      <c r="AV1405" s="335" t="s">
        <v>83</v>
      </c>
      <c r="AW1405" s="335" t="s">
        <v>34</v>
      </c>
      <c r="AX1405" s="335" t="s">
        <v>76</v>
      </c>
      <c r="AY1405" s="337" t="s">
        <v>146</v>
      </c>
    </row>
    <row r="1406" spans="2:51" s="326" customFormat="1" ht="12">
      <c r="B1406" s="327"/>
      <c r="D1406" s="328" t="s">
        <v>155</v>
      </c>
      <c r="E1406" s="329" t="s">
        <v>1</v>
      </c>
      <c r="F1406" s="330" t="s">
        <v>338</v>
      </c>
      <c r="H1406" s="329" t="s">
        <v>1</v>
      </c>
      <c r="I1406" s="497"/>
      <c r="L1406" s="331"/>
      <c r="M1406" s="332"/>
      <c r="N1406" s="333"/>
      <c r="O1406" s="333"/>
      <c r="P1406" s="333"/>
      <c r="Q1406" s="333"/>
      <c r="R1406" s="333"/>
      <c r="S1406" s="333"/>
      <c r="T1406" s="334"/>
      <c r="AT1406" s="329" t="s">
        <v>155</v>
      </c>
      <c r="AU1406" s="329" t="s">
        <v>83</v>
      </c>
      <c r="AV1406" s="326" t="s">
        <v>81</v>
      </c>
      <c r="AW1406" s="326" t="s">
        <v>34</v>
      </c>
      <c r="AX1406" s="326" t="s">
        <v>76</v>
      </c>
      <c r="AY1406" s="329" t="s">
        <v>146</v>
      </c>
    </row>
    <row r="1407" spans="2:51" s="335" customFormat="1" ht="12">
      <c r="B1407" s="336"/>
      <c r="D1407" s="328" t="s">
        <v>155</v>
      </c>
      <c r="E1407" s="337" t="s">
        <v>1</v>
      </c>
      <c r="F1407" s="338" t="s">
        <v>1003</v>
      </c>
      <c r="H1407" s="339">
        <v>2.96</v>
      </c>
      <c r="I1407" s="498"/>
      <c r="L1407" s="340"/>
      <c r="M1407" s="341"/>
      <c r="N1407" s="342"/>
      <c r="O1407" s="342"/>
      <c r="P1407" s="342"/>
      <c r="Q1407" s="342"/>
      <c r="R1407" s="342"/>
      <c r="S1407" s="342"/>
      <c r="T1407" s="343"/>
      <c r="AT1407" s="337" t="s">
        <v>155</v>
      </c>
      <c r="AU1407" s="337" t="s">
        <v>83</v>
      </c>
      <c r="AV1407" s="335" t="s">
        <v>83</v>
      </c>
      <c r="AW1407" s="335" t="s">
        <v>34</v>
      </c>
      <c r="AX1407" s="335" t="s">
        <v>76</v>
      </c>
      <c r="AY1407" s="337" t="s">
        <v>146</v>
      </c>
    </row>
    <row r="1408" spans="2:51" s="347" customFormat="1" ht="12">
      <c r="B1408" s="348"/>
      <c r="D1408" s="328" t="s">
        <v>155</v>
      </c>
      <c r="E1408" s="349" t="s">
        <v>1</v>
      </c>
      <c r="F1408" s="356" t="s">
        <v>157</v>
      </c>
      <c r="H1408" s="351">
        <f>SUM(H1403:H1407)</f>
        <v>8.32</v>
      </c>
      <c r="I1408" s="499"/>
      <c r="L1408" s="352"/>
      <c r="M1408" s="353"/>
      <c r="N1408" s="354"/>
      <c r="O1408" s="354"/>
      <c r="P1408" s="354"/>
      <c r="Q1408" s="354"/>
      <c r="R1408" s="354"/>
      <c r="S1408" s="354"/>
      <c r="T1408" s="355"/>
      <c r="AT1408" s="349" t="s">
        <v>155</v>
      </c>
      <c r="AU1408" s="349" t="s">
        <v>83</v>
      </c>
      <c r="AV1408" s="347" t="s">
        <v>153</v>
      </c>
      <c r="AW1408" s="347" t="s">
        <v>34</v>
      </c>
      <c r="AX1408" s="347" t="s">
        <v>81</v>
      </c>
      <c r="AY1408" s="349" t="s">
        <v>146</v>
      </c>
    </row>
    <row r="1409" spans="1:65" s="225" customFormat="1" ht="24.2" customHeight="1">
      <c r="A1409" s="222"/>
      <c r="B1409" s="223"/>
      <c r="C1409" s="314">
        <v>249</v>
      </c>
      <c r="D1409" s="314" t="s">
        <v>148</v>
      </c>
      <c r="E1409" s="315" t="s">
        <v>1004</v>
      </c>
      <c r="F1409" s="316" t="s">
        <v>1005</v>
      </c>
      <c r="G1409" s="317" t="s">
        <v>151</v>
      </c>
      <c r="H1409" s="318">
        <f>H1414</f>
        <v>55.85</v>
      </c>
      <c r="I1409" s="79"/>
      <c r="J1409" s="319">
        <f>ROUND(I1409*H1409,2)</f>
        <v>0</v>
      </c>
      <c r="K1409" s="316"/>
      <c r="L1409" s="229"/>
      <c r="M1409" s="320" t="s">
        <v>1</v>
      </c>
      <c r="N1409" s="321" t="s">
        <v>42</v>
      </c>
      <c r="O1409" s="322">
        <v>0.968</v>
      </c>
      <c r="P1409" s="322">
        <f>O1409*H1409</f>
        <v>54.0628</v>
      </c>
      <c r="Q1409" s="322">
        <v>0.01258872</v>
      </c>
      <c r="R1409" s="322">
        <f>Q1409*H1409</f>
        <v>0.703080012</v>
      </c>
      <c r="S1409" s="322">
        <v>0</v>
      </c>
      <c r="T1409" s="323">
        <f>S1409*H1409</f>
        <v>0</v>
      </c>
      <c r="U1409" s="222"/>
      <c r="V1409" s="222"/>
      <c r="W1409" s="222"/>
      <c r="X1409" s="222"/>
      <c r="Y1409" s="222"/>
      <c r="Z1409" s="222"/>
      <c r="AA1409" s="222"/>
      <c r="AB1409" s="222"/>
      <c r="AC1409" s="222"/>
      <c r="AD1409" s="222"/>
      <c r="AE1409" s="222"/>
      <c r="AR1409" s="324" t="s">
        <v>212</v>
      </c>
      <c r="AT1409" s="324" t="s">
        <v>148</v>
      </c>
      <c r="AU1409" s="324" t="s">
        <v>83</v>
      </c>
      <c r="AY1409" s="214" t="s">
        <v>146</v>
      </c>
      <c r="BE1409" s="325">
        <f>IF(N1409="základní",J1409,0)</f>
        <v>0</v>
      </c>
      <c r="BF1409" s="325">
        <f>IF(N1409="snížená",J1409,0)</f>
        <v>0</v>
      </c>
      <c r="BG1409" s="325">
        <f>IF(N1409="zákl. přenesená",J1409,0)</f>
        <v>0</v>
      </c>
      <c r="BH1409" s="325">
        <f>IF(N1409="sníž. přenesená",J1409,0)</f>
        <v>0</v>
      </c>
      <c r="BI1409" s="325">
        <f>IF(N1409="nulová",J1409,0)</f>
        <v>0</v>
      </c>
      <c r="BJ1409" s="214" t="s">
        <v>81</v>
      </c>
      <c r="BK1409" s="325">
        <f>ROUND(I1409*H1409,2)</f>
        <v>0</v>
      </c>
      <c r="BL1409" s="214" t="s">
        <v>212</v>
      </c>
      <c r="BM1409" s="324" t="s">
        <v>1006</v>
      </c>
    </row>
    <row r="1410" spans="2:51" s="326" customFormat="1" ht="12">
      <c r="B1410" s="327"/>
      <c r="D1410" s="328" t="s">
        <v>155</v>
      </c>
      <c r="E1410" s="329" t="s">
        <v>1</v>
      </c>
      <c r="F1410" s="330" t="s">
        <v>1007</v>
      </c>
      <c r="H1410" s="329" t="s">
        <v>1</v>
      </c>
      <c r="I1410" s="497"/>
      <c r="L1410" s="331"/>
      <c r="M1410" s="332"/>
      <c r="N1410" s="333"/>
      <c r="O1410" s="333"/>
      <c r="P1410" s="333"/>
      <c r="Q1410" s="333"/>
      <c r="R1410" s="333"/>
      <c r="S1410" s="333"/>
      <c r="T1410" s="334"/>
      <c r="AT1410" s="329" t="s">
        <v>155</v>
      </c>
      <c r="AU1410" s="329" t="s">
        <v>83</v>
      </c>
      <c r="AV1410" s="326" t="s">
        <v>81</v>
      </c>
      <c r="AW1410" s="326" t="s">
        <v>34</v>
      </c>
      <c r="AX1410" s="326" t="s">
        <v>76</v>
      </c>
      <c r="AY1410" s="329" t="s">
        <v>146</v>
      </c>
    </row>
    <row r="1411" spans="2:51" s="335" customFormat="1" ht="12">
      <c r="B1411" s="336"/>
      <c r="D1411" s="328" t="s">
        <v>155</v>
      </c>
      <c r="E1411" s="337" t="s">
        <v>1</v>
      </c>
      <c r="F1411" s="338" t="s">
        <v>2885</v>
      </c>
      <c r="H1411" s="339">
        <f>3.06+1.48+7.37+2.1+2.18+6.28+1.5+1.45+18.5+7.13</f>
        <v>51.050000000000004</v>
      </c>
      <c r="I1411" s="498"/>
      <c r="L1411" s="340"/>
      <c r="M1411" s="341"/>
      <c r="N1411" s="342"/>
      <c r="O1411" s="342"/>
      <c r="P1411" s="342"/>
      <c r="Q1411" s="342"/>
      <c r="R1411" s="342"/>
      <c r="S1411" s="342"/>
      <c r="T1411" s="343"/>
      <c r="AT1411" s="337" t="s">
        <v>155</v>
      </c>
      <c r="AU1411" s="337" t="s">
        <v>83</v>
      </c>
      <c r="AV1411" s="335" t="s">
        <v>83</v>
      </c>
      <c r="AW1411" s="335" t="s">
        <v>34</v>
      </c>
      <c r="AX1411" s="335" t="s">
        <v>76</v>
      </c>
      <c r="AY1411" s="337" t="s">
        <v>146</v>
      </c>
    </row>
    <row r="1412" spans="2:51" s="326" customFormat="1" ht="12">
      <c r="B1412" s="327"/>
      <c r="D1412" s="328" t="s">
        <v>155</v>
      </c>
      <c r="E1412" s="329" t="s">
        <v>1</v>
      </c>
      <c r="F1412" s="330" t="s">
        <v>1008</v>
      </c>
      <c r="H1412" s="329" t="s">
        <v>1</v>
      </c>
      <c r="I1412" s="497"/>
      <c r="L1412" s="331"/>
      <c r="M1412" s="332"/>
      <c r="N1412" s="333"/>
      <c r="O1412" s="333"/>
      <c r="P1412" s="333"/>
      <c r="Q1412" s="333"/>
      <c r="R1412" s="333"/>
      <c r="S1412" s="333"/>
      <c r="T1412" s="334"/>
      <c r="AT1412" s="329" t="s">
        <v>155</v>
      </c>
      <c r="AU1412" s="329" t="s">
        <v>83</v>
      </c>
      <c r="AV1412" s="326" t="s">
        <v>81</v>
      </c>
      <c r="AW1412" s="326" t="s">
        <v>34</v>
      </c>
      <c r="AX1412" s="326" t="s">
        <v>76</v>
      </c>
      <c r="AY1412" s="329" t="s">
        <v>146</v>
      </c>
    </row>
    <row r="1413" spans="2:51" s="335" customFormat="1" ht="12">
      <c r="B1413" s="336"/>
      <c r="D1413" s="328" t="s">
        <v>155</v>
      </c>
      <c r="E1413" s="337" t="s">
        <v>1</v>
      </c>
      <c r="F1413" s="338" t="s">
        <v>818</v>
      </c>
      <c r="H1413" s="339">
        <f>3.4+1.4</f>
        <v>4.8</v>
      </c>
      <c r="I1413" s="498"/>
      <c r="L1413" s="340"/>
      <c r="M1413" s="341"/>
      <c r="N1413" s="342"/>
      <c r="O1413" s="342"/>
      <c r="P1413" s="342"/>
      <c r="Q1413" s="342"/>
      <c r="R1413" s="342"/>
      <c r="S1413" s="342"/>
      <c r="T1413" s="343"/>
      <c r="AT1413" s="337" t="s">
        <v>155</v>
      </c>
      <c r="AU1413" s="337" t="s">
        <v>83</v>
      </c>
      <c r="AV1413" s="335" t="s">
        <v>83</v>
      </c>
      <c r="AW1413" s="335" t="s">
        <v>34</v>
      </c>
      <c r="AX1413" s="335" t="s">
        <v>76</v>
      </c>
      <c r="AY1413" s="337" t="s">
        <v>146</v>
      </c>
    </row>
    <row r="1414" spans="2:51" s="347" customFormat="1" ht="12">
      <c r="B1414" s="348"/>
      <c r="D1414" s="328" t="s">
        <v>155</v>
      </c>
      <c r="E1414" s="349" t="s">
        <v>1</v>
      </c>
      <c r="F1414" s="356" t="s">
        <v>157</v>
      </c>
      <c r="H1414" s="351">
        <f>SUM(H1411:H1413)</f>
        <v>55.85</v>
      </c>
      <c r="I1414" s="499"/>
      <c r="L1414" s="352"/>
      <c r="M1414" s="353"/>
      <c r="N1414" s="354"/>
      <c r="O1414" s="354"/>
      <c r="P1414" s="354"/>
      <c r="Q1414" s="354"/>
      <c r="R1414" s="354"/>
      <c r="S1414" s="354"/>
      <c r="T1414" s="355"/>
      <c r="AT1414" s="349" t="s">
        <v>155</v>
      </c>
      <c r="AU1414" s="349" t="s">
        <v>83</v>
      </c>
      <c r="AV1414" s="347" t="s">
        <v>153</v>
      </c>
      <c r="AW1414" s="347" t="s">
        <v>34</v>
      </c>
      <c r="AX1414" s="347" t="s">
        <v>81</v>
      </c>
      <c r="AY1414" s="349" t="s">
        <v>146</v>
      </c>
    </row>
    <row r="1415" spans="1:65" s="225" customFormat="1" ht="16.5" customHeight="1">
      <c r="A1415" s="222"/>
      <c r="B1415" s="223"/>
      <c r="C1415" s="314">
        <v>250</v>
      </c>
      <c r="D1415" s="314" t="s">
        <v>148</v>
      </c>
      <c r="E1415" s="315" t="s">
        <v>1009</v>
      </c>
      <c r="F1415" s="316" t="s">
        <v>1010</v>
      </c>
      <c r="G1415" s="317" t="s">
        <v>151</v>
      </c>
      <c r="H1415" s="318">
        <f>H1420</f>
        <v>55.99125</v>
      </c>
      <c r="I1415" s="79"/>
      <c r="J1415" s="319">
        <f>ROUND(I1415*H1415,2)</f>
        <v>0</v>
      </c>
      <c r="K1415" s="316"/>
      <c r="L1415" s="229"/>
      <c r="M1415" s="320" t="s">
        <v>1</v>
      </c>
      <c r="N1415" s="321" t="s">
        <v>42</v>
      </c>
      <c r="O1415" s="322">
        <v>0.09</v>
      </c>
      <c r="P1415" s="322">
        <f>O1415*H1415</f>
        <v>5.0392125</v>
      </c>
      <c r="Q1415" s="322">
        <v>0</v>
      </c>
      <c r="R1415" s="322">
        <f>Q1415*H1415</f>
        <v>0</v>
      </c>
      <c r="S1415" s="322">
        <v>0</v>
      </c>
      <c r="T1415" s="323">
        <f>S1415*H1415</f>
        <v>0</v>
      </c>
      <c r="U1415" s="222"/>
      <c r="V1415" s="222"/>
      <c r="W1415" s="222"/>
      <c r="X1415" s="222"/>
      <c r="Y1415" s="222"/>
      <c r="Z1415" s="222"/>
      <c r="AA1415" s="222"/>
      <c r="AB1415" s="222"/>
      <c r="AC1415" s="222"/>
      <c r="AD1415" s="222"/>
      <c r="AE1415" s="222"/>
      <c r="AR1415" s="324" t="s">
        <v>212</v>
      </c>
      <c r="AT1415" s="324" t="s">
        <v>148</v>
      </c>
      <c r="AU1415" s="324" t="s">
        <v>83</v>
      </c>
      <c r="AY1415" s="214" t="s">
        <v>146</v>
      </c>
      <c r="BE1415" s="325">
        <f>IF(N1415="základní",J1415,0)</f>
        <v>0</v>
      </c>
      <c r="BF1415" s="325">
        <f>IF(N1415="snížená",J1415,0)</f>
        <v>0</v>
      </c>
      <c r="BG1415" s="325">
        <f>IF(N1415="zákl. přenesená",J1415,0)</f>
        <v>0</v>
      </c>
      <c r="BH1415" s="325">
        <f>IF(N1415="sníž. přenesená",J1415,0)</f>
        <v>0</v>
      </c>
      <c r="BI1415" s="325">
        <f>IF(N1415="nulová",J1415,0)</f>
        <v>0</v>
      </c>
      <c r="BJ1415" s="214" t="s">
        <v>81</v>
      </c>
      <c r="BK1415" s="325">
        <f>ROUND(I1415*H1415,2)</f>
        <v>0</v>
      </c>
      <c r="BL1415" s="214" t="s">
        <v>212</v>
      </c>
      <c r="BM1415" s="324" t="s">
        <v>1011</v>
      </c>
    </row>
    <row r="1416" spans="2:51" s="326" customFormat="1" ht="12">
      <c r="B1416" s="327"/>
      <c r="D1416" s="328" t="s">
        <v>155</v>
      </c>
      <c r="E1416" s="329" t="s">
        <v>1</v>
      </c>
      <c r="F1416" s="345" t="s">
        <v>2829</v>
      </c>
      <c r="H1416" s="329" t="s">
        <v>1</v>
      </c>
      <c r="I1416" s="497"/>
      <c r="L1416" s="331"/>
      <c r="M1416" s="332"/>
      <c r="N1416" s="333"/>
      <c r="O1416" s="333"/>
      <c r="P1416" s="333"/>
      <c r="Q1416" s="333"/>
      <c r="R1416" s="333"/>
      <c r="S1416" s="333"/>
      <c r="T1416" s="334"/>
      <c r="AT1416" s="329" t="s">
        <v>155</v>
      </c>
      <c r="AU1416" s="329" t="s">
        <v>83</v>
      </c>
      <c r="AV1416" s="326" t="s">
        <v>81</v>
      </c>
      <c r="AW1416" s="326" t="s">
        <v>34</v>
      </c>
      <c r="AX1416" s="326" t="s">
        <v>76</v>
      </c>
      <c r="AY1416" s="329" t="s">
        <v>146</v>
      </c>
    </row>
    <row r="1417" spans="2:51" s="335" customFormat="1" ht="12">
      <c r="B1417" s="336"/>
      <c r="D1417" s="328" t="s">
        <v>155</v>
      </c>
      <c r="E1417" s="337" t="s">
        <v>1</v>
      </c>
      <c r="F1417" s="346" t="s">
        <v>2831</v>
      </c>
      <c r="H1417" s="339">
        <f>4.15*9.475+1.55*6</f>
        <v>48.62125</v>
      </c>
      <c r="I1417" s="498"/>
      <c r="L1417" s="340"/>
      <c r="M1417" s="341"/>
      <c r="N1417" s="342"/>
      <c r="O1417" s="342"/>
      <c r="P1417" s="342"/>
      <c r="Q1417" s="342"/>
      <c r="R1417" s="342"/>
      <c r="S1417" s="342"/>
      <c r="T1417" s="343"/>
      <c r="AT1417" s="337" t="s">
        <v>155</v>
      </c>
      <c r="AU1417" s="337" t="s">
        <v>83</v>
      </c>
      <c r="AV1417" s="335" t="s">
        <v>83</v>
      </c>
      <c r="AW1417" s="335" t="s">
        <v>34</v>
      </c>
      <c r="AX1417" s="335" t="s">
        <v>76</v>
      </c>
      <c r="AY1417" s="337" t="s">
        <v>146</v>
      </c>
    </row>
    <row r="1418" spans="2:51" s="326" customFormat="1" ht="12">
      <c r="B1418" s="327"/>
      <c r="D1418" s="328" t="s">
        <v>155</v>
      </c>
      <c r="E1418" s="329" t="s">
        <v>1</v>
      </c>
      <c r="F1418" s="345" t="s">
        <v>2887</v>
      </c>
      <c r="H1418" s="329" t="s">
        <v>1</v>
      </c>
      <c r="I1418" s="497"/>
      <c r="L1418" s="331"/>
      <c r="M1418" s="332"/>
      <c r="N1418" s="333"/>
      <c r="O1418" s="333"/>
      <c r="P1418" s="333"/>
      <c r="Q1418" s="333"/>
      <c r="R1418" s="333"/>
      <c r="S1418" s="333"/>
      <c r="T1418" s="334"/>
      <c r="AT1418" s="329" t="s">
        <v>155</v>
      </c>
      <c r="AU1418" s="329" t="s">
        <v>83</v>
      </c>
      <c r="AV1418" s="326" t="s">
        <v>81</v>
      </c>
      <c r="AW1418" s="326" t="s">
        <v>34</v>
      </c>
      <c r="AX1418" s="326" t="s">
        <v>76</v>
      </c>
      <c r="AY1418" s="329" t="s">
        <v>146</v>
      </c>
    </row>
    <row r="1419" spans="2:51" s="335" customFormat="1" ht="12">
      <c r="B1419" s="336"/>
      <c r="D1419" s="328" t="s">
        <v>155</v>
      </c>
      <c r="E1419" s="337" t="s">
        <v>1</v>
      </c>
      <c r="F1419" s="346">
        <v>7.37</v>
      </c>
      <c r="H1419" s="339">
        <v>7.37</v>
      </c>
      <c r="I1419" s="498"/>
      <c r="L1419" s="340"/>
      <c r="M1419" s="341"/>
      <c r="N1419" s="342"/>
      <c r="O1419" s="342"/>
      <c r="P1419" s="342"/>
      <c r="Q1419" s="342"/>
      <c r="R1419" s="342"/>
      <c r="S1419" s="342"/>
      <c r="T1419" s="343"/>
      <c r="AT1419" s="337" t="s">
        <v>155</v>
      </c>
      <c r="AU1419" s="337" t="s">
        <v>83</v>
      </c>
      <c r="AV1419" s="335" t="s">
        <v>83</v>
      </c>
      <c r="AW1419" s="335" t="s">
        <v>34</v>
      </c>
      <c r="AX1419" s="335" t="s">
        <v>76</v>
      </c>
      <c r="AY1419" s="337" t="s">
        <v>146</v>
      </c>
    </row>
    <row r="1420" spans="2:51" s="347" customFormat="1" ht="12">
      <c r="B1420" s="348"/>
      <c r="D1420" s="328" t="s">
        <v>155</v>
      </c>
      <c r="E1420" s="349" t="s">
        <v>1</v>
      </c>
      <c r="F1420" s="356" t="s">
        <v>157</v>
      </c>
      <c r="H1420" s="351">
        <f>SUM(H1417:H1419)</f>
        <v>55.99125</v>
      </c>
      <c r="I1420" s="499"/>
      <c r="L1420" s="352"/>
      <c r="M1420" s="353"/>
      <c r="N1420" s="354"/>
      <c r="O1420" s="354"/>
      <c r="P1420" s="354"/>
      <c r="Q1420" s="354"/>
      <c r="R1420" s="354"/>
      <c r="S1420" s="354"/>
      <c r="T1420" s="355"/>
      <c r="AT1420" s="349" t="s">
        <v>155</v>
      </c>
      <c r="AU1420" s="349" t="s">
        <v>83</v>
      </c>
      <c r="AV1420" s="347" t="s">
        <v>153</v>
      </c>
      <c r="AW1420" s="347" t="s">
        <v>34</v>
      </c>
      <c r="AX1420" s="347" t="s">
        <v>81</v>
      </c>
      <c r="AY1420" s="349" t="s">
        <v>146</v>
      </c>
    </row>
    <row r="1421" spans="1:65" s="225" customFormat="1" ht="24.2" customHeight="1">
      <c r="A1421" s="222"/>
      <c r="B1421" s="223"/>
      <c r="C1421" s="358">
        <v>251</v>
      </c>
      <c r="D1421" s="358" t="s">
        <v>208</v>
      </c>
      <c r="E1421" s="359" t="s">
        <v>1012</v>
      </c>
      <c r="F1421" s="364" t="s">
        <v>1013</v>
      </c>
      <c r="G1421" s="361" t="s">
        <v>151</v>
      </c>
      <c r="H1421" s="362">
        <f>H1422</f>
        <v>61.59037500000001</v>
      </c>
      <c r="I1421" s="80"/>
      <c r="J1421" s="363">
        <f>ROUND(I1421*H1421,2)</f>
        <v>0</v>
      </c>
      <c r="K1421" s="364"/>
      <c r="L1421" s="365"/>
      <c r="M1421" s="366" t="s">
        <v>1</v>
      </c>
      <c r="N1421" s="367" t="s">
        <v>42</v>
      </c>
      <c r="O1421" s="322">
        <v>0</v>
      </c>
      <c r="P1421" s="322">
        <f>O1421*H1421</f>
        <v>0</v>
      </c>
      <c r="Q1421" s="322">
        <v>0.00011</v>
      </c>
      <c r="R1421" s="322">
        <f>Q1421*H1421</f>
        <v>0.006774941250000001</v>
      </c>
      <c r="S1421" s="322">
        <v>0</v>
      </c>
      <c r="T1421" s="323">
        <f>S1421*H1421</f>
        <v>0</v>
      </c>
      <c r="U1421" s="222"/>
      <c r="V1421" s="222"/>
      <c r="W1421" s="222"/>
      <c r="X1421" s="222"/>
      <c r="Y1421" s="222"/>
      <c r="Z1421" s="222"/>
      <c r="AA1421" s="222"/>
      <c r="AB1421" s="222"/>
      <c r="AC1421" s="222"/>
      <c r="AD1421" s="222"/>
      <c r="AE1421" s="222"/>
      <c r="AR1421" s="324" t="s">
        <v>298</v>
      </c>
      <c r="AT1421" s="324" t="s">
        <v>208</v>
      </c>
      <c r="AU1421" s="324" t="s">
        <v>83</v>
      </c>
      <c r="AY1421" s="214" t="s">
        <v>146</v>
      </c>
      <c r="BE1421" s="325">
        <f>IF(N1421="základní",J1421,0)</f>
        <v>0</v>
      </c>
      <c r="BF1421" s="325">
        <f>IF(N1421="snížená",J1421,0)</f>
        <v>0</v>
      </c>
      <c r="BG1421" s="325">
        <f>IF(N1421="zákl. přenesená",J1421,0)</f>
        <v>0</v>
      </c>
      <c r="BH1421" s="325">
        <f>IF(N1421="sníž. přenesená",J1421,0)</f>
        <v>0</v>
      </c>
      <c r="BI1421" s="325">
        <f>IF(N1421="nulová",J1421,0)</f>
        <v>0</v>
      </c>
      <c r="BJ1421" s="214" t="s">
        <v>81</v>
      </c>
      <c r="BK1421" s="325">
        <f>ROUND(I1421*H1421,2)</f>
        <v>0</v>
      </c>
      <c r="BL1421" s="214" t="s">
        <v>212</v>
      </c>
      <c r="BM1421" s="324" t="s">
        <v>1014</v>
      </c>
    </row>
    <row r="1422" spans="2:51" s="335" customFormat="1" ht="12">
      <c r="B1422" s="336"/>
      <c r="D1422" s="328" t="s">
        <v>155</v>
      </c>
      <c r="F1422" s="338" t="s">
        <v>2886</v>
      </c>
      <c r="H1422" s="339">
        <f>H1415*1.1</f>
        <v>61.59037500000001</v>
      </c>
      <c r="I1422" s="498"/>
      <c r="L1422" s="340"/>
      <c r="M1422" s="341"/>
      <c r="N1422" s="342"/>
      <c r="O1422" s="342"/>
      <c r="P1422" s="342"/>
      <c r="Q1422" s="342"/>
      <c r="R1422" s="342"/>
      <c r="S1422" s="342"/>
      <c r="T1422" s="343"/>
      <c r="AT1422" s="337" t="s">
        <v>155</v>
      </c>
      <c r="AU1422" s="337" t="s">
        <v>83</v>
      </c>
      <c r="AV1422" s="335" t="s">
        <v>83</v>
      </c>
      <c r="AW1422" s="335" t="s">
        <v>3</v>
      </c>
      <c r="AX1422" s="335" t="s">
        <v>81</v>
      </c>
      <c r="AY1422" s="337" t="s">
        <v>146</v>
      </c>
    </row>
    <row r="1423" spans="1:65" s="225" customFormat="1" ht="33" customHeight="1">
      <c r="A1423" s="222"/>
      <c r="B1423" s="223"/>
      <c r="C1423" s="314">
        <v>252</v>
      </c>
      <c r="D1423" s="314" t="s">
        <v>148</v>
      </c>
      <c r="E1423" s="315" t="s">
        <v>1015</v>
      </c>
      <c r="F1423" s="316" t="s">
        <v>2888</v>
      </c>
      <c r="G1423" s="317" t="s">
        <v>151</v>
      </c>
      <c r="H1423" s="318">
        <f>H1428</f>
        <v>151.44</v>
      </c>
      <c r="I1423" s="79"/>
      <c r="J1423" s="319">
        <f>ROUND(I1423*H1423,2)</f>
        <v>0</v>
      </c>
      <c r="K1423" s="316"/>
      <c r="L1423" s="229"/>
      <c r="M1423" s="320" t="s">
        <v>1</v>
      </c>
      <c r="N1423" s="321" t="s">
        <v>42</v>
      </c>
      <c r="O1423" s="322">
        <v>0.518</v>
      </c>
      <c r="P1423" s="322">
        <f>O1423*H1423</f>
        <v>78.44592</v>
      </c>
      <c r="Q1423" s="322">
        <v>0.00125314</v>
      </c>
      <c r="R1423" s="322">
        <f>Q1423*H1423</f>
        <v>0.1897755216</v>
      </c>
      <c r="S1423" s="322">
        <v>0</v>
      </c>
      <c r="T1423" s="323">
        <f>S1423*H1423</f>
        <v>0</v>
      </c>
      <c r="U1423" s="222"/>
      <c r="V1423" s="222"/>
      <c r="W1423" s="222"/>
      <c r="X1423" s="222"/>
      <c r="Y1423" s="222"/>
      <c r="Z1423" s="222"/>
      <c r="AA1423" s="222"/>
      <c r="AB1423" s="222"/>
      <c r="AC1423" s="222"/>
      <c r="AD1423" s="222"/>
      <c r="AE1423" s="222"/>
      <c r="AR1423" s="324" t="s">
        <v>212</v>
      </c>
      <c r="AT1423" s="324" t="s">
        <v>148</v>
      </c>
      <c r="AU1423" s="324" t="s">
        <v>83</v>
      </c>
      <c r="AY1423" s="214" t="s">
        <v>146</v>
      </c>
      <c r="BE1423" s="325">
        <f>IF(N1423="základní",J1423,0)</f>
        <v>0</v>
      </c>
      <c r="BF1423" s="325">
        <f>IF(N1423="snížená",J1423,0)</f>
        <v>0</v>
      </c>
      <c r="BG1423" s="325">
        <f>IF(N1423="zákl. přenesená",J1423,0)</f>
        <v>0</v>
      </c>
      <c r="BH1423" s="325">
        <f>IF(N1423="sníž. přenesená",J1423,0)</f>
        <v>0</v>
      </c>
      <c r="BI1423" s="325">
        <f>IF(N1423="nulová",J1423,0)</f>
        <v>0</v>
      </c>
      <c r="BJ1423" s="214" t="s">
        <v>81</v>
      </c>
      <c r="BK1423" s="325">
        <f>ROUND(I1423*H1423,2)</f>
        <v>0</v>
      </c>
      <c r="BL1423" s="214" t="s">
        <v>212</v>
      </c>
      <c r="BM1423" s="324" t="s">
        <v>1016</v>
      </c>
    </row>
    <row r="1424" spans="2:51" s="326" customFormat="1" ht="12">
      <c r="B1424" s="327"/>
      <c r="D1424" s="328" t="s">
        <v>155</v>
      </c>
      <c r="E1424" s="329" t="s">
        <v>1</v>
      </c>
      <c r="F1424" s="330" t="s">
        <v>1017</v>
      </c>
      <c r="H1424" s="329" t="s">
        <v>1</v>
      </c>
      <c r="I1424" s="497"/>
      <c r="L1424" s="331"/>
      <c r="M1424" s="332"/>
      <c r="N1424" s="333"/>
      <c r="O1424" s="333"/>
      <c r="P1424" s="333"/>
      <c r="Q1424" s="333"/>
      <c r="R1424" s="333"/>
      <c r="S1424" s="333"/>
      <c r="T1424" s="334"/>
      <c r="AT1424" s="329" t="s">
        <v>155</v>
      </c>
      <c r="AU1424" s="329" t="s">
        <v>83</v>
      </c>
      <c r="AV1424" s="326" t="s">
        <v>81</v>
      </c>
      <c r="AW1424" s="326" t="s">
        <v>34</v>
      </c>
      <c r="AX1424" s="326" t="s">
        <v>76</v>
      </c>
      <c r="AY1424" s="329" t="s">
        <v>146</v>
      </c>
    </row>
    <row r="1425" spans="2:51" s="335" customFormat="1" ht="12">
      <c r="B1425" s="336"/>
      <c r="D1425" s="328" t="s">
        <v>155</v>
      </c>
      <c r="E1425" s="337" t="s">
        <v>1</v>
      </c>
      <c r="F1425" s="338" t="s">
        <v>2889</v>
      </c>
      <c r="H1425" s="339">
        <f>9.2+13.16+26.4+16.74+15.04+9.56+29.64</f>
        <v>119.74</v>
      </c>
      <c r="I1425" s="498"/>
      <c r="L1425" s="340"/>
      <c r="M1425" s="341"/>
      <c r="N1425" s="342"/>
      <c r="O1425" s="342"/>
      <c r="P1425" s="342"/>
      <c r="Q1425" s="342"/>
      <c r="R1425" s="342"/>
      <c r="S1425" s="342"/>
      <c r="T1425" s="343"/>
      <c r="AT1425" s="337" t="s">
        <v>155</v>
      </c>
      <c r="AU1425" s="337" t="s">
        <v>83</v>
      </c>
      <c r="AV1425" s="335" t="s">
        <v>83</v>
      </c>
      <c r="AW1425" s="335" t="s">
        <v>34</v>
      </c>
      <c r="AX1425" s="335" t="s">
        <v>76</v>
      </c>
      <c r="AY1425" s="337" t="s">
        <v>146</v>
      </c>
    </row>
    <row r="1426" spans="2:51" s="326" customFormat="1" ht="12">
      <c r="B1426" s="327"/>
      <c r="D1426" s="328" t="s">
        <v>155</v>
      </c>
      <c r="E1426" s="329" t="s">
        <v>1</v>
      </c>
      <c r="F1426" s="330" t="s">
        <v>1018</v>
      </c>
      <c r="H1426" s="329" t="s">
        <v>1</v>
      </c>
      <c r="I1426" s="497"/>
      <c r="L1426" s="331"/>
      <c r="M1426" s="332"/>
      <c r="N1426" s="333"/>
      <c r="O1426" s="333"/>
      <c r="P1426" s="333"/>
      <c r="Q1426" s="333"/>
      <c r="R1426" s="333"/>
      <c r="S1426" s="333"/>
      <c r="T1426" s="334"/>
      <c r="AT1426" s="329" t="s">
        <v>155</v>
      </c>
      <c r="AU1426" s="329" t="s">
        <v>83</v>
      </c>
      <c r="AV1426" s="326" t="s">
        <v>81</v>
      </c>
      <c r="AW1426" s="326" t="s">
        <v>34</v>
      </c>
      <c r="AX1426" s="326" t="s">
        <v>76</v>
      </c>
      <c r="AY1426" s="329" t="s">
        <v>146</v>
      </c>
    </row>
    <row r="1427" spans="2:51" s="335" customFormat="1" ht="12">
      <c r="B1427" s="336"/>
      <c r="D1427" s="328" t="s">
        <v>155</v>
      </c>
      <c r="E1427" s="337" t="s">
        <v>1</v>
      </c>
      <c r="F1427" s="338" t="s">
        <v>1019</v>
      </c>
      <c r="H1427" s="339">
        <v>31.7</v>
      </c>
      <c r="I1427" s="498"/>
      <c r="L1427" s="340"/>
      <c r="M1427" s="341"/>
      <c r="N1427" s="342"/>
      <c r="O1427" s="342"/>
      <c r="P1427" s="342"/>
      <c r="Q1427" s="342"/>
      <c r="R1427" s="342"/>
      <c r="S1427" s="342"/>
      <c r="T1427" s="343"/>
      <c r="AT1427" s="337" t="s">
        <v>155</v>
      </c>
      <c r="AU1427" s="337" t="s">
        <v>83</v>
      </c>
      <c r="AV1427" s="335" t="s">
        <v>83</v>
      </c>
      <c r="AW1427" s="335" t="s">
        <v>34</v>
      </c>
      <c r="AX1427" s="335" t="s">
        <v>76</v>
      </c>
      <c r="AY1427" s="337" t="s">
        <v>146</v>
      </c>
    </row>
    <row r="1428" spans="2:51" s="347" customFormat="1" ht="12">
      <c r="B1428" s="348"/>
      <c r="D1428" s="328" t="s">
        <v>155</v>
      </c>
      <c r="E1428" s="349" t="s">
        <v>1</v>
      </c>
      <c r="F1428" s="356" t="s">
        <v>157</v>
      </c>
      <c r="H1428" s="351">
        <f>SUM(H1425:H1427)</f>
        <v>151.44</v>
      </c>
      <c r="I1428" s="499"/>
      <c r="L1428" s="352"/>
      <c r="M1428" s="353"/>
      <c r="N1428" s="354"/>
      <c r="O1428" s="354"/>
      <c r="P1428" s="354"/>
      <c r="Q1428" s="354"/>
      <c r="R1428" s="354"/>
      <c r="S1428" s="354"/>
      <c r="T1428" s="355"/>
      <c r="AT1428" s="349" t="s">
        <v>155</v>
      </c>
      <c r="AU1428" s="349" t="s">
        <v>83</v>
      </c>
      <c r="AV1428" s="347" t="s">
        <v>153</v>
      </c>
      <c r="AW1428" s="347" t="s">
        <v>34</v>
      </c>
      <c r="AX1428" s="347" t="s">
        <v>81</v>
      </c>
      <c r="AY1428" s="349" t="s">
        <v>146</v>
      </c>
    </row>
    <row r="1429" spans="1:65" s="225" customFormat="1" ht="24.2" customHeight="1">
      <c r="A1429" s="222"/>
      <c r="B1429" s="223"/>
      <c r="C1429" s="358">
        <v>253</v>
      </c>
      <c r="D1429" s="358" t="s">
        <v>208</v>
      </c>
      <c r="E1429" s="359" t="s">
        <v>1020</v>
      </c>
      <c r="F1429" s="364" t="s">
        <v>1021</v>
      </c>
      <c r="G1429" s="361" t="s">
        <v>151</v>
      </c>
      <c r="H1429" s="362">
        <f>H1423</f>
        <v>151.44</v>
      </c>
      <c r="I1429" s="80"/>
      <c r="J1429" s="363">
        <f>ROUND(I1429*H1429,2)</f>
        <v>0</v>
      </c>
      <c r="K1429" s="364"/>
      <c r="L1429" s="365"/>
      <c r="M1429" s="366" t="s">
        <v>1</v>
      </c>
      <c r="N1429" s="367" t="s">
        <v>42</v>
      </c>
      <c r="O1429" s="322">
        <v>0</v>
      </c>
      <c r="P1429" s="322">
        <f>O1429*H1429</f>
        <v>0</v>
      </c>
      <c r="Q1429" s="322">
        <v>0.008</v>
      </c>
      <c r="R1429" s="322">
        <f>Q1429*H1429</f>
        <v>1.21152</v>
      </c>
      <c r="S1429" s="322">
        <v>0</v>
      </c>
      <c r="T1429" s="323">
        <f>S1429*H1429</f>
        <v>0</v>
      </c>
      <c r="U1429" s="222"/>
      <c r="V1429" s="222"/>
      <c r="W1429" s="222"/>
      <c r="X1429" s="222"/>
      <c r="Y1429" s="222"/>
      <c r="Z1429" s="222"/>
      <c r="AA1429" s="222"/>
      <c r="AB1429" s="222"/>
      <c r="AC1429" s="222"/>
      <c r="AD1429" s="222"/>
      <c r="AE1429" s="222"/>
      <c r="AR1429" s="324" t="s">
        <v>298</v>
      </c>
      <c r="AT1429" s="324" t="s">
        <v>208</v>
      </c>
      <c r="AU1429" s="324" t="s">
        <v>83</v>
      </c>
      <c r="AY1429" s="214" t="s">
        <v>146</v>
      </c>
      <c r="BE1429" s="325">
        <f>IF(N1429="základní",J1429,0)</f>
        <v>0</v>
      </c>
      <c r="BF1429" s="325">
        <f>IF(N1429="snížená",J1429,0)</f>
        <v>0</v>
      </c>
      <c r="BG1429" s="325">
        <f>IF(N1429="zákl. přenesená",J1429,0)</f>
        <v>0</v>
      </c>
      <c r="BH1429" s="325">
        <f>IF(N1429="sníž. přenesená",J1429,0)</f>
        <v>0</v>
      </c>
      <c r="BI1429" s="325">
        <f>IF(N1429="nulová",J1429,0)</f>
        <v>0</v>
      </c>
      <c r="BJ1429" s="214" t="s">
        <v>81</v>
      </c>
      <c r="BK1429" s="325">
        <f>ROUND(I1429*H1429,2)</f>
        <v>0</v>
      </c>
      <c r="BL1429" s="214" t="s">
        <v>212</v>
      </c>
      <c r="BM1429" s="324" t="s">
        <v>1022</v>
      </c>
    </row>
    <row r="1430" spans="2:51" s="335" customFormat="1" ht="12">
      <c r="B1430" s="336"/>
      <c r="D1430" s="328" t="s">
        <v>155</v>
      </c>
      <c r="F1430" s="338"/>
      <c r="H1430" s="339"/>
      <c r="I1430" s="498"/>
      <c r="L1430" s="340"/>
      <c r="M1430" s="341"/>
      <c r="N1430" s="342"/>
      <c r="O1430" s="342"/>
      <c r="P1430" s="342"/>
      <c r="Q1430" s="342"/>
      <c r="R1430" s="342"/>
      <c r="S1430" s="342"/>
      <c r="T1430" s="343"/>
      <c r="AT1430" s="337" t="s">
        <v>155</v>
      </c>
      <c r="AU1430" s="337" t="s">
        <v>83</v>
      </c>
      <c r="AV1430" s="335" t="s">
        <v>83</v>
      </c>
      <c r="AW1430" s="335" t="s">
        <v>3</v>
      </c>
      <c r="AX1430" s="335" t="s">
        <v>81</v>
      </c>
      <c r="AY1430" s="337" t="s">
        <v>146</v>
      </c>
    </row>
    <row r="1431" spans="1:65" s="225" customFormat="1" ht="21.75" customHeight="1">
      <c r="A1431" s="222"/>
      <c r="B1431" s="223"/>
      <c r="C1431" s="314">
        <v>254</v>
      </c>
      <c r="D1431" s="314" t="s">
        <v>148</v>
      </c>
      <c r="E1431" s="315" t="s">
        <v>1023</v>
      </c>
      <c r="F1431" s="316" t="s">
        <v>1024</v>
      </c>
      <c r="G1431" s="317" t="s">
        <v>158</v>
      </c>
      <c r="H1431" s="318">
        <v>3.4</v>
      </c>
      <c r="I1431" s="79"/>
      <c r="J1431" s="319">
        <f>ROUND(I1431*H1431,2)</f>
        <v>0</v>
      </c>
      <c r="K1431" s="316"/>
      <c r="L1431" s="229"/>
      <c r="M1431" s="320" t="s">
        <v>1</v>
      </c>
      <c r="N1431" s="321" t="s">
        <v>42</v>
      </c>
      <c r="O1431" s="322">
        <v>0.908</v>
      </c>
      <c r="P1431" s="322">
        <f>O1431*H1431</f>
        <v>3.0872</v>
      </c>
      <c r="Q1431" s="322">
        <v>0.008821</v>
      </c>
      <c r="R1431" s="322">
        <f>Q1431*H1431</f>
        <v>0.0299914</v>
      </c>
      <c r="S1431" s="322">
        <v>0</v>
      </c>
      <c r="T1431" s="323">
        <f>S1431*H1431</f>
        <v>0</v>
      </c>
      <c r="U1431" s="222"/>
      <c r="V1431" s="222"/>
      <c r="W1431" s="222"/>
      <c r="X1431" s="222"/>
      <c r="Y1431" s="222"/>
      <c r="Z1431" s="222"/>
      <c r="AA1431" s="222"/>
      <c r="AB1431" s="222"/>
      <c r="AC1431" s="222"/>
      <c r="AD1431" s="222"/>
      <c r="AE1431" s="222"/>
      <c r="AR1431" s="324" t="s">
        <v>212</v>
      </c>
      <c r="AT1431" s="324" t="s">
        <v>148</v>
      </c>
      <c r="AU1431" s="324" t="s">
        <v>83</v>
      </c>
      <c r="AY1431" s="214" t="s">
        <v>146</v>
      </c>
      <c r="BE1431" s="325">
        <f>IF(N1431="základní",J1431,0)</f>
        <v>0</v>
      </c>
      <c r="BF1431" s="325">
        <f>IF(N1431="snížená",J1431,0)</f>
        <v>0</v>
      </c>
      <c r="BG1431" s="325">
        <f>IF(N1431="zákl. přenesená",J1431,0)</f>
        <v>0</v>
      </c>
      <c r="BH1431" s="325">
        <f>IF(N1431="sníž. přenesená",J1431,0)</f>
        <v>0</v>
      </c>
      <c r="BI1431" s="325">
        <f>IF(N1431="nulová",J1431,0)</f>
        <v>0</v>
      </c>
      <c r="BJ1431" s="214" t="s">
        <v>81</v>
      </c>
      <c r="BK1431" s="325">
        <f>ROUND(I1431*H1431,2)</f>
        <v>0</v>
      </c>
      <c r="BL1431" s="214" t="s">
        <v>212</v>
      </c>
      <c r="BM1431" s="324" t="s">
        <v>1025</v>
      </c>
    </row>
    <row r="1432" spans="2:51" s="335" customFormat="1" ht="12">
      <c r="B1432" s="336"/>
      <c r="D1432" s="328" t="s">
        <v>155</v>
      </c>
      <c r="E1432" s="337" t="s">
        <v>1</v>
      </c>
      <c r="F1432" s="338" t="s">
        <v>1026</v>
      </c>
      <c r="H1432" s="339">
        <v>1.6</v>
      </c>
      <c r="I1432" s="498"/>
      <c r="L1432" s="340"/>
      <c r="M1432" s="341"/>
      <c r="N1432" s="342"/>
      <c r="O1432" s="342"/>
      <c r="P1432" s="342"/>
      <c r="Q1432" s="342"/>
      <c r="R1432" s="342"/>
      <c r="S1432" s="342"/>
      <c r="T1432" s="343"/>
      <c r="AT1432" s="337" t="s">
        <v>155</v>
      </c>
      <c r="AU1432" s="337" t="s">
        <v>83</v>
      </c>
      <c r="AV1432" s="335" t="s">
        <v>83</v>
      </c>
      <c r="AW1432" s="335" t="s">
        <v>34</v>
      </c>
      <c r="AX1432" s="335" t="s">
        <v>76</v>
      </c>
      <c r="AY1432" s="337" t="s">
        <v>146</v>
      </c>
    </row>
    <row r="1433" spans="2:51" s="335" customFormat="1" ht="12">
      <c r="B1433" s="336"/>
      <c r="D1433" s="328" t="s">
        <v>155</v>
      </c>
      <c r="E1433" s="337" t="s">
        <v>1</v>
      </c>
      <c r="F1433" s="338" t="s">
        <v>1027</v>
      </c>
      <c r="H1433" s="339">
        <v>1.8</v>
      </c>
      <c r="I1433" s="498"/>
      <c r="L1433" s="340"/>
      <c r="M1433" s="341"/>
      <c r="N1433" s="342"/>
      <c r="O1433" s="342"/>
      <c r="P1433" s="342"/>
      <c r="Q1433" s="342"/>
      <c r="R1433" s="342"/>
      <c r="S1433" s="342"/>
      <c r="T1433" s="343"/>
      <c r="AT1433" s="337" t="s">
        <v>155</v>
      </c>
      <c r="AU1433" s="337" t="s">
        <v>83</v>
      </c>
      <c r="AV1433" s="335" t="s">
        <v>83</v>
      </c>
      <c r="AW1433" s="335" t="s">
        <v>34</v>
      </c>
      <c r="AX1433" s="335" t="s">
        <v>76</v>
      </c>
      <c r="AY1433" s="337" t="s">
        <v>146</v>
      </c>
    </row>
    <row r="1434" spans="2:51" s="347" customFormat="1" ht="12">
      <c r="B1434" s="348"/>
      <c r="D1434" s="328" t="s">
        <v>155</v>
      </c>
      <c r="E1434" s="349" t="s">
        <v>1</v>
      </c>
      <c r="F1434" s="356" t="s">
        <v>157</v>
      </c>
      <c r="H1434" s="351">
        <v>3.4</v>
      </c>
      <c r="I1434" s="499"/>
      <c r="L1434" s="352"/>
      <c r="M1434" s="353"/>
      <c r="N1434" s="354"/>
      <c r="O1434" s="354"/>
      <c r="P1434" s="354"/>
      <c r="Q1434" s="354"/>
      <c r="R1434" s="354"/>
      <c r="S1434" s="354"/>
      <c r="T1434" s="355"/>
      <c r="AT1434" s="349" t="s">
        <v>155</v>
      </c>
      <c r="AU1434" s="349" t="s">
        <v>83</v>
      </c>
      <c r="AV1434" s="347" t="s">
        <v>153</v>
      </c>
      <c r="AW1434" s="347" t="s">
        <v>34</v>
      </c>
      <c r="AX1434" s="347" t="s">
        <v>81</v>
      </c>
      <c r="AY1434" s="349" t="s">
        <v>146</v>
      </c>
    </row>
    <row r="1435" spans="1:65" s="225" customFormat="1" ht="24.2" customHeight="1">
      <c r="A1435" s="222"/>
      <c r="B1435" s="223"/>
      <c r="C1435" s="314">
        <v>255</v>
      </c>
      <c r="D1435" s="314" t="s">
        <v>148</v>
      </c>
      <c r="E1435" s="315" t="s">
        <v>1028</v>
      </c>
      <c r="F1435" s="316" t="s">
        <v>1029</v>
      </c>
      <c r="G1435" s="317" t="s">
        <v>301</v>
      </c>
      <c r="H1435" s="318">
        <v>6</v>
      </c>
      <c r="I1435" s="79"/>
      <c r="J1435" s="319">
        <f>ROUND(I1435*H1435,2)</f>
        <v>0</v>
      </c>
      <c r="K1435" s="316"/>
      <c r="L1435" s="229"/>
      <c r="M1435" s="320" t="s">
        <v>1</v>
      </c>
      <c r="N1435" s="321" t="s">
        <v>42</v>
      </c>
      <c r="O1435" s="322">
        <v>0.683</v>
      </c>
      <c r="P1435" s="322">
        <f>O1435*H1435</f>
        <v>4.098000000000001</v>
      </c>
      <c r="Q1435" s="322">
        <v>2.6E-05</v>
      </c>
      <c r="R1435" s="322">
        <f>Q1435*H1435</f>
        <v>0.000156</v>
      </c>
      <c r="S1435" s="322">
        <v>0</v>
      </c>
      <c r="T1435" s="323">
        <f>S1435*H1435</f>
        <v>0</v>
      </c>
      <c r="U1435" s="222"/>
      <c r="V1435" s="222"/>
      <c r="W1435" s="222"/>
      <c r="X1435" s="222"/>
      <c r="Y1435" s="222"/>
      <c r="Z1435" s="222"/>
      <c r="AA1435" s="222"/>
      <c r="AB1435" s="222"/>
      <c r="AC1435" s="222"/>
      <c r="AD1435" s="222"/>
      <c r="AE1435" s="222"/>
      <c r="AR1435" s="324" t="s">
        <v>212</v>
      </c>
      <c r="AT1435" s="324" t="s">
        <v>148</v>
      </c>
      <c r="AU1435" s="324" t="s">
        <v>83</v>
      </c>
      <c r="AY1435" s="214" t="s">
        <v>146</v>
      </c>
      <c r="BE1435" s="325">
        <f>IF(N1435="základní",J1435,0)</f>
        <v>0</v>
      </c>
      <c r="BF1435" s="325">
        <f>IF(N1435="snížená",J1435,0)</f>
        <v>0</v>
      </c>
      <c r="BG1435" s="325">
        <f>IF(N1435="zákl. přenesená",J1435,0)</f>
        <v>0</v>
      </c>
      <c r="BH1435" s="325">
        <f>IF(N1435="sníž. přenesená",J1435,0)</f>
        <v>0</v>
      </c>
      <c r="BI1435" s="325">
        <f>IF(N1435="nulová",J1435,0)</f>
        <v>0</v>
      </c>
      <c r="BJ1435" s="214" t="s">
        <v>81</v>
      </c>
      <c r="BK1435" s="325">
        <f>ROUND(I1435*H1435,2)</f>
        <v>0</v>
      </c>
      <c r="BL1435" s="214" t="s">
        <v>212</v>
      </c>
      <c r="BM1435" s="324" t="s">
        <v>1030</v>
      </c>
    </row>
    <row r="1436" spans="2:51" s="326" customFormat="1" ht="12">
      <c r="B1436" s="327"/>
      <c r="D1436" s="328" t="s">
        <v>155</v>
      </c>
      <c r="E1436" s="329" t="s">
        <v>1</v>
      </c>
      <c r="F1436" s="330" t="s">
        <v>1031</v>
      </c>
      <c r="H1436" s="329" t="s">
        <v>1</v>
      </c>
      <c r="I1436" s="497"/>
      <c r="L1436" s="331"/>
      <c r="M1436" s="332"/>
      <c r="N1436" s="333"/>
      <c r="O1436" s="333"/>
      <c r="P1436" s="333"/>
      <c r="Q1436" s="333"/>
      <c r="R1436" s="333"/>
      <c r="S1436" s="333"/>
      <c r="T1436" s="334"/>
      <c r="AT1436" s="329" t="s">
        <v>155</v>
      </c>
      <c r="AU1436" s="329" t="s">
        <v>83</v>
      </c>
      <c r="AV1436" s="326" t="s">
        <v>81</v>
      </c>
      <c r="AW1436" s="326" t="s">
        <v>34</v>
      </c>
      <c r="AX1436" s="326" t="s">
        <v>76</v>
      </c>
      <c r="AY1436" s="329" t="s">
        <v>146</v>
      </c>
    </row>
    <row r="1437" spans="1:65" s="225" customFormat="1" ht="24.2" customHeight="1">
      <c r="A1437" s="222"/>
      <c r="B1437" s="223"/>
      <c r="C1437" s="358">
        <v>256</v>
      </c>
      <c r="D1437" s="358" t="s">
        <v>208</v>
      </c>
      <c r="E1437" s="359" t="s">
        <v>1032</v>
      </c>
      <c r="F1437" s="364" t="s">
        <v>1033</v>
      </c>
      <c r="G1437" s="361" t="s">
        <v>301</v>
      </c>
      <c r="H1437" s="362">
        <v>6</v>
      </c>
      <c r="I1437" s="80"/>
      <c r="J1437" s="363">
        <f>ROUND(I1437*H1437,2)</f>
        <v>0</v>
      </c>
      <c r="K1437" s="364"/>
      <c r="L1437" s="365"/>
      <c r="M1437" s="366" t="s">
        <v>1</v>
      </c>
      <c r="N1437" s="367" t="s">
        <v>42</v>
      </c>
      <c r="O1437" s="322">
        <v>0</v>
      </c>
      <c r="P1437" s="322">
        <f>O1437*H1437</f>
        <v>0</v>
      </c>
      <c r="Q1437" s="322">
        <v>0.0014</v>
      </c>
      <c r="R1437" s="322">
        <f>Q1437*H1437</f>
        <v>0.0084</v>
      </c>
      <c r="S1437" s="322">
        <v>0</v>
      </c>
      <c r="T1437" s="323">
        <f>S1437*H1437</f>
        <v>0</v>
      </c>
      <c r="U1437" s="222"/>
      <c r="V1437" s="222"/>
      <c r="W1437" s="222"/>
      <c r="X1437" s="222"/>
      <c r="Y1437" s="222"/>
      <c r="Z1437" s="222"/>
      <c r="AA1437" s="222"/>
      <c r="AB1437" s="222"/>
      <c r="AC1437" s="222"/>
      <c r="AD1437" s="222"/>
      <c r="AE1437" s="222"/>
      <c r="AR1437" s="324" t="s">
        <v>298</v>
      </c>
      <c r="AT1437" s="324" t="s">
        <v>208</v>
      </c>
      <c r="AU1437" s="324" t="s">
        <v>83</v>
      </c>
      <c r="AY1437" s="214" t="s">
        <v>146</v>
      </c>
      <c r="BE1437" s="325">
        <f>IF(N1437="základní",J1437,0)</f>
        <v>0</v>
      </c>
      <c r="BF1437" s="325">
        <f>IF(N1437="snížená",J1437,0)</f>
        <v>0</v>
      </c>
      <c r="BG1437" s="325">
        <f>IF(N1437="zákl. přenesená",J1437,0)</f>
        <v>0</v>
      </c>
      <c r="BH1437" s="325">
        <f>IF(N1437="sníž. přenesená",J1437,0)</f>
        <v>0</v>
      </c>
      <c r="BI1437" s="325">
        <f>IF(N1437="nulová",J1437,0)</f>
        <v>0</v>
      </c>
      <c r="BJ1437" s="214" t="s">
        <v>81</v>
      </c>
      <c r="BK1437" s="325">
        <f>ROUND(I1437*H1437,2)</f>
        <v>0</v>
      </c>
      <c r="BL1437" s="214" t="s">
        <v>212</v>
      </c>
      <c r="BM1437" s="324" t="s">
        <v>1034</v>
      </c>
    </row>
    <row r="1438" spans="1:65" s="225" customFormat="1" ht="24.2" customHeight="1">
      <c r="A1438" s="222"/>
      <c r="B1438" s="223"/>
      <c r="C1438" s="314">
        <v>257</v>
      </c>
      <c r="D1438" s="314" t="s">
        <v>148</v>
      </c>
      <c r="E1438" s="315" t="s">
        <v>1035</v>
      </c>
      <c r="F1438" s="316" t="s">
        <v>2913</v>
      </c>
      <c r="G1438" s="317" t="s">
        <v>194</v>
      </c>
      <c r="H1438" s="318">
        <f>R1400</f>
        <v>2.2512142791380003</v>
      </c>
      <c r="I1438" s="79"/>
      <c r="J1438" s="319">
        <f>ROUND(I1438*H1438,2)</f>
        <v>0</v>
      </c>
      <c r="K1438" s="316"/>
      <c r="L1438" s="229"/>
      <c r="M1438" s="320" t="s">
        <v>1</v>
      </c>
      <c r="N1438" s="321" t="s">
        <v>42</v>
      </c>
      <c r="O1438" s="322">
        <v>0</v>
      </c>
      <c r="P1438" s="322">
        <f>O1438*H1438</f>
        <v>0</v>
      </c>
      <c r="Q1438" s="322"/>
      <c r="R1438" s="322"/>
      <c r="S1438" s="322"/>
      <c r="T1438" s="323"/>
      <c r="U1438" s="222"/>
      <c r="V1438" s="222"/>
      <c r="W1438" s="222"/>
      <c r="X1438" s="222"/>
      <c r="Y1438" s="222"/>
      <c r="Z1438" s="222"/>
      <c r="AA1438" s="222"/>
      <c r="AB1438" s="222"/>
      <c r="AC1438" s="222"/>
      <c r="AD1438" s="222"/>
      <c r="AE1438" s="222"/>
      <c r="AR1438" s="324" t="s">
        <v>212</v>
      </c>
      <c r="AT1438" s="324" t="s">
        <v>148</v>
      </c>
      <c r="AU1438" s="324" t="s">
        <v>83</v>
      </c>
      <c r="AY1438" s="214" t="s">
        <v>146</v>
      </c>
      <c r="BE1438" s="325">
        <f>IF(N1438="základní",J1438,0)</f>
        <v>0</v>
      </c>
      <c r="BF1438" s="325">
        <f>IF(N1438="snížená",J1438,0)</f>
        <v>0</v>
      </c>
      <c r="BG1438" s="325">
        <f>IF(N1438="zákl. přenesená",J1438,0)</f>
        <v>0</v>
      </c>
      <c r="BH1438" s="325">
        <f>IF(N1438="sníž. přenesená",J1438,0)</f>
        <v>0</v>
      </c>
      <c r="BI1438" s="325">
        <f>IF(N1438="nulová",J1438,0)</f>
        <v>0</v>
      </c>
      <c r="BJ1438" s="214" t="s">
        <v>81</v>
      </c>
      <c r="BK1438" s="325">
        <f>ROUND(I1438*H1438,2)</f>
        <v>0</v>
      </c>
      <c r="BL1438" s="214" t="s">
        <v>212</v>
      </c>
      <c r="BM1438" s="324" t="s">
        <v>1036</v>
      </c>
    </row>
    <row r="1439" spans="2:63" s="297" customFormat="1" ht="22.9" customHeight="1">
      <c r="B1439" s="298"/>
      <c r="D1439" s="299" t="s">
        <v>75</v>
      </c>
      <c r="E1439" s="310" t="s">
        <v>1037</v>
      </c>
      <c r="F1439" s="310" t="s">
        <v>1038</v>
      </c>
      <c r="I1439" s="501"/>
      <c r="J1439" s="311">
        <f>SUM(J1440:J1491)</f>
        <v>0</v>
      </c>
      <c r="L1439" s="302"/>
      <c r="M1439" s="303"/>
      <c r="N1439" s="304"/>
      <c r="O1439" s="304"/>
      <c r="P1439" s="305">
        <f>SUM(P1440:P1491)</f>
        <v>1003.3781200000001</v>
      </c>
      <c r="Q1439" s="304"/>
      <c r="R1439" s="305">
        <f>SUM(R1440:R1491)</f>
        <v>4.32141615</v>
      </c>
      <c r="S1439" s="304"/>
      <c r="T1439" s="313">
        <f>SUM(T1440:T1491)</f>
        <v>0.429954</v>
      </c>
      <c r="AR1439" s="299" t="s">
        <v>83</v>
      </c>
      <c r="AT1439" s="308" t="s">
        <v>75</v>
      </c>
      <c r="AU1439" s="308" t="s">
        <v>81</v>
      </c>
      <c r="AY1439" s="299" t="s">
        <v>146</v>
      </c>
      <c r="BK1439" s="309">
        <f>SUM(BK1440:BK1491)</f>
        <v>0</v>
      </c>
    </row>
    <row r="1440" spans="1:65" s="225" customFormat="1" ht="16.5" customHeight="1">
      <c r="A1440" s="222"/>
      <c r="B1440" s="223"/>
      <c r="C1440" s="314">
        <v>258</v>
      </c>
      <c r="D1440" s="314" t="s">
        <v>148</v>
      </c>
      <c r="E1440" s="315" t="s">
        <v>1039</v>
      </c>
      <c r="F1440" s="316" t="s">
        <v>1040</v>
      </c>
      <c r="G1440" s="317" t="s">
        <v>151</v>
      </c>
      <c r="H1440" s="318">
        <f>H1445</f>
        <v>12.8</v>
      </c>
      <c r="I1440" s="79"/>
      <c r="J1440" s="319">
        <f>ROUND(I1440*H1440,2)</f>
        <v>0</v>
      </c>
      <c r="K1440" s="316"/>
      <c r="L1440" s="229"/>
      <c r="M1440" s="320" t="s">
        <v>1</v>
      </c>
      <c r="N1440" s="321" t="s">
        <v>42</v>
      </c>
      <c r="O1440" s="322">
        <v>0.36</v>
      </c>
      <c r="P1440" s="322">
        <f>O1440*H1440</f>
        <v>4.608</v>
      </c>
      <c r="Q1440" s="322">
        <v>0</v>
      </c>
      <c r="R1440" s="322">
        <f>Q1440*H1440</f>
        <v>0</v>
      </c>
      <c r="S1440" s="322">
        <v>0.00594</v>
      </c>
      <c r="T1440" s="422">
        <f>S1440*H1440</f>
        <v>0.076032</v>
      </c>
      <c r="U1440" s="222"/>
      <c r="V1440" s="222"/>
      <c r="W1440" s="222"/>
      <c r="X1440" s="222"/>
      <c r="Y1440" s="222"/>
      <c r="Z1440" s="222"/>
      <c r="AA1440" s="222"/>
      <c r="AB1440" s="222"/>
      <c r="AC1440" s="222"/>
      <c r="AD1440" s="222"/>
      <c r="AE1440" s="222"/>
      <c r="AR1440" s="324" t="s">
        <v>212</v>
      </c>
      <c r="AT1440" s="324" t="s">
        <v>148</v>
      </c>
      <c r="AU1440" s="324" t="s">
        <v>83</v>
      </c>
      <c r="AY1440" s="214" t="s">
        <v>146</v>
      </c>
      <c r="BE1440" s="325">
        <f>IF(N1440="základní",J1440,0)</f>
        <v>0</v>
      </c>
      <c r="BF1440" s="325">
        <f>IF(N1440="snížená",J1440,0)</f>
        <v>0</v>
      </c>
      <c r="BG1440" s="325">
        <f>IF(N1440="zákl. přenesená",J1440,0)</f>
        <v>0</v>
      </c>
      <c r="BH1440" s="325">
        <f>IF(N1440="sníž. přenesená",J1440,0)</f>
        <v>0</v>
      </c>
      <c r="BI1440" s="325">
        <f>IF(N1440="nulová",J1440,0)</f>
        <v>0</v>
      </c>
      <c r="BJ1440" s="214" t="s">
        <v>81</v>
      </c>
      <c r="BK1440" s="325">
        <f>ROUND(I1440*H1440,2)</f>
        <v>0</v>
      </c>
      <c r="BL1440" s="214" t="s">
        <v>212</v>
      </c>
      <c r="BM1440" s="324" t="s">
        <v>1041</v>
      </c>
    </row>
    <row r="1441" spans="2:51" s="326" customFormat="1" ht="12">
      <c r="B1441" s="327"/>
      <c r="D1441" s="328" t="s">
        <v>155</v>
      </c>
      <c r="E1441" s="329" t="s">
        <v>1</v>
      </c>
      <c r="F1441" s="330" t="s">
        <v>653</v>
      </c>
      <c r="H1441" s="329" t="s">
        <v>1</v>
      </c>
      <c r="I1441" s="497"/>
      <c r="L1441" s="331"/>
      <c r="M1441" s="332"/>
      <c r="N1441" s="333"/>
      <c r="O1441" s="333"/>
      <c r="P1441" s="333"/>
      <c r="Q1441" s="333"/>
      <c r="R1441" s="333"/>
      <c r="S1441" s="333"/>
      <c r="T1441" s="334"/>
      <c r="AT1441" s="329" t="s">
        <v>155</v>
      </c>
      <c r="AU1441" s="329" t="s">
        <v>83</v>
      </c>
      <c r="AV1441" s="326" t="s">
        <v>81</v>
      </c>
      <c r="AW1441" s="326" t="s">
        <v>34</v>
      </c>
      <c r="AX1441" s="326" t="s">
        <v>76</v>
      </c>
      <c r="AY1441" s="329" t="s">
        <v>146</v>
      </c>
    </row>
    <row r="1442" spans="2:51" s="335" customFormat="1" ht="12">
      <c r="B1442" s="336"/>
      <c r="D1442" s="328" t="s">
        <v>155</v>
      </c>
      <c r="E1442" s="337" t="s">
        <v>1</v>
      </c>
      <c r="F1442" s="338" t="s">
        <v>1042</v>
      </c>
      <c r="H1442" s="339">
        <v>2.4</v>
      </c>
      <c r="I1442" s="498"/>
      <c r="L1442" s="340"/>
      <c r="M1442" s="341"/>
      <c r="N1442" s="342"/>
      <c r="O1442" s="342"/>
      <c r="P1442" s="342"/>
      <c r="Q1442" s="342"/>
      <c r="R1442" s="342"/>
      <c r="S1442" s="342"/>
      <c r="T1442" s="343"/>
      <c r="AT1442" s="337" t="s">
        <v>155</v>
      </c>
      <c r="AU1442" s="337" t="s">
        <v>83</v>
      </c>
      <c r="AV1442" s="335" t="s">
        <v>83</v>
      </c>
      <c r="AW1442" s="335" t="s">
        <v>34</v>
      </c>
      <c r="AX1442" s="335" t="s">
        <v>81</v>
      </c>
      <c r="AY1442" s="337" t="s">
        <v>146</v>
      </c>
    </row>
    <row r="1443" spans="2:51" s="326" customFormat="1" ht="12">
      <c r="B1443" s="327"/>
      <c r="D1443" s="328" t="s">
        <v>155</v>
      </c>
      <c r="E1443" s="329" t="s">
        <v>1</v>
      </c>
      <c r="F1443" s="330" t="s">
        <v>3029</v>
      </c>
      <c r="H1443" s="329" t="s">
        <v>1</v>
      </c>
      <c r="I1443" s="497"/>
      <c r="L1443" s="331"/>
      <c r="M1443" s="332"/>
      <c r="N1443" s="333"/>
      <c r="O1443" s="333"/>
      <c r="P1443" s="333"/>
      <c r="Q1443" s="333"/>
      <c r="R1443" s="333"/>
      <c r="S1443" s="333"/>
      <c r="T1443" s="334"/>
      <c r="AT1443" s="329" t="s">
        <v>155</v>
      </c>
      <c r="AU1443" s="329" t="s">
        <v>83</v>
      </c>
      <c r="AV1443" s="326" t="s">
        <v>81</v>
      </c>
      <c r="AW1443" s="326" t="s">
        <v>34</v>
      </c>
      <c r="AX1443" s="326" t="s">
        <v>76</v>
      </c>
      <c r="AY1443" s="329" t="s">
        <v>146</v>
      </c>
    </row>
    <row r="1444" spans="2:51" s="335" customFormat="1" ht="12">
      <c r="B1444" s="336"/>
      <c r="D1444" s="328" t="s">
        <v>155</v>
      </c>
      <c r="E1444" s="337" t="s">
        <v>1</v>
      </c>
      <c r="F1444" s="338" t="s">
        <v>3030</v>
      </c>
      <c r="H1444" s="339">
        <f>13*0.8</f>
        <v>10.4</v>
      </c>
      <c r="I1444" s="498"/>
      <c r="L1444" s="340"/>
      <c r="M1444" s="341"/>
      <c r="N1444" s="342"/>
      <c r="O1444" s="342"/>
      <c r="P1444" s="342"/>
      <c r="Q1444" s="342"/>
      <c r="R1444" s="342"/>
      <c r="S1444" s="342"/>
      <c r="T1444" s="343"/>
      <c r="AT1444" s="337" t="s">
        <v>155</v>
      </c>
      <c r="AU1444" s="337" t="s">
        <v>83</v>
      </c>
      <c r="AV1444" s="335" t="s">
        <v>83</v>
      </c>
      <c r="AW1444" s="335" t="s">
        <v>34</v>
      </c>
      <c r="AX1444" s="335" t="s">
        <v>81</v>
      </c>
      <c r="AY1444" s="337" t="s">
        <v>146</v>
      </c>
    </row>
    <row r="1445" spans="2:51" s="347" customFormat="1" ht="12">
      <c r="B1445" s="348"/>
      <c r="D1445" s="328" t="s">
        <v>155</v>
      </c>
      <c r="E1445" s="349" t="s">
        <v>1</v>
      </c>
      <c r="F1445" s="356" t="s">
        <v>157</v>
      </c>
      <c r="H1445" s="351">
        <f>SUM(H1442:H1444)</f>
        <v>12.8</v>
      </c>
      <c r="I1445" s="499"/>
      <c r="L1445" s="352"/>
      <c r="M1445" s="353"/>
      <c r="N1445" s="354"/>
      <c r="O1445" s="354"/>
      <c r="P1445" s="354"/>
      <c r="Q1445" s="354"/>
      <c r="R1445" s="354"/>
      <c r="S1445" s="354"/>
      <c r="T1445" s="355"/>
      <c r="AT1445" s="349" t="s">
        <v>155</v>
      </c>
      <c r="AU1445" s="349" t="s">
        <v>83</v>
      </c>
      <c r="AV1445" s="347" t="s">
        <v>153</v>
      </c>
      <c r="AW1445" s="347" t="s">
        <v>34</v>
      </c>
      <c r="AX1445" s="347" t="s">
        <v>81</v>
      </c>
      <c r="AY1445" s="349" t="s">
        <v>146</v>
      </c>
    </row>
    <row r="1446" spans="1:65" s="225" customFormat="1" ht="16.5" customHeight="1">
      <c r="A1446" s="222"/>
      <c r="B1446" s="223"/>
      <c r="C1446" s="314">
        <v>259</v>
      </c>
      <c r="D1446" s="314" t="s">
        <v>148</v>
      </c>
      <c r="E1446" s="315" t="s">
        <v>1043</v>
      </c>
      <c r="F1446" s="316" t="s">
        <v>1044</v>
      </c>
      <c r="G1446" s="317" t="s">
        <v>158</v>
      </c>
      <c r="H1446" s="318">
        <v>51.6</v>
      </c>
      <c r="I1446" s="79"/>
      <c r="J1446" s="319">
        <f>ROUND(I1446*H1446,2)</f>
        <v>0</v>
      </c>
      <c r="K1446" s="316"/>
      <c r="L1446" s="229"/>
      <c r="M1446" s="320" t="s">
        <v>1</v>
      </c>
      <c r="N1446" s="321" t="s">
        <v>42</v>
      </c>
      <c r="O1446" s="322">
        <v>0.195</v>
      </c>
      <c r="P1446" s="322">
        <f>O1446*H1446</f>
        <v>10.062000000000001</v>
      </c>
      <c r="Q1446" s="322">
        <v>0</v>
      </c>
      <c r="R1446" s="322">
        <f>Q1446*H1446</f>
        <v>0</v>
      </c>
      <c r="S1446" s="322">
        <v>0.00167</v>
      </c>
      <c r="T1446" s="422">
        <f>S1446*H1446</f>
        <v>0.086172</v>
      </c>
      <c r="U1446" s="222"/>
      <c r="V1446" s="222"/>
      <c r="W1446" s="222"/>
      <c r="X1446" s="222"/>
      <c r="Y1446" s="222"/>
      <c r="Z1446" s="222"/>
      <c r="AA1446" s="222"/>
      <c r="AB1446" s="222"/>
      <c r="AC1446" s="222"/>
      <c r="AD1446" s="222"/>
      <c r="AE1446" s="222"/>
      <c r="AR1446" s="324" t="s">
        <v>212</v>
      </c>
      <c r="AT1446" s="324" t="s">
        <v>148</v>
      </c>
      <c r="AU1446" s="324" t="s">
        <v>83</v>
      </c>
      <c r="AY1446" s="214" t="s">
        <v>146</v>
      </c>
      <c r="BE1446" s="325">
        <f>IF(N1446="základní",J1446,0)</f>
        <v>0</v>
      </c>
      <c r="BF1446" s="325">
        <f>IF(N1446="snížená",J1446,0)</f>
        <v>0</v>
      </c>
      <c r="BG1446" s="325">
        <f>IF(N1446="zákl. přenesená",J1446,0)</f>
        <v>0</v>
      </c>
      <c r="BH1446" s="325">
        <f>IF(N1446="sníž. přenesená",J1446,0)</f>
        <v>0</v>
      </c>
      <c r="BI1446" s="325">
        <f>IF(N1446="nulová",J1446,0)</f>
        <v>0</v>
      </c>
      <c r="BJ1446" s="214" t="s">
        <v>81</v>
      </c>
      <c r="BK1446" s="325">
        <f>ROUND(I1446*H1446,2)</f>
        <v>0</v>
      </c>
      <c r="BL1446" s="214" t="s">
        <v>212</v>
      </c>
      <c r="BM1446" s="324" t="s">
        <v>1045</v>
      </c>
    </row>
    <row r="1447" spans="2:51" s="326" customFormat="1" ht="12">
      <c r="B1447" s="327"/>
      <c r="D1447" s="328" t="s">
        <v>155</v>
      </c>
      <c r="E1447" s="329" t="s">
        <v>1</v>
      </c>
      <c r="F1447" s="330" t="s">
        <v>167</v>
      </c>
      <c r="H1447" s="329" t="s">
        <v>1</v>
      </c>
      <c r="I1447" s="497"/>
      <c r="L1447" s="331"/>
      <c r="M1447" s="332"/>
      <c r="N1447" s="333"/>
      <c r="O1447" s="333"/>
      <c r="P1447" s="333"/>
      <c r="Q1447" s="333"/>
      <c r="R1447" s="333"/>
      <c r="S1447" s="333"/>
      <c r="T1447" s="334"/>
      <c r="AT1447" s="329" t="s">
        <v>155</v>
      </c>
      <c r="AU1447" s="329" t="s">
        <v>83</v>
      </c>
      <c r="AV1447" s="326" t="s">
        <v>81</v>
      </c>
      <c r="AW1447" s="326" t="s">
        <v>34</v>
      </c>
      <c r="AX1447" s="326" t="s">
        <v>76</v>
      </c>
      <c r="AY1447" s="329" t="s">
        <v>146</v>
      </c>
    </row>
    <row r="1448" spans="2:51" s="326" customFormat="1" ht="12">
      <c r="B1448" s="327"/>
      <c r="D1448" s="328" t="s">
        <v>155</v>
      </c>
      <c r="E1448" s="329" t="s">
        <v>1</v>
      </c>
      <c r="F1448" s="330" t="s">
        <v>304</v>
      </c>
      <c r="H1448" s="329" t="s">
        <v>1</v>
      </c>
      <c r="I1448" s="497"/>
      <c r="L1448" s="331"/>
      <c r="M1448" s="332"/>
      <c r="N1448" s="333"/>
      <c r="O1448" s="333"/>
      <c r="P1448" s="333"/>
      <c r="Q1448" s="333"/>
      <c r="R1448" s="333"/>
      <c r="S1448" s="333"/>
      <c r="T1448" s="334"/>
      <c r="AT1448" s="329" t="s">
        <v>155</v>
      </c>
      <c r="AU1448" s="329" t="s">
        <v>83</v>
      </c>
      <c r="AV1448" s="326" t="s">
        <v>81</v>
      </c>
      <c r="AW1448" s="326" t="s">
        <v>34</v>
      </c>
      <c r="AX1448" s="326" t="s">
        <v>76</v>
      </c>
      <c r="AY1448" s="329" t="s">
        <v>146</v>
      </c>
    </row>
    <row r="1449" spans="2:51" s="335" customFormat="1" ht="12">
      <c r="B1449" s="336"/>
      <c r="D1449" s="328" t="s">
        <v>155</v>
      </c>
      <c r="E1449" s="337" t="s">
        <v>1</v>
      </c>
      <c r="F1449" s="338" t="s">
        <v>1046</v>
      </c>
      <c r="H1449" s="339">
        <v>15.3</v>
      </c>
      <c r="I1449" s="498"/>
      <c r="L1449" s="340"/>
      <c r="M1449" s="341"/>
      <c r="N1449" s="342"/>
      <c r="O1449" s="342"/>
      <c r="P1449" s="342"/>
      <c r="Q1449" s="342"/>
      <c r="R1449" s="342"/>
      <c r="S1449" s="342"/>
      <c r="T1449" s="343"/>
      <c r="AT1449" s="337" t="s">
        <v>155</v>
      </c>
      <c r="AU1449" s="337" t="s">
        <v>83</v>
      </c>
      <c r="AV1449" s="335" t="s">
        <v>83</v>
      </c>
      <c r="AW1449" s="335" t="s">
        <v>34</v>
      </c>
      <c r="AX1449" s="335" t="s">
        <v>76</v>
      </c>
      <c r="AY1449" s="337" t="s">
        <v>146</v>
      </c>
    </row>
    <row r="1450" spans="2:51" s="326" customFormat="1" ht="12">
      <c r="B1450" s="327"/>
      <c r="D1450" s="328" t="s">
        <v>155</v>
      </c>
      <c r="E1450" s="329" t="s">
        <v>1</v>
      </c>
      <c r="F1450" s="330" t="s">
        <v>309</v>
      </c>
      <c r="H1450" s="329" t="s">
        <v>1</v>
      </c>
      <c r="I1450" s="497"/>
      <c r="L1450" s="331"/>
      <c r="M1450" s="332"/>
      <c r="N1450" s="333"/>
      <c r="O1450" s="333"/>
      <c r="P1450" s="333"/>
      <c r="Q1450" s="333"/>
      <c r="R1450" s="333"/>
      <c r="S1450" s="333"/>
      <c r="T1450" s="334"/>
      <c r="AT1450" s="329" t="s">
        <v>155</v>
      </c>
      <c r="AU1450" s="329" t="s">
        <v>83</v>
      </c>
      <c r="AV1450" s="326" t="s">
        <v>81</v>
      </c>
      <c r="AW1450" s="326" t="s">
        <v>34</v>
      </c>
      <c r="AX1450" s="326" t="s">
        <v>76</v>
      </c>
      <c r="AY1450" s="329" t="s">
        <v>146</v>
      </c>
    </row>
    <row r="1451" spans="2:51" s="335" customFormat="1" ht="12">
      <c r="B1451" s="336"/>
      <c r="D1451" s="328" t="s">
        <v>155</v>
      </c>
      <c r="E1451" s="337" t="s">
        <v>1</v>
      </c>
      <c r="F1451" s="338" t="s">
        <v>1047</v>
      </c>
      <c r="H1451" s="339">
        <v>24.3</v>
      </c>
      <c r="I1451" s="498"/>
      <c r="L1451" s="340"/>
      <c r="M1451" s="341"/>
      <c r="N1451" s="342"/>
      <c r="O1451" s="342"/>
      <c r="P1451" s="342"/>
      <c r="Q1451" s="342"/>
      <c r="R1451" s="342"/>
      <c r="S1451" s="342"/>
      <c r="T1451" s="343"/>
      <c r="AT1451" s="337" t="s">
        <v>155</v>
      </c>
      <c r="AU1451" s="337" t="s">
        <v>83</v>
      </c>
      <c r="AV1451" s="335" t="s">
        <v>83</v>
      </c>
      <c r="AW1451" s="335" t="s">
        <v>34</v>
      </c>
      <c r="AX1451" s="335" t="s">
        <v>76</v>
      </c>
      <c r="AY1451" s="337" t="s">
        <v>146</v>
      </c>
    </row>
    <row r="1452" spans="2:51" s="326" customFormat="1" ht="12">
      <c r="B1452" s="327"/>
      <c r="D1452" s="328" t="s">
        <v>155</v>
      </c>
      <c r="E1452" s="329" t="s">
        <v>1</v>
      </c>
      <c r="F1452" s="330" t="s">
        <v>164</v>
      </c>
      <c r="H1452" s="329" t="s">
        <v>1</v>
      </c>
      <c r="I1452" s="497"/>
      <c r="L1452" s="331"/>
      <c r="M1452" s="332"/>
      <c r="N1452" s="333"/>
      <c r="O1452" s="333"/>
      <c r="P1452" s="333"/>
      <c r="Q1452" s="333"/>
      <c r="R1452" s="333"/>
      <c r="S1452" s="333"/>
      <c r="T1452" s="334"/>
      <c r="AT1452" s="329" t="s">
        <v>155</v>
      </c>
      <c r="AU1452" s="329" t="s">
        <v>83</v>
      </c>
      <c r="AV1452" s="326" t="s">
        <v>81</v>
      </c>
      <c r="AW1452" s="326" t="s">
        <v>34</v>
      </c>
      <c r="AX1452" s="326" t="s">
        <v>76</v>
      </c>
      <c r="AY1452" s="329" t="s">
        <v>146</v>
      </c>
    </row>
    <row r="1453" spans="2:51" s="326" customFormat="1" ht="12">
      <c r="B1453" s="327"/>
      <c r="D1453" s="328" t="s">
        <v>155</v>
      </c>
      <c r="E1453" s="329" t="s">
        <v>1</v>
      </c>
      <c r="F1453" s="330" t="s">
        <v>548</v>
      </c>
      <c r="H1453" s="329" t="s">
        <v>1</v>
      </c>
      <c r="I1453" s="497"/>
      <c r="L1453" s="331"/>
      <c r="M1453" s="332"/>
      <c r="N1453" s="333"/>
      <c r="O1453" s="333"/>
      <c r="P1453" s="333"/>
      <c r="Q1453" s="333"/>
      <c r="R1453" s="333"/>
      <c r="S1453" s="333"/>
      <c r="T1453" s="334"/>
      <c r="AT1453" s="329" t="s">
        <v>155</v>
      </c>
      <c r="AU1453" s="329" t="s">
        <v>83</v>
      </c>
      <c r="AV1453" s="326" t="s">
        <v>81</v>
      </c>
      <c r="AW1453" s="326" t="s">
        <v>34</v>
      </c>
      <c r="AX1453" s="326" t="s">
        <v>76</v>
      </c>
      <c r="AY1453" s="329" t="s">
        <v>146</v>
      </c>
    </row>
    <row r="1454" spans="2:51" s="335" customFormat="1" ht="12">
      <c r="B1454" s="336"/>
      <c r="D1454" s="328" t="s">
        <v>155</v>
      </c>
      <c r="E1454" s="337" t="s">
        <v>1</v>
      </c>
      <c r="F1454" s="338" t="s">
        <v>1048</v>
      </c>
      <c r="H1454" s="339">
        <v>12</v>
      </c>
      <c r="I1454" s="498"/>
      <c r="L1454" s="340"/>
      <c r="M1454" s="341"/>
      <c r="N1454" s="342"/>
      <c r="O1454" s="342"/>
      <c r="P1454" s="342"/>
      <c r="Q1454" s="342"/>
      <c r="R1454" s="342"/>
      <c r="S1454" s="342"/>
      <c r="T1454" s="343"/>
      <c r="AT1454" s="337" t="s">
        <v>155</v>
      </c>
      <c r="AU1454" s="337" t="s">
        <v>83</v>
      </c>
      <c r="AV1454" s="335" t="s">
        <v>83</v>
      </c>
      <c r="AW1454" s="335" t="s">
        <v>34</v>
      </c>
      <c r="AX1454" s="335" t="s">
        <v>76</v>
      </c>
      <c r="AY1454" s="337" t="s">
        <v>146</v>
      </c>
    </row>
    <row r="1455" spans="2:51" s="347" customFormat="1" ht="12">
      <c r="B1455" s="348"/>
      <c r="D1455" s="328" t="s">
        <v>155</v>
      </c>
      <c r="E1455" s="349" t="s">
        <v>1</v>
      </c>
      <c r="F1455" s="356" t="s">
        <v>157</v>
      </c>
      <c r="H1455" s="351">
        <v>51.6</v>
      </c>
      <c r="I1455" s="499"/>
      <c r="L1455" s="352"/>
      <c r="M1455" s="353"/>
      <c r="N1455" s="354"/>
      <c r="O1455" s="354"/>
      <c r="P1455" s="354"/>
      <c r="Q1455" s="354"/>
      <c r="R1455" s="354"/>
      <c r="S1455" s="354"/>
      <c r="T1455" s="355"/>
      <c r="AT1455" s="349" t="s">
        <v>155</v>
      </c>
      <c r="AU1455" s="349" t="s">
        <v>83</v>
      </c>
      <c r="AV1455" s="347" t="s">
        <v>153</v>
      </c>
      <c r="AW1455" s="347" t="s">
        <v>34</v>
      </c>
      <c r="AX1455" s="347" t="s">
        <v>81</v>
      </c>
      <c r="AY1455" s="349" t="s">
        <v>146</v>
      </c>
    </row>
    <row r="1456" spans="1:65" s="225" customFormat="1" ht="16.5" customHeight="1">
      <c r="A1456" s="222"/>
      <c r="B1456" s="223"/>
      <c r="C1456" s="314">
        <v>260</v>
      </c>
      <c r="D1456" s="314" t="s">
        <v>148</v>
      </c>
      <c r="E1456" s="315" t="s">
        <v>1049</v>
      </c>
      <c r="F1456" s="316" t="s">
        <v>1050</v>
      </c>
      <c r="G1456" s="317" t="s">
        <v>158</v>
      </c>
      <c r="H1456" s="318">
        <f>H1462</f>
        <v>153</v>
      </c>
      <c r="I1456" s="79"/>
      <c r="J1456" s="319">
        <f>ROUND(I1456*H1456,2)</f>
        <v>0</v>
      </c>
      <c r="K1456" s="316"/>
      <c r="L1456" s="229"/>
      <c r="M1456" s="320" t="s">
        <v>1</v>
      </c>
      <c r="N1456" s="321" t="s">
        <v>42</v>
      </c>
      <c r="O1456" s="322">
        <v>0.179</v>
      </c>
      <c r="P1456" s="322">
        <f>O1456*H1456</f>
        <v>27.387</v>
      </c>
      <c r="Q1456" s="322">
        <v>0</v>
      </c>
      <c r="R1456" s="322">
        <f>Q1456*H1456</f>
        <v>0</v>
      </c>
      <c r="S1456" s="322">
        <v>0.00175</v>
      </c>
      <c r="T1456" s="422">
        <f>S1456*H1456</f>
        <v>0.26775</v>
      </c>
      <c r="U1456" s="222"/>
      <c r="V1456" s="222"/>
      <c r="W1456" s="222"/>
      <c r="X1456" s="222"/>
      <c r="Y1456" s="222"/>
      <c r="Z1456" s="222"/>
      <c r="AA1456" s="222"/>
      <c r="AB1456" s="222"/>
      <c r="AC1456" s="222"/>
      <c r="AD1456" s="222"/>
      <c r="AE1456" s="222"/>
      <c r="AR1456" s="324" t="s">
        <v>212</v>
      </c>
      <c r="AT1456" s="324" t="s">
        <v>148</v>
      </c>
      <c r="AU1456" s="324" t="s">
        <v>83</v>
      </c>
      <c r="AY1456" s="214" t="s">
        <v>146</v>
      </c>
      <c r="BE1456" s="325">
        <f>IF(N1456="základní",J1456,0)</f>
        <v>0</v>
      </c>
      <c r="BF1456" s="325">
        <f>IF(N1456="snížená",J1456,0)</f>
        <v>0</v>
      </c>
      <c r="BG1456" s="325">
        <f>IF(N1456="zákl. přenesená",J1456,0)</f>
        <v>0</v>
      </c>
      <c r="BH1456" s="325">
        <f>IF(N1456="sníž. přenesená",J1456,0)</f>
        <v>0</v>
      </c>
      <c r="BI1456" s="325">
        <f>IF(N1456="nulová",J1456,0)</f>
        <v>0</v>
      </c>
      <c r="BJ1456" s="214" t="s">
        <v>81</v>
      </c>
      <c r="BK1456" s="325">
        <f>ROUND(I1456*H1456,2)</f>
        <v>0</v>
      </c>
      <c r="BL1456" s="214" t="s">
        <v>212</v>
      </c>
      <c r="BM1456" s="324" t="s">
        <v>1051</v>
      </c>
    </row>
    <row r="1457" spans="2:51" s="326" customFormat="1" ht="12">
      <c r="B1457" s="327"/>
      <c r="D1457" s="328" t="s">
        <v>155</v>
      </c>
      <c r="E1457" s="329" t="s">
        <v>1</v>
      </c>
      <c r="F1457" s="330" t="s">
        <v>1052</v>
      </c>
      <c r="H1457" s="329" t="s">
        <v>1</v>
      </c>
      <c r="I1457" s="497"/>
      <c r="L1457" s="331"/>
      <c r="M1457" s="332"/>
      <c r="N1457" s="333"/>
      <c r="O1457" s="333"/>
      <c r="P1457" s="333"/>
      <c r="Q1457" s="333"/>
      <c r="R1457" s="333"/>
      <c r="S1457" s="333"/>
      <c r="T1457" s="334"/>
      <c r="AT1457" s="329" t="s">
        <v>155</v>
      </c>
      <c r="AU1457" s="329" t="s">
        <v>83</v>
      </c>
      <c r="AV1457" s="326" t="s">
        <v>81</v>
      </c>
      <c r="AW1457" s="326" t="s">
        <v>34</v>
      </c>
      <c r="AX1457" s="326" t="s">
        <v>76</v>
      </c>
      <c r="AY1457" s="329" t="s">
        <v>146</v>
      </c>
    </row>
    <row r="1458" spans="2:51" s="326" customFormat="1" ht="12">
      <c r="B1458" s="327"/>
      <c r="D1458" s="328" t="s">
        <v>155</v>
      </c>
      <c r="E1458" s="329" t="s">
        <v>1</v>
      </c>
      <c r="F1458" s="330" t="s">
        <v>167</v>
      </c>
      <c r="H1458" s="329" t="s">
        <v>1</v>
      </c>
      <c r="I1458" s="497"/>
      <c r="L1458" s="331"/>
      <c r="M1458" s="332"/>
      <c r="N1458" s="333"/>
      <c r="O1458" s="333"/>
      <c r="P1458" s="333"/>
      <c r="Q1458" s="333"/>
      <c r="R1458" s="333"/>
      <c r="S1458" s="333"/>
      <c r="T1458" s="334"/>
      <c r="AT1458" s="329" t="s">
        <v>155</v>
      </c>
      <c r="AU1458" s="329" t="s">
        <v>83</v>
      </c>
      <c r="AV1458" s="326" t="s">
        <v>81</v>
      </c>
      <c r="AW1458" s="326" t="s">
        <v>34</v>
      </c>
      <c r="AX1458" s="326" t="s">
        <v>76</v>
      </c>
      <c r="AY1458" s="329" t="s">
        <v>146</v>
      </c>
    </row>
    <row r="1459" spans="2:51" s="335" customFormat="1" ht="12">
      <c r="B1459" s="336"/>
      <c r="D1459" s="328" t="s">
        <v>155</v>
      </c>
      <c r="E1459" s="337" t="s">
        <v>1</v>
      </c>
      <c r="F1459" s="338" t="s">
        <v>2856</v>
      </c>
      <c r="H1459" s="339">
        <f>(22.975+13.125)*2</f>
        <v>72.2</v>
      </c>
      <c r="I1459" s="498"/>
      <c r="L1459" s="340"/>
      <c r="M1459" s="341"/>
      <c r="N1459" s="342"/>
      <c r="O1459" s="342"/>
      <c r="P1459" s="342"/>
      <c r="Q1459" s="342"/>
      <c r="R1459" s="342"/>
      <c r="S1459" s="342"/>
      <c r="T1459" s="343"/>
      <c r="AT1459" s="337" t="s">
        <v>155</v>
      </c>
      <c r="AU1459" s="337" t="s">
        <v>83</v>
      </c>
      <c r="AV1459" s="335" t="s">
        <v>83</v>
      </c>
      <c r="AW1459" s="335" t="s">
        <v>34</v>
      </c>
      <c r="AX1459" s="335" t="s">
        <v>76</v>
      </c>
      <c r="AY1459" s="337" t="s">
        <v>146</v>
      </c>
    </row>
    <row r="1460" spans="2:51" s="326" customFormat="1" ht="12">
      <c r="B1460" s="327"/>
      <c r="D1460" s="328" t="s">
        <v>155</v>
      </c>
      <c r="E1460" s="329" t="s">
        <v>1</v>
      </c>
      <c r="F1460" s="330" t="s">
        <v>164</v>
      </c>
      <c r="H1460" s="329" t="s">
        <v>1</v>
      </c>
      <c r="I1460" s="497"/>
      <c r="L1460" s="331"/>
      <c r="M1460" s="332"/>
      <c r="N1460" s="333"/>
      <c r="O1460" s="333"/>
      <c r="P1460" s="333"/>
      <c r="Q1460" s="333"/>
      <c r="R1460" s="333"/>
      <c r="S1460" s="333"/>
      <c r="T1460" s="334"/>
      <c r="AT1460" s="329" t="s">
        <v>155</v>
      </c>
      <c r="AU1460" s="329" t="s">
        <v>83</v>
      </c>
      <c r="AV1460" s="326" t="s">
        <v>81</v>
      </c>
      <c r="AW1460" s="326" t="s">
        <v>34</v>
      </c>
      <c r="AX1460" s="326" t="s">
        <v>76</v>
      </c>
      <c r="AY1460" s="329" t="s">
        <v>146</v>
      </c>
    </row>
    <row r="1461" spans="2:51" s="335" customFormat="1" ht="12">
      <c r="B1461" s="336"/>
      <c r="D1461" s="328" t="s">
        <v>155</v>
      </c>
      <c r="E1461" s="337" t="s">
        <v>1</v>
      </c>
      <c r="F1461" s="338" t="s">
        <v>2857</v>
      </c>
      <c r="H1461" s="339">
        <f>(13+27.4)*2</f>
        <v>80.8</v>
      </c>
      <c r="I1461" s="498"/>
      <c r="L1461" s="340"/>
      <c r="M1461" s="341"/>
      <c r="N1461" s="342"/>
      <c r="O1461" s="342"/>
      <c r="P1461" s="342"/>
      <c r="Q1461" s="342"/>
      <c r="R1461" s="342"/>
      <c r="S1461" s="342"/>
      <c r="T1461" s="343"/>
      <c r="AT1461" s="337" t="s">
        <v>155</v>
      </c>
      <c r="AU1461" s="337" t="s">
        <v>83</v>
      </c>
      <c r="AV1461" s="335" t="s">
        <v>83</v>
      </c>
      <c r="AW1461" s="335" t="s">
        <v>34</v>
      </c>
      <c r="AX1461" s="335" t="s">
        <v>76</v>
      </c>
      <c r="AY1461" s="337" t="s">
        <v>146</v>
      </c>
    </row>
    <row r="1462" spans="2:51" s="347" customFormat="1" ht="12">
      <c r="B1462" s="348"/>
      <c r="D1462" s="328" t="s">
        <v>155</v>
      </c>
      <c r="E1462" s="349" t="s">
        <v>1</v>
      </c>
      <c r="F1462" s="356" t="s">
        <v>157</v>
      </c>
      <c r="H1462" s="351">
        <f>SUM(H1459:H1461)</f>
        <v>153</v>
      </c>
      <c r="I1462" s="499"/>
      <c r="L1462" s="352"/>
      <c r="M1462" s="353"/>
      <c r="N1462" s="354"/>
      <c r="O1462" s="354"/>
      <c r="P1462" s="354"/>
      <c r="Q1462" s="354"/>
      <c r="R1462" s="354"/>
      <c r="S1462" s="354"/>
      <c r="T1462" s="355"/>
      <c r="AT1462" s="349" t="s">
        <v>155</v>
      </c>
      <c r="AU1462" s="349" t="s">
        <v>83</v>
      </c>
      <c r="AV1462" s="347" t="s">
        <v>153</v>
      </c>
      <c r="AW1462" s="347" t="s">
        <v>34</v>
      </c>
      <c r="AX1462" s="347" t="s">
        <v>81</v>
      </c>
      <c r="AY1462" s="349" t="s">
        <v>146</v>
      </c>
    </row>
    <row r="1463" spans="1:65" s="225" customFormat="1" ht="37.9" customHeight="1">
      <c r="A1463" s="222"/>
      <c r="B1463" s="223"/>
      <c r="C1463" s="314">
        <v>261</v>
      </c>
      <c r="D1463" s="314" t="s">
        <v>148</v>
      </c>
      <c r="E1463" s="315" t="s">
        <v>1053</v>
      </c>
      <c r="F1463" s="316" t="s">
        <v>3310</v>
      </c>
      <c r="G1463" s="317" t="s">
        <v>151</v>
      </c>
      <c r="H1463" s="318">
        <f>H1465</f>
        <v>786.94</v>
      </c>
      <c r="I1463" s="79"/>
      <c r="J1463" s="319">
        <f>ROUND(I1463*H1463,2)</f>
        <v>0</v>
      </c>
      <c r="K1463" s="316"/>
      <c r="L1463" s="229"/>
      <c r="M1463" s="320" t="s">
        <v>1</v>
      </c>
      <c r="N1463" s="321" t="s">
        <v>42</v>
      </c>
      <c r="O1463" s="322">
        <v>0.959</v>
      </c>
      <c r="P1463" s="322">
        <f>O1463*H1463</f>
        <v>754.67546</v>
      </c>
      <c r="Q1463" s="322">
        <v>0</v>
      </c>
      <c r="R1463" s="322">
        <f>Q1463*H1463</f>
        <v>0</v>
      </c>
      <c r="S1463" s="322">
        <v>0</v>
      </c>
      <c r="T1463" s="323">
        <f>S1463*H1463</f>
        <v>0</v>
      </c>
      <c r="U1463" s="222"/>
      <c r="V1463" s="222"/>
      <c r="W1463" s="222"/>
      <c r="X1463" s="222"/>
      <c r="Y1463" s="222"/>
      <c r="Z1463" s="222"/>
      <c r="AA1463" s="222"/>
      <c r="AB1463" s="222"/>
      <c r="AC1463" s="222"/>
      <c r="AD1463" s="222"/>
      <c r="AE1463" s="222"/>
      <c r="AR1463" s="324" t="s">
        <v>212</v>
      </c>
      <c r="AT1463" s="324" t="s">
        <v>148</v>
      </c>
      <c r="AU1463" s="324" t="s">
        <v>83</v>
      </c>
      <c r="AY1463" s="214" t="s">
        <v>146</v>
      </c>
      <c r="BE1463" s="325">
        <f>IF(N1463="základní",J1463,0)</f>
        <v>0</v>
      </c>
      <c r="BF1463" s="325">
        <f>IF(N1463="snížená",J1463,0)</f>
        <v>0</v>
      </c>
      <c r="BG1463" s="325">
        <f>IF(N1463="zákl. přenesená",J1463,0)</f>
        <v>0</v>
      </c>
      <c r="BH1463" s="325">
        <f>IF(N1463="sníž. přenesená",J1463,0)</f>
        <v>0</v>
      </c>
      <c r="BI1463" s="325">
        <f>IF(N1463="nulová",J1463,0)</f>
        <v>0</v>
      </c>
      <c r="BJ1463" s="214" t="s">
        <v>81</v>
      </c>
      <c r="BK1463" s="325">
        <f>ROUND(I1463*H1463,2)</f>
        <v>0</v>
      </c>
      <c r="BL1463" s="214" t="s">
        <v>212</v>
      </c>
      <c r="BM1463" s="324" t="s">
        <v>1054</v>
      </c>
    </row>
    <row r="1464" spans="2:51" s="326" customFormat="1" ht="12">
      <c r="B1464" s="327"/>
      <c r="D1464" s="328" t="s">
        <v>155</v>
      </c>
      <c r="E1464" s="329" t="s">
        <v>1</v>
      </c>
      <c r="F1464" s="330" t="s">
        <v>932</v>
      </c>
      <c r="H1464" s="329" t="s">
        <v>1</v>
      </c>
      <c r="I1464" s="497"/>
      <c r="L1464" s="331"/>
      <c r="M1464" s="332"/>
      <c r="N1464" s="333"/>
      <c r="O1464" s="333"/>
      <c r="P1464" s="333"/>
      <c r="Q1464" s="333"/>
      <c r="R1464" s="333"/>
      <c r="S1464" s="333"/>
      <c r="T1464" s="334"/>
      <c r="AT1464" s="329" t="s">
        <v>155</v>
      </c>
      <c r="AU1464" s="329" t="s">
        <v>83</v>
      </c>
      <c r="AV1464" s="326" t="s">
        <v>81</v>
      </c>
      <c r="AW1464" s="326" t="s">
        <v>34</v>
      </c>
      <c r="AX1464" s="326" t="s">
        <v>76</v>
      </c>
      <c r="AY1464" s="329" t="s">
        <v>146</v>
      </c>
    </row>
    <row r="1465" spans="2:51" s="464" customFormat="1" ht="12">
      <c r="B1465" s="465"/>
      <c r="D1465" s="466" t="s">
        <v>155</v>
      </c>
      <c r="E1465" s="467" t="s">
        <v>1</v>
      </c>
      <c r="F1465" s="468" t="s">
        <v>2858</v>
      </c>
      <c r="H1465" s="469">
        <v>786.94</v>
      </c>
      <c r="I1465" s="507"/>
      <c r="L1465" s="470"/>
      <c r="M1465" s="471"/>
      <c r="N1465" s="472"/>
      <c r="O1465" s="472"/>
      <c r="P1465" s="472"/>
      <c r="Q1465" s="472"/>
      <c r="R1465" s="472"/>
      <c r="S1465" s="472"/>
      <c r="T1465" s="473"/>
      <c r="AT1465" s="467" t="s">
        <v>155</v>
      </c>
      <c r="AU1465" s="467" t="s">
        <v>83</v>
      </c>
      <c r="AV1465" s="464" t="s">
        <v>81</v>
      </c>
      <c r="AW1465" s="464" t="s">
        <v>34</v>
      </c>
      <c r="AX1465" s="464" t="s">
        <v>76</v>
      </c>
      <c r="AY1465" s="467" t="s">
        <v>146</v>
      </c>
    </row>
    <row r="1466" spans="1:65" s="225" customFormat="1" ht="72" customHeight="1">
      <c r="A1466" s="222"/>
      <c r="B1466" s="223"/>
      <c r="C1466" s="358">
        <v>262</v>
      </c>
      <c r="D1466" s="358" t="s">
        <v>208</v>
      </c>
      <c r="E1466" s="359"/>
      <c r="F1466" s="364" t="s">
        <v>2859</v>
      </c>
      <c r="G1466" s="361" t="s">
        <v>151</v>
      </c>
      <c r="H1466" s="362">
        <f>H1463</f>
        <v>786.94</v>
      </c>
      <c r="I1466" s="80"/>
      <c r="J1466" s="363">
        <f>ROUND(I1466*H1466,2)</f>
        <v>0</v>
      </c>
      <c r="K1466" s="364"/>
      <c r="L1466" s="229"/>
      <c r="M1466" s="366" t="s">
        <v>1</v>
      </c>
      <c r="N1466" s="367" t="s">
        <v>42</v>
      </c>
      <c r="O1466" s="322">
        <v>0</v>
      </c>
      <c r="P1466" s="322">
        <f>O1466*H1466</f>
        <v>0</v>
      </c>
      <c r="Q1466" s="322">
        <v>0.005</v>
      </c>
      <c r="R1466" s="322">
        <f>Q1466*H1466</f>
        <v>3.9347000000000003</v>
      </c>
      <c r="S1466" s="322">
        <v>0</v>
      </c>
      <c r="T1466" s="323">
        <f>S1466*H1466</f>
        <v>0</v>
      </c>
      <c r="U1466" s="222"/>
      <c r="V1466" s="222"/>
      <c r="W1466" s="222"/>
      <c r="X1466" s="222"/>
      <c r="Y1466" s="222"/>
      <c r="Z1466" s="222"/>
      <c r="AA1466" s="222"/>
      <c r="AB1466" s="222"/>
      <c r="AC1466" s="222"/>
      <c r="AD1466" s="222"/>
      <c r="AE1466" s="222"/>
      <c r="AR1466" s="324" t="s">
        <v>298</v>
      </c>
      <c r="AT1466" s="324" t="s">
        <v>208</v>
      </c>
      <c r="AU1466" s="324" t="s">
        <v>83</v>
      </c>
      <c r="AY1466" s="214" t="s">
        <v>146</v>
      </c>
      <c r="BE1466" s="325">
        <f>IF(N1466="základní",J1466,0)</f>
        <v>0</v>
      </c>
      <c r="BF1466" s="325">
        <f>IF(N1466="snížená",J1466,0)</f>
        <v>0</v>
      </c>
      <c r="BG1466" s="325">
        <f>IF(N1466="zákl. přenesená",J1466,0)</f>
        <v>0</v>
      </c>
      <c r="BH1466" s="325">
        <f>IF(N1466="sníž. přenesená",J1466,0)</f>
        <v>0</v>
      </c>
      <c r="BI1466" s="325">
        <f>IF(N1466="nulová",J1466,0)</f>
        <v>0</v>
      </c>
      <c r="BJ1466" s="214" t="s">
        <v>81</v>
      </c>
      <c r="BK1466" s="325">
        <f>ROUND(I1466*H1466,2)</f>
        <v>0</v>
      </c>
      <c r="BL1466" s="214" t="s">
        <v>212</v>
      </c>
      <c r="BM1466" s="324" t="s">
        <v>1055</v>
      </c>
    </row>
    <row r="1467" spans="2:51" s="335" customFormat="1" ht="12">
      <c r="B1467" s="336"/>
      <c r="D1467" s="328"/>
      <c r="F1467" s="338"/>
      <c r="H1467" s="339"/>
      <c r="I1467" s="498"/>
      <c r="L1467" s="340"/>
      <c r="M1467" s="341"/>
      <c r="N1467" s="342"/>
      <c r="O1467" s="342"/>
      <c r="P1467" s="342"/>
      <c r="Q1467" s="342"/>
      <c r="R1467" s="342"/>
      <c r="S1467" s="342"/>
      <c r="T1467" s="343"/>
      <c r="AT1467" s="337"/>
      <c r="AU1467" s="337"/>
      <c r="AY1467" s="337"/>
    </row>
    <row r="1468" spans="1:65" s="225" customFormat="1" ht="37.9" customHeight="1">
      <c r="A1468" s="222"/>
      <c r="B1468" s="223"/>
      <c r="C1468" s="314">
        <v>263</v>
      </c>
      <c r="D1468" s="314" t="s">
        <v>148</v>
      </c>
      <c r="E1468" s="315"/>
      <c r="F1468" s="316" t="s">
        <v>3311</v>
      </c>
      <c r="G1468" s="317" t="s">
        <v>158</v>
      </c>
      <c r="H1468" s="318">
        <f>H1469</f>
        <v>93.08000000000001</v>
      </c>
      <c r="I1468" s="79"/>
      <c r="J1468" s="319">
        <f>ROUND(I1468*H1468,2)</f>
        <v>0</v>
      </c>
      <c r="K1468" s="316"/>
      <c r="L1468" s="229"/>
      <c r="M1468" s="320" t="s">
        <v>1</v>
      </c>
      <c r="N1468" s="321" t="s">
        <v>42</v>
      </c>
      <c r="O1468" s="322">
        <v>0.959</v>
      </c>
      <c r="P1468" s="322">
        <f>O1468*H1468</f>
        <v>89.26372</v>
      </c>
      <c r="Q1468" s="322">
        <v>0.0005</v>
      </c>
      <c r="R1468" s="322">
        <f>Q1468*H1468</f>
        <v>0.046540000000000005</v>
      </c>
      <c r="S1468" s="322">
        <v>0</v>
      </c>
      <c r="T1468" s="323">
        <f>S1468*H1468</f>
        <v>0</v>
      </c>
      <c r="U1468" s="222"/>
      <c r="V1468" s="222"/>
      <c r="W1468" s="222"/>
      <c r="X1468" s="222"/>
      <c r="Y1468" s="222"/>
      <c r="Z1468" s="222"/>
      <c r="AA1468" s="222"/>
      <c r="AB1468" s="222"/>
      <c r="AC1468" s="222"/>
      <c r="AD1468" s="222"/>
      <c r="AE1468" s="222"/>
      <c r="AR1468" s="324" t="s">
        <v>212</v>
      </c>
      <c r="AT1468" s="324" t="s">
        <v>148</v>
      </c>
      <c r="AU1468" s="324" t="s">
        <v>83</v>
      </c>
      <c r="AY1468" s="214" t="s">
        <v>146</v>
      </c>
      <c r="BE1468" s="325">
        <f>IF(N1468="základní",J1468,0)</f>
        <v>0</v>
      </c>
      <c r="BF1468" s="325">
        <f>IF(N1468="snížená",J1468,0)</f>
        <v>0</v>
      </c>
      <c r="BG1468" s="325">
        <f>IF(N1468="zákl. přenesená",J1468,0)</f>
        <v>0</v>
      </c>
      <c r="BH1468" s="325">
        <f>IF(N1468="sníž. přenesená",J1468,0)</f>
        <v>0</v>
      </c>
      <c r="BI1468" s="325">
        <f>IF(N1468="nulová",J1468,0)</f>
        <v>0</v>
      </c>
      <c r="BJ1468" s="214" t="s">
        <v>81</v>
      </c>
      <c r="BK1468" s="325">
        <f>ROUND(I1468*H1468,2)</f>
        <v>0</v>
      </c>
      <c r="BL1468" s="214" t="s">
        <v>212</v>
      </c>
      <c r="BM1468" s="324" t="s">
        <v>1054</v>
      </c>
    </row>
    <row r="1469" spans="2:51" s="335" customFormat="1" ht="12">
      <c r="B1469" s="336"/>
      <c r="D1469" s="328"/>
      <c r="F1469" s="338" t="s">
        <v>2860</v>
      </c>
      <c r="H1469" s="339">
        <f>24.6*2+29.06+14.82</f>
        <v>93.08000000000001</v>
      </c>
      <c r="I1469" s="498"/>
      <c r="L1469" s="340"/>
      <c r="M1469" s="341"/>
      <c r="N1469" s="342"/>
      <c r="O1469" s="342"/>
      <c r="P1469" s="342"/>
      <c r="Q1469" s="342"/>
      <c r="R1469" s="342"/>
      <c r="S1469" s="342"/>
      <c r="T1469" s="343"/>
      <c r="AT1469" s="337"/>
      <c r="AU1469" s="337"/>
      <c r="AY1469" s="337"/>
    </row>
    <row r="1470" spans="1:65" s="225" customFormat="1" ht="37.9" customHeight="1">
      <c r="A1470" s="222"/>
      <c r="B1470" s="223"/>
      <c r="C1470" s="314">
        <v>264</v>
      </c>
      <c r="D1470" s="314" t="s">
        <v>148</v>
      </c>
      <c r="E1470" s="315"/>
      <c r="F1470" s="316" t="s">
        <v>3312</v>
      </c>
      <c r="G1470" s="317" t="s">
        <v>158</v>
      </c>
      <c r="H1470" s="318">
        <f>H1471</f>
        <v>59.66</v>
      </c>
      <c r="I1470" s="79"/>
      <c r="J1470" s="319">
        <f>ROUND(I1470*H1470,2)</f>
        <v>0</v>
      </c>
      <c r="K1470" s="316"/>
      <c r="L1470" s="229"/>
      <c r="M1470" s="320" t="s">
        <v>1</v>
      </c>
      <c r="N1470" s="321" t="s">
        <v>42</v>
      </c>
      <c r="O1470" s="322">
        <v>0.959</v>
      </c>
      <c r="P1470" s="322">
        <f>O1470*H1470</f>
        <v>57.213939999999994</v>
      </c>
      <c r="Q1470" s="322">
        <v>0.0005</v>
      </c>
      <c r="R1470" s="322">
        <f>Q1470*H1470</f>
        <v>0.02983</v>
      </c>
      <c r="S1470" s="322">
        <v>0</v>
      </c>
      <c r="T1470" s="323">
        <f>S1470*H1470</f>
        <v>0</v>
      </c>
      <c r="U1470" s="222"/>
      <c r="V1470" s="222"/>
      <c r="W1470" s="222"/>
      <c r="X1470" s="222"/>
      <c r="Y1470" s="222"/>
      <c r="Z1470" s="222"/>
      <c r="AA1470" s="222"/>
      <c r="AB1470" s="222"/>
      <c r="AC1470" s="222"/>
      <c r="AD1470" s="222"/>
      <c r="AE1470" s="222"/>
      <c r="AR1470" s="324" t="s">
        <v>212</v>
      </c>
      <c r="AT1470" s="324" t="s">
        <v>148</v>
      </c>
      <c r="AU1470" s="324" t="s">
        <v>83</v>
      </c>
      <c r="AY1470" s="214" t="s">
        <v>146</v>
      </c>
      <c r="BE1470" s="325">
        <f>IF(N1470="základní",J1470,0)</f>
        <v>0</v>
      </c>
      <c r="BF1470" s="325">
        <f>IF(N1470="snížená",J1470,0)</f>
        <v>0</v>
      </c>
      <c r="BG1470" s="325">
        <f>IF(N1470="zákl. přenesená",J1470,0)</f>
        <v>0</v>
      </c>
      <c r="BH1470" s="325">
        <f>IF(N1470="sníž. přenesená",J1470,0)</f>
        <v>0</v>
      </c>
      <c r="BI1470" s="325">
        <f>IF(N1470="nulová",J1470,0)</f>
        <v>0</v>
      </c>
      <c r="BJ1470" s="214" t="s">
        <v>81</v>
      </c>
      <c r="BK1470" s="325">
        <f>ROUND(I1470*H1470,2)</f>
        <v>0</v>
      </c>
      <c r="BL1470" s="214" t="s">
        <v>212</v>
      </c>
      <c r="BM1470" s="324" t="s">
        <v>1054</v>
      </c>
    </row>
    <row r="1471" spans="2:51" s="335" customFormat="1" ht="12">
      <c r="B1471" s="336"/>
      <c r="D1471" s="328"/>
      <c r="F1471" s="338" t="s">
        <v>2861</v>
      </c>
      <c r="H1471" s="339">
        <f>24.6+6+29.06</f>
        <v>59.66</v>
      </c>
      <c r="I1471" s="498"/>
      <c r="L1471" s="340"/>
      <c r="M1471" s="341"/>
      <c r="N1471" s="342"/>
      <c r="O1471" s="342"/>
      <c r="P1471" s="342"/>
      <c r="Q1471" s="342"/>
      <c r="R1471" s="342"/>
      <c r="S1471" s="342"/>
      <c r="T1471" s="343"/>
      <c r="AT1471" s="337"/>
      <c r="AU1471" s="337"/>
      <c r="AY1471" s="337"/>
    </row>
    <row r="1472" spans="1:65" s="225" customFormat="1" ht="37.9" customHeight="1">
      <c r="A1472" s="222"/>
      <c r="B1472" s="223"/>
      <c r="C1472" s="314">
        <v>265</v>
      </c>
      <c r="D1472" s="314" t="s">
        <v>148</v>
      </c>
      <c r="E1472" s="315"/>
      <c r="F1472" s="316" t="s">
        <v>3666</v>
      </c>
      <c r="G1472" s="317" t="s">
        <v>301</v>
      </c>
      <c r="H1472" s="318">
        <v>20</v>
      </c>
      <c r="I1472" s="79"/>
      <c r="J1472" s="319">
        <f>ROUND(I1472*H1472,2)</f>
        <v>0</v>
      </c>
      <c r="K1472" s="316"/>
      <c r="L1472" s="229"/>
      <c r="M1472" s="320" t="s">
        <v>1</v>
      </c>
      <c r="N1472" s="321" t="s">
        <v>42</v>
      </c>
      <c r="O1472" s="322">
        <v>0.959</v>
      </c>
      <c r="P1472" s="322">
        <f>O1472*H1472</f>
        <v>19.18</v>
      </c>
      <c r="Q1472" s="322">
        <v>0.0005</v>
      </c>
      <c r="R1472" s="322">
        <f>Q1472*H1472</f>
        <v>0.01</v>
      </c>
      <c r="S1472" s="322">
        <v>0</v>
      </c>
      <c r="T1472" s="323">
        <f>S1472*H1472</f>
        <v>0</v>
      </c>
      <c r="U1472" s="222"/>
      <c r="V1472" s="222"/>
      <c r="W1472" s="222"/>
      <c r="X1472" s="222"/>
      <c r="Y1472" s="222"/>
      <c r="Z1472" s="222"/>
      <c r="AA1472" s="222"/>
      <c r="AB1472" s="222"/>
      <c r="AC1472" s="222"/>
      <c r="AD1472" s="222"/>
      <c r="AE1472" s="222"/>
      <c r="AR1472" s="324" t="s">
        <v>212</v>
      </c>
      <c r="AT1472" s="324" t="s">
        <v>148</v>
      </c>
      <c r="AU1472" s="324" t="s">
        <v>83</v>
      </c>
      <c r="AY1472" s="214" t="s">
        <v>146</v>
      </c>
      <c r="BE1472" s="325">
        <f>IF(N1472="základní",J1472,0)</f>
        <v>0</v>
      </c>
      <c r="BF1472" s="325">
        <f>IF(N1472="snížená",J1472,0)</f>
        <v>0</v>
      </c>
      <c r="BG1472" s="325">
        <f>IF(N1472="zákl. přenesená",J1472,0)</f>
        <v>0</v>
      </c>
      <c r="BH1472" s="325">
        <f>IF(N1472="sníž. přenesená",J1472,0)</f>
        <v>0</v>
      </c>
      <c r="BI1472" s="325">
        <f>IF(N1472="nulová",J1472,0)</f>
        <v>0</v>
      </c>
      <c r="BJ1472" s="214" t="s">
        <v>81</v>
      </c>
      <c r="BK1472" s="325">
        <f>ROUND(I1472*H1472,2)</f>
        <v>0</v>
      </c>
      <c r="BL1472" s="214" t="s">
        <v>212</v>
      </c>
      <c r="BM1472" s="324" t="s">
        <v>1054</v>
      </c>
    </row>
    <row r="1473" spans="1:65" s="225" customFormat="1" ht="66" customHeight="1">
      <c r="A1473" s="222"/>
      <c r="B1473" s="223"/>
      <c r="C1473" s="314">
        <v>266</v>
      </c>
      <c r="D1473" s="314" t="s">
        <v>148</v>
      </c>
      <c r="E1473" s="315" t="s">
        <v>1056</v>
      </c>
      <c r="F1473" s="316" t="s">
        <v>3313</v>
      </c>
      <c r="G1473" s="317" t="s">
        <v>158</v>
      </c>
      <c r="H1473" s="318">
        <f>H1483</f>
        <v>94.5</v>
      </c>
      <c r="I1473" s="79"/>
      <c r="J1473" s="319">
        <f>ROUND(I1473*H1473,2)</f>
        <v>0</v>
      </c>
      <c r="K1473" s="316"/>
      <c r="L1473" s="229"/>
      <c r="M1473" s="320" t="s">
        <v>1</v>
      </c>
      <c r="N1473" s="321" t="s">
        <v>42</v>
      </c>
      <c r="O1473" s="322">
        <v>0.204</v>
      </c>
      <c r="P1473" s="322">
        <f>O1473*H1473</f>
        <v>19.278</v>
      </c>
      <c r="Q1473" s="322">
        <v>0.0016887</v>
      </c>
      <c r="R1473" s="322">
        <f>Q1473*H1473</f>
        <v>0.15958215</v>
      </c>
      <c r="S1473" s="322">
        <v>0</v>
      </c>
      <c r="T1473" s="323">
        <f>S1473*H1473</f>
        <v>0</v>
      </c>
      <c r="U1473" s="222"/>
      <c r="V1473" s="222"/>
      <c r="W1473" s="222"/>
      <c r="X1473" s="222"/>
      <c r="Y1473" s="222"/>
      <c r="Z1473" s="222"/>
      <c r="AA1473" s="222"/>
      <c r="AB1473" s="222"/>
      <c r="AC1473" s="222"/>
      <c r="AD1473" s="222"/>
      <c r="AE1473" s="222"/>
      <c r="AR1473" s="324" t="s">
        <v>212</v>
      </c>
      <c r="AT1473" s="324" t="s">
        <v>148</v>
      </c>
      <c r="AU1473" s="324" t="s">
        <v>83</v>
      </c>
      <c r="AY1473" s="214" t="s">
        <v>146</v>
      </c>
      <c r="BE1473" s="325">
        <f>IF(N1473="základní",J1473,0)</f>
        <v>0</v>
      </c>
      <c r="BF1473" s="325">
        <f>IF(N1473="snížená",J1473,0)</f>
        <v>0</v>
      </c>
      <c r="BG1473" s="325">
        <f>IF(N1473="zákl. přenesená",J1473,0)</f>
        <v>0</v>
      </c>
      <c r="BH1473" s="325">
        <f>IF(N1473="sníž. přenesená",J1473,0)</f>
        <v>0</v>
      </c>
      <c r="BI1473" s="325">
        <f>IF(N1473="nulová",J1473,0)</f>
        <v>0</v>
      </c>
      <c r="BJ1473" s="214" t="s">
        <v>81</v>
      </c>
      <c r="BK1473" s="325">
        <f>ROUND(I1473*H1473,2)</f>
        <v>0</v>
      </c>
      <c r="BL1473" s="214" t="s">
        <v>212</v>
      </c>
      <c r="BM1473" s="324" t="s">
        <v>1057</v>
      </c>
    </row>
    <row r="1474" spans="2:51" s="326" customFormat="1" ht="12">
      <c r="B1474" s="327"/>
      <c r="D1474" s="328" t="s">
        <v>155</v>
      </c>
      <c r="E1474" s="329" t="s">
        <v>1</v>
      </c>
      <c r="F1474" s="330" t="s">
        <v>1058</v>
      </c>
      <c r="H1474" s="329" t="s">
        <v>1</v>
      </c>
      <c r="I1474" s="497"/>
      <c r="L1474" s="331"/>
      <c r="M1474" s="332"/>
      <c r="N1474" s="333"/>
      <c r="O1474" s="333"/>
      <c r="P1474" s="333"/>
      <c r="Q1474" s="333"/>
      <c r="R1474" s="333"/>
      <c r="S1474" s="333"/>
      <c r="T1474" s="334"/>
      <c r="AT1474" s="329" t="s">
        <v>155</v>
      </c>
      <c r="AU1474" s="329" t="s">
        <v>83</v>
      </c>
      <c r="AV1474" s="326" t="s">
        <v>81</v>
      </c>
      <c r="AW1474" s="326" t="s">
        <v>34</v>
      </c>
      <c r="AX1474" s="326" t="s">
        <v>76</v>
      </c>
      <c r="AY1474" s="329" t="s">
        <v>146</v>
      </c>
    </row>
    <row r="1475" spans="2:51" s="326" customFormat="1" ht="12">
      <c r="B1475" s="327"/>
      <c r="D1475" s="328" t="s">
        <v>155</v>
      </c>
      <c r="E1475" s="329" t="s">
        <v>1</v>
      </c>
      <c r="F1475" s="330" t="s">
        <v>1059</v>
      </c>
      <c r="H1475" s="329" t="s">
        <v>1</v>
      </c>
      <c r="I1475" s="497"/>
      <c r="L1475" s="331"/>
      <c r="M1475" s="332"/>
      <c r="N1475" s="333"/>
      <c r="O1475" s="333"/>
      <c r="P1475" s="333"/>
      <c r="Q1475" s="333"/>
      <c r="R1475" s="333"/>
      <c r="S1475" s="333"/>
      <c r="T1475" s="334"/>
      <c r="AT1475" s="329" t="s">
        <v>155</v>
      </c>
      <c r="AU1475" s="329" t="s">
        <v>83</v>
      </c>
      <c r="AV1475" s="326" t="s">
        <v>81</v>
      </c>
      <c r="AW1475" s="326" t="s">
        <v>34</v>
      </c>
      <c r="AX1475" s="326" t="s">
        <v>76</v>
      </c>
      <c r="AY1475" s="329" t="s">
        <v>146</v>
      </c>
    </row>
    <row r="1476" spans="2:51" s="335" customFormat="1" ht="12">
      <c r="B1476" s="336"/>
      <c r="D1476" s="328" t="s">
        <v>155</v>
      </c>
      <c r="E1476" s="337" t="s">
        <v>1</v>
      </c>
      <c r="F1476" s="338" t="s">
        <v>1060</v>
      </c>
      <c r="H1476" s="339">
        <v>50</v>
      </c>
      <c r="I1476" s="498"/>
      <c r="L1476" s="340"/>
      <c r="M1476" s="341"/>
      <c r="N1476" s="342"/>
      <c r="O1476" s="342"/>
      <c r="P1476" s="342"/>
      <c r="Q1476" s="342"/>
      <c r="R1476" s="342"/>
      <c r="S1476" s="342"/>
      <c r="T1476" s="343"/>
      <c r="AT1476" s="337" t="s">
        <v>155</v>
      </c>
      <c r="AU1476" s="337" t="s">
        <v>83</v>
      </c>
      <c r="AV1476" s="335" t="s">
        <v>83</v>
      </c>
      <c r="AW1476" s="335" t="s">
        <v>34</v>
      </c>
      <c r="AX1476" s="335" t="s">
        <v>76</v>
      </c>
      <c r="AY1476" s="337" t="s">
        <v>146</v>
      </c>
    </row>
    <row r="1477" spans="2:51" s="326" customFormat="1" ht="12">
      <c r="B1477" s="327"/>
      <c r="D1477" s="328" t="s">
        <v>155</v>
      </c>
      <c r="E1477" s="329" t="s">
        <v>1</v>
      </c>
      <c r="F1477" s="330" t="s">
        <v>1061</v>
      </c>
      <c r="H1477" s="329" t="s">
        <v>1</v>
      </c>
      <c r="I1477" s="497"/>
      <c r="L1477" s="331"/>
      <c r="M1477" s="332"/>
      <c r="N1477" s="333"/>
      <c r="O1477" s="333"/>
      <c r="P1477" s="333"/>
      <c r="Q1477" s="333"/>
      <c r="R1477" s="333"/>
      <c r="S1477" s="333"/>
      <c r="T1477" s="334"/>
      <c r="AT1477" s="329" t="s">
        <v>155</v>
      </c>
      <c r="AU1477" s="329" t="s">
        <v>83</v>
      </c>
      <c r="AV1477" s="326" t="s">
        <v>81</v>
      </c>
      <c r="AW1477" s="326" t="s">
        <v>34</v>
      </c>
      <c r="AX1477" s="326" t="s">
        <v>76</v>
      </c>
      <c r="AY1477" s="329" t="s">
        <v>146</v>
      </c>
    </row>
    <row r="1478" spans="2:51" s="335" customFormat="1" ht="12">
      <c r="B1478" s="336"/>
      <c r="D1478" s="328" t="s">
        <v>155</v>
      </c>
      <c r="E1478" s="337" t="s">
        <v>1</v>
      </c>
      <c r="F1478" s="338">
        <v>15</v>
      </c>
      <c r="H1478" s="339">
        <v>15</v>
      </c>
      <c r="I1478" s="498"/>
      <c r="L1478" s="340"/>
      <c r="M1478" s="341"/>
      <c r="N1478" s="342"/>
      <c r="O1478" s="342"/>
      <c r="P1478" s="342"/>
      <c r="Q1478" s="342"/>
      <c r="R1478" s="342"/>
      <c r="S1478" s="342"/>
      <c r="T1478" s="343"/>
      <c r="AT1478" s="337" t="s">
        <v>155</v>
      </c>
      <c r="AU1478" s="337" t="s">
        <v>83</v>
      </c>
      <c r="AV1478" s="335" t="s">
        <v>83</v>
      </c>
      <c r="AW1478" s="335" t="s">
        <v>34</v>
      </c>
      <c r="AX1478" s="335" t="s">
        <v>76</v>
      </c>
      <c r="AY1478" s="337" t="s">
        <v>146</v>
      </c>
    </row>
    <row r="1479" spans="2:51" s="326" customFormat="1" ht="12">
      <c r="B1479" s="327"/>
      <c r="D1479" s="328" t="s">
        <v>155</v>
      </c>
      <c r="E1479" s="329" t="s">
        <v>1</v>
      </c>
      <c r="F1479" s="330" t="s">
        <v>1062</v>
      </c>
      <c r="H1479" s="329" t="s">
        <v>1</v>
      </c>
      <c r="I1479" s="497"/>
      <c r="L1479" s="331"/>
      <c r="M1479" s="332"/>
      <c r="N1479" s="333"/>
      <c r="O1479" s="333"/>
      <c r="P1479" s="333"/>
      <c r="Q1479" s="333"/>
      <c r="R1479" s="333"/>
      <c r="S1479" s="333"/>
      <c r="T1479" s="334"/>
      <c r="AT1479" s="329" t="s">
        <v>155</v>
      </c>
      <c r="AU1479" s="329" t="s">
        <v>83</v>
      </c>
      <c r="AV1479" s="326" t="s">
        <v>81</v>
      </c>
      <c r="AW1479" s="326" t="s">
        <v>34</v>
      </c>
      <c r="AX1479" s="326" t="s">
        <v>76</v>
      </c>
      <c r="AY1479" s="329" t="s">
        <v>146</v>
      </c>
    </row>
    <row r="1480" spans="2:51" s="335" customFormat="1" ht="12">
      <c r="B1480" s="336"/>
      <c r="D1480" s="328" t="s">
        <v>155</v>
      </c>
      <c r="E1480" s="337" t="s">
        <v>1</v>
      </c>
      <c r="F1480" s="338" t="s">
        <v>1063</v>
      </c>
      <c r="H1480" s="339">
        <v>29</v>
      </c>
      <c r="I1480" s="498"/>
      <c r="L1480" s="340"/>
      <c r="M1480" s="341"/>
      <c r="N1480" s="342"/>
      <c r="O1480" s="342"/>
      <c r="P1480" s="342"/>
      <c r="Q1480" s="342"/>
      <c r="R1480" s="342"/>
      <c r="S1480" s="342"/>
      <c r="T1480" s="343"/>
      <c r="AT1480" s="337" t="s">
        <v>155</v>
      </c>
      <c r="AU1480" s="337" t="s">
        <v>83</v>
      </c>
      <c r="AV1480" s="335" t="s">
        <v>83</v>
      </c>
      <c r="AW1480" s="335" t="s">
        <v>34</v>
      </c>
      <c r="AX1480" s="335" t="s">
        <v>76</v>
      </c>
      <c r="AY1480" s="337" t="s">
        <v>146</v>
      </c>
    </row>
    <row r="1481" spans="2:51" s="326" customFormat="1" ht="12">
      <c r="B1481" s="327"/>
      <c r="D1481" s="328" t="s">
        <v>155</v>
      </c>
      <c r="E1481" s="329" t="s">
        <v>1</v>
      </c>
      <c r="F1481" s="330" t="s">
        <v>1064</v>
      </c>
      <c r="H1481" s="329" t="s">
        <v>1</v>
      </c>
      <c r="I1481" s="497"/>
      <c r="L1481" s="331"/>
      <c r="M1481" s="332"/>
      <c r="N1481" s="333"/>
      <c r="O1481" s="333"/>
      <c r="P1481" s="333"/>
      <c r="Q1481" s="333"/>
      <c r="R1481" s="333"/>
      <c r="S1481" s="333"/>
      <c r="T1481" s="334"/>
      <c r="AT1481" s="329" t="s">
        <v>155</v>
      </c>
      <c r="AU1481" s="329" t="s">
        <v>83</v>
      </c>
      <c r="AV1481" s="326" t="s">
        <v>81</v>
      </c>
      <c r="AW1481" s="326" t="s">
        <v>34</v>
      </c>
      <c r="AX1481" s="326" t="s">
        <v>76</v>
      </c>
      <c r="AY1481" s="329" t="s">
        <v>146</v>
      </c>
    </row>
    <row r="1482" spans="2:51" s="335" customFormat="1" ht="12">
      <c r="B1482" s="336"/>
      <c r="D1482" s="328" t="s">
        <v>155</v>
      </c>
      <c r="E1482" s="337" t="s">
        <v>1</v>
      </c>
      <c r="F1482" s="338" t="s">
        <v>1065</v>
      </c>
      <c r="H1482" s="339">
        <v>0.5</v>
      </c>
      <c r="I1482" s="498"/>
      <c r="L1482" s="340"/>
      <c r="M1482" s="341"/>
      <c r="N1482" s="342"/>
      <c r="O1482" s="342"/>
      <c r="P1482" s="342"/>
      <c r="Q1482" s="342"/>
      <c r="R1482" s="342"/>
      <c r="S1482" s="342"/>
      <c r="T1482" s="343"/>
      <c r="AT1482" s="337" t="s">
        <v>155</v>
      </c>
      <c r="AU1482" s="337" t="s">
        <v>83</v>
      </c>
      <c r="AV1482" s="335" t="s">
        <v>83</v>
      </c>
      <c r="AW1482" s="335" t="s">
        <v>34</v>
      </c>
      <c r="AX1482" s="335" t="s">
        <v>76</v>
      </c>
      <c r="AY1482" s="337" t="s">
        <v>146</v>
      </c>
    </row>
    <row r="1483" spans="2:51" s="347" customFormat="1" ht="12">
      <c r="B1483" s="348"/>
      <c r="D1483" s="328" t="s">
        <v>155</v>
      </c>
      <c r="E1483" s="349" t="s">
        <v>1</v>
      </c>
      <c r="F1483" s="356" t="s">
        <v>157</v>
      </c>
      <c r="H1483" s="351">
        <f>SUM(H1476:H1482)</f>
        <v>94.5</v>
      </c>
      <c r="I1483" s="499"/>
      <c r="L1483" s="352"/>
      <c r="M1483" s="353"/>
      <c r="N1483" s="354"/>
      <c r="O1483" s="354"/>
      <c r="P1483" s="354"/>
      <c r="Q1483" s="354"/>
      <c r="R1483" s="354"/>
      <c r="S1483" s="354"/>
      <c r="T1483" s="355"/>
      <c r="AT1483" s="349" t="s">
        <v>155</v>
      </c>
      <c r="AU1483" s="349" t="s">
        <v>83</v>
      </c>
      <c r="AV1483" s="347" t="s">
        <v>153</v>
      </c>
      <c r="AW1483" s="347" t="s">
        <v>34</v>
      </c>
      <c r="AX1483" s="347" t="s">
        <v>81</v>
      </c>
      <c r="AY1483" s="349" t="s">
        <v>146</v>
      </c>
    </row>
    <row r="1484" spans="1:65" s="225" customFormat="1" ht="62.65" customHeight="1">
      <c r="A1484" s="222"/>
      <c r="B1484" s="223"/>
      <c r="C1484" s="314">
        <v>267</v>
      </c>
      <c r="D1484" s="314" t="s">
        <v>148</v>
      </c>
      <c r="E1484" s="315" t="s">
        <v>1066</v>
      </c>
      <c r="F1484" s="316" t="s">
        <v>3314</v>
      </c>
      <c r="G1484" s="317" t="s">
        <v>158</v>
      </c>
      <c r="H1484" s="318">
        <f>H1490</f>
        <v>65</v>
      </c>
      <c r="I1484" s="79"/>
      <c r="J1484" s="319">
        <f>ROUND(I1484*H1484,2)</f>
        <v>0</v>
      </c>
      <c r="K1484" s="316"/>
      <c r="L1484" s="229"/>
      <c r="M1484" s="320" t="s">
        <v>1</v>
      </c>
      <c r="N1484" s="321" t="s">
        <v>42</v>
      </c>
      <c r="O1484" s="322">
        <v>0.334</v>
      </c>
      <c r="P1484" s="322">
        <f>O1484*H1484</f>
        <v>21.71</v>
      </c>
      <c r="Q1484" s="322">
        <v>0.0021656</v>
      </c>
      <c r="R1484" s="322">
        <f>Q1484*H1484</f>
        <v>0.140764</v>
      </c>
      <c r="S1484" s="322">
        <v>0</v>
      </c>
      <c r="T1484" s="323">
        <f>S1484*H1484</f>
        <v>0</v>
      </c>
      <c r="U1484" s="222"/>
      <c r="V1484" s="222"/>
      <c r="W1484" s="222"/>
      <c r="X1484" s="222"/>
      <c r="Y1484" s="222"/>
      <c r="Z1484" s="222"/>
      <c r="AA1484" s="222"/>
      <c r="AB1484" s="222"/>
      <c r="AC1484" s="222"/>
      <c r="AD1484" s="222"/>
      <c r="AE1484" s="222"/>
      <c r="AR1484" s="324" t="s">
        <v>212</v>
      </c>
      <c r="AT1484" s="324" t="s">
        <v>148</v>
      </c>
      <c r="AU1484" s="324" t="s">
        <v>83</v>
      </c>
      <c r="AY1484" s="214" t="s">
        <v>146</v>
      </c>
      <c r="BE1484" s="325">
        <f>IF(N1484="základní",J1484,0)</f>
        <v>0</v>
      </c>
      <c r="BF1484" s="325">
        <f>IF(N1484="snížená",J1484,0)</f>
        <v>0</v>
      </c>
      <c r="BG1484" s="325">
        <f>IF(N1484="zákl. přenesená",J1484,0)</f>
        <v>0</v>
      </c>
      <c r="BH1484" s="325">
        <f>IF(N1484="sníž. přenesená",J1484,0)</f>
        <v>0</v>
      </c>
      <c r="BI1484" s="325">
        <f>IF(N1484="nulová",J1484,0)</f>
        <v>0</v>
      </c>
      <c r="BJ1484" s="214" t="s">
        <v>81</v>
      </c>
      <c r="BK1484" s="325">
        <f>ROUND(I1484*H1484,2)</f>
        <v>0</v>
      </c>
      <c r="BL1484" s="214" t="s">
        <v>212</v>
      </c>
      <c r="BM1484" s="324" t="s">
        <v>1067</v>
      </c>
    </row>
    <row r="1485" spans="2:51" s="326" customFormat="1" ht="12">
      <c r="B1485" s="327"/>
      <c r="D1485" s="328" t="s">
        <v>155</v>
      </c>
      <c r="E1485" s="329" t="s">
        <v>1</v>
      </c>
      <c r="F1485" s="330" t="s">
        <v>1058</v>
      </c>
      <c r="H1485" s="329" t="s">
        <v>1</v>
      </c>
      <c r="I1485" s="497"/>
      <c r="L1485" s="331"/>
      <c r="M1485" s="332"/>
      <c r="N1485" s="333"/>
      <c r="O1485" s="333"/>
      <c r="P1485" s="333"/>
      <c r="Q1485" s="333"/>
      <c r="R1485" s="333"/>
      <c r="S1485" s="333"/>
      <c r="T1485" s="334"/>
      <c r="AT1485" s="329" t="s">
        <v>155</v>
      </c>
      <c r="AU1485" s="329" t="s">
        <v>83</v>
      </c>
      <c r="AV1485" s="326" t="s">
        <v>81</v>
      </c>
      <c r="AW1485" s="326" t="s">
        <v>34</v>
      </c>
      <c r="AX1485" s="326" t="s">
        <v>76</v>
      </c>
      <c r="AY1485" s="329" t="s">
        <v>146</v>
      </c>
    </row>
    <row r="1486" spans="2:51" s="326" customFormat="1" ht="12">
      <c r="B1486" s="327"/>
      <c r="D1486" s="328" t="s">
        <v>155</v>
      </c>
      <c r="E1486" s="329" t="s">
        <v>1</v>
      </c>
      <c r="F1486" s="330" t="s">
        <v>1068</v>
      </c>
      <c r="H1486" s="329" t="s">
        <v>1</v>
      </c>
      <c r="I1486" s="497"/>
      <c r="L1486" s="331"/>
      <c r="M1486" s="332"/>
      <c r="N1486" s="333"/>
      <c r="O1486" s="333"/>
      <c r="P1486" s="333"/>
      <c r="Q1486" s="333"/>
      <c r="R1486" s="333"/>
      <c r="S1486" s="333"/>
      <c r="T1486" s="334"/>
      <c r="AT1486" s="329" t="s">
        <v>155</v>
      </c>
      <c r="AU1486" s="329" t="s">
        <v>83</v>
      </c>
      <c r="AV1486" s="326" t="s">
        <v>81</v>
      </c>
      <c r="AW1486" s="326" t="s">
        <v>34</v>
      </c>
      <c r="AX1486" s="326" t="s">
        <v>76</v>
      </c>
      <c r="AY1486" s="329" t="s">
        <v>146</v>
      </c>
    </row>
    <row r="1487" spans="2:51" s="335" customFormat="1" ht="12">
      <c r="B1487" s="336"/>
      <c r="D1487" s="328" t="s">
        <v>155</v>
      </c>
      <c r="E1487" s="337" t="s">
        <v>1</v>
      </c>
      <c r="F1487" s="338" t="s">
        <v>1069</v>
      </c>
      <c r="H1487" s="339">
        <v>63</v>
      </c>
      <c r="I1487" s="498"/>
      <c r="L1487" s="340"/>
      <c r="M1487" s="341"/>
      <c r="N1487" s="342"/>
      <c r="O1487" s="342"/>
      <c r="P1487" s="342"/>
      <c r="Q1487" s="342"/>
      <c r="R1487" s="342"/>
      <c r="S1487" s="342"/>
      <c r="T1487" s="343"/>
      <c r="AT1487" s="337" t="s">
        <v>155</v>
      </c>
      <c r="AU1487" s="337" t="s">
        <v>83</v>
      </c>
      <c r="AV1487" s="335" t="s">
        <v>83</v>
      </c>
      <c r="AW1487" s="335" t="s">
        <v>34</v>
      </c>
      <c r="AX1487" s="335" t="s">
        <v>76</v>
      </c>
      <c r="AY1487" s="337" t="s">
        <v>146</v>
      </c>
    </row>
    <row r="1488" spans="2:51" s="326" customFormat="1" ht="12">
      <c r="B1488" s="327"/>
      <c r="D1488" s="328" t="s">
        <v>155</v>
      </c>
      <c r="E1488" s="329" t="s">
        <v>1</v>
      </c>
      <c r="F1488" s="330" t="s">
        <v>1070</v>
      </c>
      <c r="H1488" s="329" t="s">
        <v>1</v>
      </c>
      <c r="I1488" s="497"/>
      <c r="L1488" s="331"/>
      <c r="M1488" s="332"/>
      <c r="N1488" s="333"/>
      <c r="O1488" s="333"/>
      <c r="P1488" s="333"/>
      <c r="Q1488" s="333"/>
      <c r="R1488" s="333"/>
      <c r="S1488" s="333"/>
      <c r="T1488" s="334"/>
      <c r="AT1488" s="329" t="s">
        <v>155</v>
      </c>
      <c r="AU1488" s="329" t="s">
        <v>83</v>
      </c>
      <c r="AV1488" s="326" t="s">
        <v>81</v>
      </c>
      <c r="AW1488" s="326" t="s">
        <v>34</v>
      </c>
      <c r="AX1488" s="326" t="s">
        <v>76</v>
      </c>
      <c r="AY1488" s="329" t="s">
        <v>146</v>
      </c>
    </row>
    <row r="1489" spans="2:51" s="335" customFormat="1" ht="12">
      <c r="B1489" s="336"/>
      <c r="D1489" s="328" t="s">
        <v>155</v>
      </c>
      <c r="E1489" s="337" t="s">
        <v>1</v>
      </c>
      <c r="F1489" s="338" t="s">
        <v>1071</v>
      </c>
      <c r="H1489" s="339">
        <v>2</v>
      </c>
      <c r="I1489" s="498"/>
      <c r="L1489" s="340"/>
      <c r="M1489" s="341"/>
      <c r="N1489" s="342"/>
      <c r="O1489" s="342"/>
      <c r="P1489" s="342"/>
      <c r="Q1489" s="342"/>
      <c r="R1489" s="342"/>
      <c r="S1489" s="342"/>
      <c r="T1489" s="343"/>
      <c r="AT1489" s="337" t="s">
        <v>155</v>
      </c>
      <c r="AU1489" s="337" t="s">
        <v>83</v>
      </c>
      <c r="AV1489" s="335" t="s">
        <v>83</v>
      </c>
      <c r="AW1489" s="335" t="s">
        <v>34</v>
      </c>
      <c r="AX1489" s="335" t="s">
        <v>76</v>
      </c>
      <c r="AY1489" s="337" t="s">
        <v>146</v>
      </c>
    </row>
    <row r="1490" spans="2:51" s="347" customFormat="1" ht="12">
      <c r="B1490" s="348"/>
      <c r="D1490" s="328" t="s">
        <v>155</v>
      </c>
      <c r="E1490" s="349" t="s">
        <v>1</v>
      </c>
      <c r="F1490" s="356" t="s">
        <v>157</v>
      </c>
      <c r="H1490" s="351">
        <f>SUM(H1487:H1489)</f>
        <v>65</v>
      </c>
      <c r="I1490" s="499"/>
      <c r="L1490" s="352"/>
      <c r="M1490" s="353"/>
      <c r="N1490" s="354"/>
      <c r="O1490" s="354"/>
      <c r="P1490" s="354"/>
      <c r="Q1490" s="354"/>
      <c r="R1490" s="354"/>
      <c r="S1490" s="354"/>
      <c r="T1490" s="355"/>
      <c r="AT1490" s="349" t="s">
        <v>155</v>
      </c>
      <c r="AU1490" s="349" t="s">
        <v>83</v>
      </c>
      <c r="AV1490" s="347" t="s">
        <v>153</v>
      </c>
      <c r="AW1490" s="347" t="s">
        <v>34</v>
      </c>
      <c r="AX1490" s="347" t="s">
        <v>81</v>
      </c>
      <c r="AY1490" s="349" t="s">
        <v>146</v>
      </c>
    </row>
    <row r="1491" spans="1:65" s="225" customFormat="1" ht="24.2" customHeight="1">
      <c r="A1491" s="222"/>
      <c r="B1491" s="223"/>
      <c r="C1491" s="314">
        <v>268</v>
      </c>
      <c r="D1491" s="314" t="s">
        <v>148</v>
      </c>
      <c r="E1491" s="315" t="s">
        <v>1072</v>
      </c>
      <c r="F1491" s="316" t="s">
        <v>2914</v>
      </c>
      <c r="G1491" s="317" t="s">
        <v>194</v>
      </c>
      <c r="H1491" s="318">
        <f>R1439</f>
        <v>4.32141615</v>
      </c>
      <c r="I1491" s="79"/>
      <c r="J1491" s="319">
        <f>ROUND(I1491*H1491,2)</f>
        <v>0</v>
      </c>
      <c r="K1491" s="316"/>
      <c r="L1491" s="229"/>
      <c r="M1491" s="320" t="s">
        <v>1</v>
      </c>
      <c r="N1491" s="321" t="s">
        <v>42</v>
      </c>
      <c r="O1491" s="322">
        <v>0</v>
      </c>
      <c r="P1491" s="322">
        <f>O1491*H1491</f>
        <v>0</v>
      </c>
      <c r="Q1491" s="322"/>
      <c r="R1491" s="322"/>
      <c r="S1491" s="322"/>
      <c r="T1491" s="323"/>
      <c r="U1491" s="222"/>
      <c r="V1491" s="222"/>
      <c r="W1491" s="222"/>
      <c r="X1491" s="222"/>
      <c r="Y1491" s="222"/>
      <c r="Z1491" s="222"/>
      <c r="AA1491" s="222"/>
      <c r="AB1491" s="222"/>
      <c r="AC1491" s="222"/>
      <c r="AD1491" s="222"/>
      <c r="AE1491" s="222"/>
      <c r="AR1491" s="324" t="s">
        <v>212</v>
      </c>
      <c r="AT1491" s="324" t="s">
        <v>148</v>
      </c>
      <c r="AU1491" s="324" t="s">
        <v>83</v>
      </c>
      <c r="AY1491" s="214" t="s">
        <v>146</v>
      </c>
      <c r="BE1491" s="325">
        <f>IF(N1491="základní",J1491,0)</f>
        <v>0</v>
      </c>
      <c r="BF1491" s="325">
        <f>IF(N1491="snížená",J1491,0)</f>
        <v>0</v>
      </c>
      <c r="BG1491" s="325">
        <f>IF(N1491="zákl. přenesená",J1491,0)</f>
        <v>0</v>
      </c>
      <c r="BH1491" s="325">
        <f>IF(N1491="sníž. přenesená",J1491,0)</f>
        <v>0</v>
      </c>
      <c r="BI1491" s="325">
        <f>IF(N1491="nulová",J1491,0)</f>
        <v>0</v>
      </c>
      <c r="BJ1491" s="214" t="s">
        <v>81</v>
      </c>
      <c r="BK1491" s="325">
        <f>ROUND(I1491*H1491,2)</f>
        <v>0</v>
      </c>
      <c r="BL1491" s="214" t="s">
        <v>212</v>
      </c>
      <c r="BM1491" s="324" t="s">
        <v>1073</v>
      </c>
    </row>
    <row r="1492" spans="2:63" s="297" customFormat="1" ht="22.9" customHeight="1">
      <c r="B1492" s="298"/>
      <c r="D1492" s="299" t="s">
        <v>75</v>
      </c>
      <c r="E1492" s="310" t="s">
        <v>1074</v>
      </c>
      <c r="F1492" s="310" t="s">
        <v>1075</v>
      </c>
      <c r="I1492" s="501"/>
      <c r="J1492" s="311">
        <f>SUM(J1493:J1510)</f>
        <v>0</v>
      </c>
      <c r="L1492" s="302"/>
      <c r="M1492" s="303"/>
      <c r="N1492" s="304"/>
      <c r="O1492" s="304"/>
      <c r="P1492" s="305">
        <f>SUM(P1493:P1510)</f>
        <v>160.65500000000003</v>
      </c>
      <c r="Q1492" s="304"/>
      <c r="R1492" s="305">
        <f>SUM(R1493:R1510)</f>
        <v>0.557312195</v>
      </c>
      <c r="S1492" s="304"/>
      <c r="T1492" s="313">
        <f>SUM(T1493:T1510)</f>
        <v>0</v>
      </c>
      <c r="AR1492" s="299" t="s">
        <v>83</v>
      </c>
      <c r="AT1492" s="308" t="s">
        <v>75</v>
      </c>
      <c r="AU1492" s="308" t="s">
        <v>81</v>
      </c>
      <c r="AY1492" s="299" t="s">
        <v>146</v>
      </c>
      <c r="BK1492" s="309">
        <f>SUM(BK1493:BK1510)</f>
        <v>0</v>
      </c>
    </row>
    <row r="1493" spans="1:65" s="225" customFormat="1" ht="37.9" customHeight="1">
      <c r="A1493" s="222"/>
      <c r="B1493" s="223"/>
      <c r="C1493" s="314">
        <v>269</v>
      </c>
      <c r="D1493" s="314" t="s">
        <v>148</v>
      </c>
      <c r="E1493" s="315" t="s">
        <v>1076</v>
      </c>
      <c r="F1493" s="316" t="s">
        <v>1077</v>
      </c>
      <c r="G1493" s="317" t="s">
        <v>151</v>
      </c>
      <c r="H1493" s="318">
        <f>H1505</f>
        <v>1606.5500000000002</v>
      </c>
      <c r="I1493" s="79"/>
      <c r="J1493" s="319">
        <f>ROUND(I1493*H1493,2)</f>
        <v>0</v>
      </c>
      <c r="K1493" s="316"/>
      <c r="L1493" s="229"/>
      <c r="M1493" s="320" t="s">
        <v>1</v>
      </c>
      <c r="N1493" s="321" t="s">
        <v>42</v>
      </c>
      <c r="O1493" s="322">
        <v>0.1</v>
      </c>
      <c r="P1493" s="322">
        <f>O1493*H1493</f>
        <v>160.65500000000003</v>
      </c>
      <c r="Q1493" s="322">
        <v>7E-06</v>
      </c>
      <c r="R1493" s="322">
        <f>Q1493*H1493</f>
        <v>0.011245850000000002</v>
      </c>
      <c r="S1493" s="322">
        <v>0</v>
      </c>
      <c r="T1493" s="323">
        <f>S1493*H1493</f>
        <v>0</v>
      </c>
      <c r="U1493" s="222"/>
      <c r="V1493" s="222"/>
      <c r="W1493" s="222"/>
      <c r="X1493" s="222"/>
      <c r="Y1493" s="222"/>
      <c r="Z1493" s="222"/>
      <c r="AA1493" s="222"/>
      <c r="AB1493" s="222"/>
      <c r="AC1493" s="222"/>
      <c r="AD1493" s="222"/>
      <c r="AE1493" s="222"/>
      <c r="AR1493" s="324" t="s">
        <v>212</v>
      </c>
      <c r="AT1493" s="324" t="s">
        <v>148</v>
      </c>
      <c r="AU1493" s="324" t="s">
        <v>83</v>
      </c>
      <c r="AY1493" s="214" t="s">
        <v>146</v>
      </c>
      <c r="BE1493" s="325">
        <f>IF(N1493="základní",J1493,0)</f>
        <v>0</v>
      </c>
      <c r="BF1493" s="325">
        <f>IF(N1493="snížená",J1493,0)</f>
        <v>0</v>
      </c>
      <c r="BG1493" s="325">
        <f>IF(N1493="zákl. přenesená",J1493,0)</f>
        <v>0</v>
      </c>
      <c r="BH1493" s="325">
        <f>IF(N1493="sníž. přenesená",J1493,0)</f>
        <v>0</v>
      </c>
      <c r="BI1493" s="325">
        <f>IF(N1493="nulová",J1493,0)</f>
        <v>0</v>
      </c>
      <c r="BJ1493" s="214" t="s">
        <v>81</v>
      </c>
      <c r="BK1493" s="325">
        <f>ROUND(I1493*H1493,2)</f>
        <v>0</v>
      </c>
      <c r="BL1493" s="214" t="s">
        <v>212</v>
      </c>
      <c r="BM1493" s="324" t="s">
        <v>1078</v>
      </c>
    </row>
    <row r="1494" spans="2:51" s="326" customFormat="1" ht="12">
      <c r="B1494" s="327"/>
      <c r="D1494" s="328" t="s">
        <v>155</v>
      </c>
      <c r="E1494" s="329" t="s">
        <v>1</v>
      </c>
      <c r="F1494" s="330" t="s">
        <v>932</v>
      </c>
      <c r="H1494" s="329" t="s">
        <v>1</v>
      </c>
      <c r="I1494" s="497"/>
      <c r="L1494" s="331"/>
      <c r="M1494" s="332"/>
      <c r="N1494" s="333"/>
      <c r="O1494" s="333"/>
      <c r="P1494" s="333"/>
      <c r="Q1494" s="333"/>
      <c r="R1494" s="333"/>
      <c r="S1494" s="333"/>
      <c r="T1494" s="334"/>
      <c r="AT1494" s="329" t="s">
        <v>155</v>
      </c>
      <c r="AU1494" s="329" t="s">
        <v>83</v>
      </c>
      <c r="AV1494" s="326" t="s">
        <v>81</v>
      </c>
      <c r="AW1494" s="326" t="s">
        <v>34</v>
      </c>
      <c r="AX1494" s="326" t="s">
        <v>76</v>
      </c>
      <c r="AY1494" s="329" t="s">
        <v>146</v>
      </c>
    </row>
    <row r="1495" spans="2:51" s="326" customFormat="1" ht="12">
      <c r="B1495" s="327"/>
      <c r="D1495" s="328" t="s">
        <v>155</v>
      </c>
      <c r="E1495" s="329" t="s">
        <v>1</v>
      </c>
      <c r="F1495" s="330" t="s">
        <v>933</v>
      </c>
      <c r="H1495" s="329" t="s">
        <v>1</v>
      </c>
      <c r="I1495" s="497"/>
      <c r="L1495" s="331"/>
      <c r="M1495" s="332"/>
      <c r="N1495" s="333"/>
      <c r="O1495" s="333"/>
      <c r="P1495" s="333"/>
      <c r="Q1495" s="333"/>
      <c r="R1495" s="333"/>
      <c r="S1495" s="333"/>
      <c r="T1495" s="334"/>
      <c r="AT1495" s="329" t="s">
        <v>155</v>
      </c>
      <c r="AU1495" s="329" t="s">
        <v>83</v>
      </c>
      <c r="AV1495" s="326" t="s">
        <v>81</v>
      </c>
      <c r="AW1495" s="326" t="s">
        <v>34</v>
      </c>
      <c r="AX1495" s="326" t="s">
        <v>76</v>
      </c>
      <c r="AY1495" s="329" t="s">
        <v>146</v>
      </c>
    </row>
    <row r="1496" spans="2:51" s="335" customFormat="1" ht="12">
      <c r="B1496" s="336"/>
      <c r="D1496" s="328" t="s">
        <v>155</v>
      </c>
      <c r="E1496" s="337" t="s">
        <v>1</v>
      </c>
      <c r="F1496" s="338" t="s">
        <v>934</v>
      </c>
      <c r="H1496" s="339">
        <v>377.304</v>
      </c>
      <c r="I1496" s="498"/>
      <c r="L1496" s="340"/>
      <c r="M1496" s="341"/>
      <c r="N1496" s="342"/>
      <c r="O1496" s="342"/>
      <c r="P1496" s="342"/>
      <c r="Q1496" s="342"/>
      <c r="R1496" s="342"/>
      <c r="S1496" s="342"/>
      <c r="T1496" s="343"/>
      <c r="AT1496" s="337" t="s">
        <v>155</v>
      </c>
      <c r="AU1496" s="337" t="s">
        <v>83</v>
      </c>
      <c r="AV1496" s="335" t="s">
        <v>83</v>
      </c>
      <c r="AW1496" s="335" t="s">
        <v>34</v>
      </c>
      <c r="AX1496" s="335" t="s">
        <v>76</v>
      </c>
      <c r="AY1496" s="337" t="s">
        <v>146</v>
      </c>
    </row>
    <row r="1497" spans="2:51" s="326" customFormat="1" ht="12">
      <c r="B1497" s="327"/>
      <c r="D1497" s="328" t="s">
        <v>155</v>
      </c>
      <c r="E1497" s="329" t="s">
        <v>1</v>
      </c>
      <c r="F1497" s="330" t="s">
        <v>935</v>
      </c>
      <c r="H1497" s="329" t="s">
        <v>1</v>
      </c>
      <c r="I1497" s="497"/>
      <c r="L1497" s="331"/>
      <c r="M1497" s="332"/>
      <c r="N1497" s="333"/>
      <c r="O1497" s="333"/>
      <c r="P1497" s="333"/>
      <c r="Q1497" s="333"/>
      <c r="R1497" s="333"/>
      <c r="S1497" s="333"/>
      <c r="T1497" s="334"/>
      <c r="AT1497" s="329" t="s">
        <v>155</v>
      </c>
      <c r="AU1497" s="329" t="s">
        <v>83</v>
      </c>
      <c r="AV1497" s="326" t="s">
        <v>81</v>
      </c>
      <c r="AW1497" s="326" t="s">
        <v>34</v>
      </c>
      <c r="AX1497" s="326" t="s">
        <v>76</v>
      </c>
      <c r="AY1497" s="329" t="s">
        <v>146</v>
      </c>
    </row>
    <row r="1498" spans="2:51" s="335" customFormat="1" ht="12">
      <c r="B1498" s="336"/>
      <c r="D1498" s="328" t="s">
        <v>155</v>
      </c>
      <c r="E1498" s="337" t="s">
        <v>1</v>
      </c>
      <c r="F1498" s="338" t="s">
        <v>936</v>
      </c>
      <c r="H1498" s="339">
        <v>329.138</v>
      </c>
      <c r="I1498" s="498"/>
      <c r="L1498" s="340"/>
      <c r="M1498" s="341"/>
      <c r="N1498" s="342"/>
      <c r="O1498" s="342"/>
      <c r="P1498" s="342"/>
      <c r="Q1498" s="342"/>
      <c r="R1498" s="342"/>
      <c r="S1498" s="342"/>
      <c r="T1498" s="343"/>
      <c r="AT1498" s="337" t="s">
        <v>155</v>
      </c>
      <c r="AU1498" s="337" t="s">
        <v>83</v>
      </c>
      <c r="AV1498" s="335" t="s">
        <v>83</v>
      </c>
      <c r="AW1498" s="335" t="s">
        <v>34</v>
      </c>
      <c r="AX1498" s="335" t="s">
        <v>76</v>
      </c>
      <c r="AY1498" s="337" t="s">
        <v>146</v>
      </c>
    </row>
    <row r="1499" spans="2:51" s="335" customFormat="1" ht="12">
      <c r="B1499" s="336"/>
      <c r="D1499" s="328" t="s">
        <v>155</v>
      </c>
      <c r="E1499" s="337" t="s">
        <v>1</v>
      </c>
      <c r="F1499" s="338" t="s">
        <v>937</v>
      </c>
      <c r="H1499" s="339">
        <v>25.875</v>
      </c>
      <c r="I1499" s="498"/>
      <c r="L1499" s="340"/>
      <c r="M1499" s="341"/>
      <c r="N1499" s="342"/>
      <c r="O1499" s="342"/>
      <c r="P1499" s="342"/>
      <c r="Q1499" s="342"/>
      <c r="R1499" s="342"/>
      <c r="S1499" s="342"/>
      <c r="T1499" s="343"/>
      <c r="AT1499" s="337" t="s">
        <v>155</v>
      </c>
      <c r="AU1499" s="337" t="s">
        <v>83</v>
      </c>
      <c r="AV1499" s="335" t="s">
        <v>83</v>
      </c>
      <c r="AW1499" s="335" t="s">
        <v>34</v>
      </c>
      <c r="AX1499" s="335" t="s">
        <v>76</v>
      </c>
      <c r="AY1499" s="337" t="s">
        <v>146</v>
      </c>
    </row>
    <row r="1500" spans="2:51" s="335" customFormat="1" ht="12">
      <c r="B1500" s="336"/>
      <c r="D1500" s="328" t="s">
        <v>155</v>
      </c>
      <c r="E1500" s="337" t="s">
        <v>1</v>
      </c>
      <c r="F1500" s="338" t="s">
        <v>938</v>
      </c>
      <c r="H1500" s="339">
        <v>27.488</v>
      </c>
      <c r="I1500" s="498"/>
      <c r="L1500" s="340"/>
      <c r="M1500" s="341"/>
      <c r="N1500" s="342"/>
      <c r="O1500" s="342"/>
      <c r="P1500" s="342"/>
      <c r="Q1500" s="342"/>
      <c r="R1500" s="342"/>
      <c r="S1500" s="342"/>
      <c r="T1500" s="343"/>
      <c r="AT1500" s="337" t="s">
        <v>155</v>
      </c>
      <c r="AU1500" s="337" t="s">
        <v>83</v>
      </c>
      <c r="AV1500" s="335" t="s">
        <v>83</v>
      </c>
      <c r="AW1500" s="335" t="s">
        <v>34</v>
      </c>
      <c r="AX1500" s="335" t="s">
        <v>76</v>
      </c>
      <c r="AY1500" s="337" t="s">
        <v>146</v>
      </c>
    </row>
    <row r="1501" spans="2:51" s="326" customFormat="1" ht="12">
      <c r="B1501" s="327"/>
      <c r="D1501" s="328" t="s">
        <v>155</v>
      </c>
      <c r="E1501" s="329" t="s">
        <v>1</v>
      </c>
      <c r="F1501" s="330" t="s">
        <v>939</v>
      </c>
      <c r="H1501" s="329" t="s">
        <v>1</v>
      </c>
      <c r="I1501" s="497"/>
      <c r="L1501" s="331"/>
      <c r="M1501" s="332"/>
      <c r="N1501" s="333"/>
      <c r="O1501" s="333"/>
      <c r="P1501" s="333"/>
      <c r="Q1501" s="333"/>
      <c r="R1501" s="333"/>
      <c r="S1501" s="333"/>
      <c r="T1501" s="334"/>
      <c r="AT1501" s="329" t="s">
        <v>155</v>
      </c>
      <c r="AU1501" s="329" t="s">
        <v>83</v>
      </c>
      <c r="AV1501" s="326" t="s">
        <v>81</v>
      </c>
      <c r="AW1501" s="326" t="s">
        <v>34</v>
      </c>
      <c r="AX1501" s="326" t="s">
        <v>76</v>
      </c>
      <c r="AY1501" s="329" t="s">
        <v>146</v>
      </c>
    </row>
    <row r="1502" spans="2:51" s="335" customFormat="1" ht="12">
      <c r="B1502" s="336"/>
      <c r="D1502" s="328" t="s">
        <v>155</v>
      </c>
      <c r="E1502" s="337" t="s">
        <v>1</v>
      </c>
      <c r="F1502" s="338" t="s">
        <v>940</v>
      </c>
      <c r="H1502" s="339">
        <v>43.47</v>
      </c>
      <c r="I1502" s="498"/>
      <c r="L1502" s="340"/>
      <c r="M1502" s="341"/>
      <c r="N1502" s="342"/>
      <c r="O1502" s="342"/>
      <c r="P1502" s="342"/>
      <c r="Q1502" s="342"/>
      <c r="R1502" s="342"/>
      <c r="S1502" s="342"/>
      <c r="T1502" s="343"/>
      <c r="AT1502" s="337" t="s">
        <v>155</v>
      </c>
      <c r="AU1502" s="337" t="s">
        <v>83</v>
      </c>
      <c r="AV1502" s="335" t="s">
        <v>83</v>
      </c>
      <c r="AW1502" s="335" t="s">
        <v>34</v>
      </c>
      <c r="AX1502" s="335" t="s">
        <v>76</v>
      </c>
      <c r="AY1502" s="337" t="s">
        <v>146</v>
      </c>
    </row>
    <row r="1503" spans="2:51" s="326" customFormat="1" ht="12">
      <c r="B1503" s="327"/>
      <c r="D1503" s="328" t="s">
        <v>155</v>
      </c>
      <c r="E1503" s="329" t="s">
        <v>1</v>
      </c>
      <c r="F1503" s="330" t="s">
        <v>2862</v>
      </c>
      <c r="H1503" s="416">
        <f>SUM(H1496:H1502)</f>
        <v>803.2750000000001</v>
      </c>
      <c r="I1503" s="497"/>
      <c r="L1503" s="331"/>
      <c r="M1503" s="332"/>
      <c r="N1503" s="333"/>
      <c r="O1503" s="333"/>
      <c r="P1503" s="333"/>
      <c r="Q1503" s="333"/>
      <c r="R1503" s="333"/>
      <c r="S1503" s="333"/>
      <c r="T1503" s="334"/>
      <c r="AT1503" s="329" t="s">
        <v>155</v>
      </c>
      <c r="AU1503" s="329" t="s">
        <v>83</v>
      </c>
      <c r="AV1503" s="326" t="s">
        <v>81</v>
      </c>
      <c r="AW1503" s="326" t="s">
        <v>34</v>
      </c>
      <c r="AX1503" s="326" t="s">
        <v>76</v>
      </c>
      <c r="AY1503" s="329" t="s">
        <v>146</v>
      </c>
    </row>
    <row r="1504" spans="2:51" s="326" customFormat="1" ht="12">
      <c r="B1504" s="327"/>
      <c r="D1504" s="328" t="s">
        <v>155</v>
      </c>
      <c r="E1504" s="329" t="s">
        <v>1</v>
      </c>
      <c r="F1504" s="330" t="s">
        <v>942</v>
      </c>
      <c r="H1504" s="416">
        <f>H1503</f>
        <v>803.2750000000001</v>
      </c>
      <c r="I1504" s="497"/>
      <c r="L1504" s="331"/>
      <c r="M1504" s="332"/>
      <c r="N1504" s="333"/>
      <c r="O1504" s="333"/>
      <c r="P1504" s="333"/>
      <c r="Q1504" s="333"/>
      <c r="R1504" s="333"/>
      <c r="S1504" s="333"/>
      <c r="T1504" s="334"/>
      <c r="AT1504" s="329" t="s">
        <v>155</v>
      </c>
      <c r="AU1504" s="329" t="s">
        <v>83</v>
      </c>
      <c r="AV1504" s="326" t="s">
        <v>81</v>
      </c>
      <c r="AW1504" s="326" t="s">
        <v>34</v>
      </c>
      <c r="AX1504" s="326" t="s">
        <v>76</v>
      </c>
      <c r="AY1504" s="329" t="s">
        <v>146</v>
      </c>
    </row>
    <row r="1505" spans="2:51" s="347" customFormat="1" ht="12">
      <c r="B1505" s="348"/>
      <c r="D1505" s="328" t="s">
        <v>155</v>
      </c>
      <c r="E1505" s="349" t="s">
        <v>1</v>
      </c>
      <c r="F1505" s="356" t="s">
        <v>157</v>
      </c>
      <c r="H1505" s="351">
        <f>H1503+H1504</f>
        <v>1606.5500000000002</v>
      </c>
      <c r="I1505" s="499"/>
      <c r="L1505" s="352"/>
      <c r="M1505" s="353"/>
      <c r="N1505" s="354"/>
      <c r="O1505" s="354"/>
      <c r="P1505" s="354"/>
      <c r="Q1505" s="354"/>
      <c r="R1505" s="354"/>
      <c r="S1505" s="354"/>
      <c r="T1505" s="355"/>
      <c r="AT1505" s="349" t="s">
        <v>155</v>
      </c>
      <c r="AU1505" s="349" t="s">
        <v>83</v>
      </c>
      <c r="AV1505" s="347" t="s">
        <v>153</v>
      </c>
      <c r="AW1505" s="347" t="s">
        <v>34</v>
      </c>
      <c r="AX1505" s="347" t="s">
        <v>81</v>
      </c>
      <c r="AY1505" s="349" t="s">
        <v>146</v>
      </c>
    </row>
    <row r="1506" spans="1:65" s="225" customFormat="1" ht="60" customHeight="1">
      <c r="A1506" s="222"/>
      <c r="B1506" s="223"/>
      <c r="C1506" s="358">
        <v>270</v>
      </c>
      <c r="D1506" s="358" t="s">
        <v>208</v>
      </c>
      <c r="E1506" s="359" t="s">
        <v>1079</v>
      </c>
      <c r="F1506" s="364" t="s">
        <v>2864</v>
      </c>
      <c r="G1506" s="361" t="s">
        <v>151</v>
      </c>
      <c r="H1506" s="362">
        <f>H1507</f>
        <v>827.37325</v>
      </c>
      <c r="I1506" s="80"/>
      <c r="J1506" s="363">
        <f>ROUND(I1506*H1506,2)</f>
        <v>0</v>
      </c>
      <c r="K1506" s="364"/>
      <c r="L1506" s="229"/>
      <c r="M1506" s="366" t="s">
        <v>1</v>
      </c>
      <c r="N1506" s="367" t="s">
        <v>42</v>
      </c>
      <c r="O1506" s="322">
        <v>0</v>
      </c>
      <c r="P1506" s="322">
        <f>O1506*H1506</f>
        <v>0</v>
      </c>
      <c r="Q1506" s="322">
        <v>0.0005</v>
      </c>
      <c r="R1506" s="322">
        <f>Q1506*H1506</f>
        <v>0.413686625</v>
      </c>
      <c r="S1506" s="322">
        <v>0</v>
      </c>
      <c r="T1506" s="323">
        <f>S1506*H1506</f>
        <v>0</v>
      </c>
      <c r="U1506" s="222"/>
      <c r="V1506" s="222"/>
      <c r="W1506" s="222"/>
      <c r="X1506" s="222"/>
      <c r="Y1506" s="222"/>
      <c r="Z1506" s="222"/>
      <c r="AA1506" s="222"/>
      <c r="AB1506" s="222"/>
      <c r="AC1506" s="222"/>
      <c r="AD1506" s="222"/>
      <c r="AE1506" s="222"/>
      <c r="AR1506" s="324" t="s">
        <v>298</v>
      </c>
      <c r="AT1506" s="324" t="s">
        <v>208</v>
      </c>
      <c r="AU1506" s="324" t="s">
        <v>83</v>
      </c>
      <c r="AY1506" s="214" t="s">
        <v>146</v>
      </c>
      <c r="BE1506" s="325">
        <f>IF(N1506="základní",J1506,0)</f>
        <v>0</v>
      </c>
      <c r="BF1506" s="325">
        <f>IF(N1506="snížená",J1506,0)</f>
        <v>0</v>
      </c>
      <c r="BG1506" s="325">
        <f>IF(N1506="zákl. přenesená",J1506,0)</f>
        <v>0</v>
      </c>
      <c r="BH1506" s="325">
        <f>IF(N1506="sníž. přenesená",J1506,0)</f>
        <v>0</v>
      </c>
      <c r="BI1506" s="325">
        <f>IF(N1506="nulová",J1506,0)</f>
        <v>0</v>
      </c>
      <c r="BJ1506" s="214" t="s">
        <v>81</v>
      </c>
      <c r="BK1506" s="325">
        <f>ROUND(I1506*H1506,2)</f>
        <v>0</v>
      </c>
      <c r="BL1506" s="214" t="s">
        <v>212</v>
      </c>
      <c r="BM1506" s="324" t="s">
        <v>1080</v>
      </c>
    </row>
    <row r="1507" spans="2:51" s="335" customFormat="1" ht="12">
      <c r="B1507" s="336"/>
      <c r="D1507" s="328" t="s">
        <v>155</v>
      </c>
      <c r="F1507" s="338" t="s">
        <v>3723</v>
      </c>
      <c r="H1507" s="339">
        <f>803.275*1.03</f>
        <v>827.37325</v>
      </c>
      <c r="I1507" s="498"/>
      <c r="L1507" s="340"/>
      <c r="M1507" s="341"/>
      <c r="N1507" s="342"/>
      <c r="O1507" s="342"/>
      <c r="P1507" s="342"/>
      <c r="Q1507" s="342"/>
      <c r="R1507" s="342"/>
      <c r="S1507" s="342"/>
      <c r="T1507" s="343"/>
      <c r="AT1507" s="337" t="s">
        <v>155</v>
      </c>
      <c r="AU1507" s="337" t="s">
        <v>83</v>
      </c>
      <c r="AV1507" s="335" t="s">
        <v>83</v>
      </c>
      <c r="AW1507" s="335" t="s">
        <v>3</v>
      </c>
      <c r="AX1507" s="335" t="s">
        <v>81</v>
      </c>
      <c r="AY1507" s="337" t="s">
        <v>146</v>
      </c>
    </row>
    <row r="1508" spans="1:65" s="225" customFormat="1" ht="49.15" customHeight="1">
      <c r="A1508" s="222"/>
      <c r="B1508" s="223"/>
      <c r="C1508" s="358">
        <v>271</v>
      </c>
      <c r="D1508" s="358" t="s">
        <v>208</v>
      </c>
      <c r="E1508" s="359"/>
      <c r="F1508" s="364" t="s">
        <v>2863</v>
      </c>
      <c r="G1508" s="361" t="s">
        <v>151</v>
      </c>
      <c r="H1508" s="362">
        <f>H1509</f>
        <v>827.37325</v>
      </c>
      <c r="I1508" s="80"/>
      <c r="J1508" s="363">
        <f>ROUND(I1508*H1508,2)</f>
        <v>0</v>
      </c>
      <c r="K1508" s="364"/>
      <c r="L1508" s="229"/>
      <c r="M1508" s="366" t="s">
        <v>1</v>
      </c>
      <c r="N1508" s="367" t="s">
        <v>42</v>
      </c>
      <c r="O1508" s="322">
        <v>0</v>
      </c>
      <c r="P1508" s="322">
        <f>O1508*H1508</f>
        <v>0</v>
      </c>
      <c r="Q1508" s="322">
        <v>0.00016</v>
      </c>
      <c r="R1508" s="322">
        <f>Q1508*H1508</f>
        <v>0.13237972</v>
      </c>
      <c r="S1508" s="322">
        <v>0</v>
      </c>
      <c r="T1508" s="323">
        <f>S1508*H1508</f>
        <v>0</v>
      </c>
      <c r="U1508" s="222"/>
      <c r="V1508" s="222"/>
      <c r="W1508" s="222"/>
      <c r="X1508" s="222"/>
      <c r="Y1508" s="222"/>
      <c r="Z1508" s="222"/>
      <c r="AA1508" s="222"/>
      <c r="AB1508" s="222"/>
      <c r="AC1508" s="222"/>
      <c r="AD1508" s="222"/>
      <c r="AE1508" s="222"/>
      <c r="AR1508" s="324" t="s">
        <v>298</v>
      </c>
      <c r="AT1508" s="324" t="s">
        <v>208</v>
      </c>
      <c r="AU1508" s="324" t="s">
        <v>83</v>
      </c>
      <c r="AY1508" s="214" t="s">
        <v>146</v>
      </c>
      <c r="BE1508" s="325">
        <f>IF(N1508="základní",J1508,0)</f>
        <v>0</v>
      </c>
      <c r="BF1508" s="325">
        <f>IF(N1508="snížená",J1508,0)</f>
        <v>0</v>
      </c>
      <c r="BG1508" s="325">
        <f>IF(N1508="zákl. přenesená",J1508,0)</f>
        <v>0</v>
      </c>
      <c r="BH1508" s="325">
        <f>IF(N1508="sníž. přenesená",J1508,0)</f>
        <v>0</v>
      </c>
      <c r="BI1508" s="325">
        <f>IF(N1508="nulová",J1508,0)</f>
        <v>0</v>
      </c>
      <c r="BJ1508" s="214" t="s">
        <v>81</v>
      </c>
      <c r="BK1508" s="325">
        <f>ROUND(I1508*H1508,2)</f>
        <v>0</v>
      </c>
      <c r="BL1508" s="214" t="s">
        <v>212</v>
      </c>
      <c r="BM1508" s="324" t="s">
        <v>1080</v>
      </c>
    </row>
    <row r="1509" spans="2:51" s="335" customFormat="1" ht="12">
      <c r="B1509" s="336"/>
      <c r="D1509" s="328" t="s">
        <v>155</v>
      </c>
      <c r="F1509" s="338" t="s">
        <v>3723</v>
      </c>
      <c r="H1509" s="339">
        <f>803.275*1.03</f>
        <v>827.37325</v>
      </c>
      <c r="I1509" s="498"/>
      <c r="L1509" s="340"/>
      <c r="M1509" s="341"/>
      <c r="N1509" s="342"/>
      <c r="O1509" s="342"/>
      <c r="P1509" s="342"/>
      <c r="Q1509" s="342"/>
      <c r="R1509" s="342"/>
      <c r="S1509" s="342"/>
      <c r="T1509" s="343"/>
      <c r="AT1509" s="337" t="s">
        <v>155</v>
      </c>
      <c r="AU1509" s="337" t="s">
        <v>83</v>
      </c>
      <c r="AV1509" s="335" t="s">
        <v>83</v>
      </c>
      <c r="AW1509" s="335" t="s">
        <v>3</v>
      </c>
      <c r="AX1509" s="335" t="s">
        <v>81</v>
      </c>
      <c r="AY1509" s="337" t="s">
        <v>146</v>
      </c>
    </row>
    <row r="1510" spans="1:65" s="225" customFormat="1" ht="24.2" customHeight="1">
      <c r="A1510" s="222"/>
      <c r="B1510" s="223"/>
      <c r="C1510" s="314">
        <v>272</v>
      </c>
      <c r="D1510" s="314" t="s">
        <v>148</v>
      </c>
      <c r="E1510" s="315" t="s">
        <v>1081</v>
      </c>
      <c r="F1510" s="316" t="s">
        <v>2915</v>
      </c>
      <c r="G1510" s="317" t="s">
        <v>194</v>
      </c>
      <c r="H1510" s="318">
        <f>R1492</f>
        <v>0.557312195</v>
      </c>
      <c r="I1510" s="79"/>
      <c r="J1510" s="319">
        <f>ROUND(I1510*H1510,2)</f>
        <v>0</v>
      </c>
      <c r="K1510" s="316"/>
      <c r="L1510" s="229"/>
      <c r="M1510" s="320" t="s">
        <v>1</v>
      </c>
      <c r="N1510" s="321" t="s">
        <v>42</v>
      </c>
      <c r="O1510" s="322">
        <v>0</v>
      </c>
      <c r="P1510" s="322">
        <f>O1510*H1510</f>
        <v>0</v>
      </c>
      <c r="Q1510" s="322"/>
      <c r="R1510" s="322"/>
      <c r="S1510" s="322"/>
      <c r="T1510" s="323"/>
      <c r="U1510" s="222"/>
      <c r="V1510" s="222"/>
      <c r="W1510" s="222"/>
      <c r="X1510" s="222"/>
      <c r="Y1510" s="222"/>
      <c r="Z1510" s="222"/>
      <c r="AA1510" s="222"/>
      <c r="AB1510" s="222"/>
      <c r="AC1510" s="222"/>
      <c r="AD1510" s="222"/>
      <c r="AE1510" s="222"/>
      <c r="AR1510" s="324" t="s">
        <v>212</v>
      </c>
      <c r="AT1510" s="324" t="s">
        <v>148</v>
      </c>
      <c r="AU1510" s="324" t="s">
        <v>83</v>
      </c>
      <c r="AY1510" s="214" t="s">
        <v>146</v>
      </c>
      <c r="BE1510" s="325">
        <f>IF(N1510="základní",J1510,0)</f>
        <v>0</v>
      </c>
      <c r="BF1510" s="325">
        <f>IF(N1510="snížená",J1510,0)</f>
        <v>0</v>
      </c>
      <c r="BG1510" s="325">
        <f>IF(N1510="zákl. přenesená",J1510,0)</f>
        <v>0</v>
      </c>
      <c r="BH1510" s="325">
        <f>IF(N1510="sníž. přenesená",J1510,0)</f>
        <v>0</v>
      </c>
      <c r="BI1510" s="325">
        <f>IF(N1510="nulová",J1510,0)</f>
        <v>0</v>
      </c>
      <c r="BJ1510" s="214" t="s">
        <v>81</v>
      </c>
      <c r="BK1510" s="325">
        <f>ROUND(I1510*H1510,2)</f>
        <v>0</v>
      </c>
      <c r="BL1510" s="214" t="s">
        <v>212</v>
      </c>
      <c r="BM1510" s="324" t="s">
        <v>1082</v>
      </c>
    </row>
    <row r="1511" spans="2:63" s="297" customFormat="1" ht="22.9" customHeight="1">
      <c r="B1511" s="298"/>
      <c r="D1511" s="299" t="s">
        <v>75</v>
      </c>
      <c r="E1511" s="310"/>
      <c r="F1511" s="310" t="s">
        <v>2890</v>
      </c>
      <c r="I1511" s="501"/>
      <c r="J1511" s="311">
        <f>SUM(J1512:J1550)</f>
        <v>0</v>
      </c>
      <c r="L1511" s="302"/>
      <c r="M1511" s="303"/>
      <c r="N1511" s="304"/>
      <c r="O1511" s="304"/>
      <c r="P1511" s="305">
        <f>SUM(P1512:P1604)</f>
        <v>178.778508</v>
      </c>
      <c r="Q1511" s="304"/>
      <c r="R1511" s="305">
        <f>SUM(R1512:R1550)</f>
        <v>6.274699999999999</v>
      </c>
      <c r="S1511" s="304"/>
      <c r="T1511" s="313">
        <f>SUM(T1512:T1550)</f>
        <v>0</v>
      </c>
      <c r="AR1511" s="299" t="s">
        <v>83</v>
      </c>
      <c r="AT1511" s="308" t="s">
        <v>75</v>
      </c>
      <c r="AU1511" s="308" t="s">
        <v>81</v>
      </c>
      <c r="AY1511" s="299" t="s">
        <v>146</v>
      </c>
      <c r="BK1511" s="309">
        <f>SUM(BK1512:BK1604)</f>
        <v>0</v>
      </c>
    </row>
    <row r="1512" spans="1:65" s="225" customFormat="1" ht="84.75" customHeight="1">
      <c r="A1512" s="222"/>
      <c r="B1512" s="223"/>
      <c r="C1512" s="314">
        <v>273</v>
      </c>
      <c r="D1512" s="314" t="s">
        <v>148</v>
      </c>
      <c r="E1512" s="315" t="s">
        <v>2420</v>
      </c>
      <c r="F1512" s="316" t="s">
        <v>2895</v>
      </c>
      <c r="G1512" s="317" t="s">
        <v>301</v>
      </c>
      <c r="H1512" s="318">
        <v>5</v>
      </c>
      <c r="I1512" s="79"/>
      <c r="J1512" s="319">
        <f>ROUND(I1512*H1512,2)</f>
        <v>0</v>
      </c>
      <c r="K1512" s="316"/>
      <c r="L1512" s="229"/>
      <c r="M1512" s="320" t="s">
        <v>1</v>
      </c>
      <c r="N1512" s="321" t="s">
        <v>42</v>
      </c>
      <c r="O1512" s="322">
        <v>0</v>
      </c>
      <c r="P1512" s="322">
        <f>O1512*H1512</f>
        <v>0</v>
      </c>
      <c r="Q1512" s="322">
        <v>0.2</v>
      </c>
      <c r="R1512" s="322">
        <f>Q1512*H1512</f>
        <v>1</v>
      </c>
      <c r="S1512" s="322">
        <v>0</v>
      </c>
      <c r="T1512" s="323">
        <f>S1512*H1512</f>
        <v>0</v>
      </c>
      <c r="U1512" s="222"/>
      <c r="V1512" s="222"/>
      <c r="W1512" s="222"/>
      <c r="X1512" s="222"/>
      <c r="Y1512" s="222"/>
      <c r="Z1512" s="222"/>
      <c r="AA1512" s="222"/>
      <c r="AB1512" s="222"/>
      <c r="AC1512" s="222"/>
      <c r="AD1512" s="222"/>
      <c r="AE1512" s="222"/>
      <c r="AR1512" s="324" t="s">
        <v>212</v>
      </c>
      <c r="AT1512" s="324" t="s">
        <v>148</v>
      </c>
      <c r="AU1512" s="324" t="s">
        <v>83</v>
      </c>
      <c r="AY1512" s="214" t="s">
        <v>146</v>
      </c>
      <c r="BE1512" s="325">
        <f>IF(N1512="základní",J1512,0)</f>
        <v>0</v>
      </c>
      <c r="BF1512" s="325">
        <f>IF(N1512="snížená",J1512,0)</f>
        <v>0</v>
      </c>
      <c r="BG1512" s="325">
        <f>IF(N1512="zákl. přenesená",J1512,0)</f>
        <v>0</v>
      </c>
      <c r="BH1512" s="325">
        <f>IF(N1512="sníž. přenesená",J1512,0)</f>
        <v>0</v>
      </c>
      <c r="BI1512" s="325">
        <f>IF(N1512="nulová",J1512,0)</f>
        <v>0</v>
      </c>
      <c r="BJ1512" s="214" t="s">
        <v>81</v>
      </c>
      <c r="BK1512" s="325">
        <f>ROUND(I1512*H1512,2)</f>
        <v>0</v>
      </c>
      <c r="BL1512" s="214" t="s">
        <v>212</v>
      </c>
      <c r="BM1512" s="324" t="s">
        <v>2421</v>
      </c>
    </row>
    <row r="1513" spans="2:51" s="326" customFormat="1" ht="12">
      <c r="B1513" s="327"/>
      <c r="D1513" s="328" t="s">
        <v>155</v>
      </c>
      <c r="E1513" s="329" t="s">
        <v>1</v>
      </c>
      <c r="F1513" s="330" t="s">
        <v>1086</v>
      </c>
      <c r="H1513" s="329" t="s">
        <v>1</v>
      </c>
      <c r="I1513" s="497"/>
      <c r="L1513" s="331"/>
      <c r="M1513" s="332"/>
      <c r="N1513" s="333"/>
      <c r="O1513" s="333"/>
      <c r="P1513" s="333"/>
      <c r="Q1513" s="333"/>
      <c r="R1513" s="333"/>
      <c r="S1513" s="333"/>
      <c r="T1513" s="334"/>
      <c r="AT1513" s="329" t="s">
        <v>155</v>
      </c>
      <c r="AU1513" s="329" t="s">
        <v>83</v>
      </c>
      <c r="AV1513" s="326" t="s">
        <v>81</v>
      </c>
      <c r="AW1513" s="326" t="s">
        <v>34</v>
      </c>
      <c r="AX1513" s="326" t="s">
        <v>76</v>
      </c>
      <c r="AY1513" s="329" t="s">
        <v>146</v>
      </c>
    </row>
    <row r="1514" spans="1:65" s="225" customFormat="1" ht="79.5" customHeight="1">
      <c r="A1514" s="222"/>
      <c r="B1514" s="223"/>
      <c r="C1514" s="314">
        <v>274</v>
      </c>
      <c r="D1514" s="314" t="s">
        <v>148</v>
      </c>
      <c r="E1514" s="315" t="s">
        <v>2422</v>
      </c>
      <c r="F1514" s="316" t="s">
        <v>3680</v>
      </c>
      <c r="G1514" s="317" t="s">
        <v>301</v>
      </c>
      <c r="H1514" s="318">
        <v>9</v>
      </c>
      <c r="I1514" s="79"/>
      <c r="J1514" s="319">
        <f>ROUND(I1514*H1514,2)</f>
        <v>0</v>
      </c>
      <c r="K1514" s="316"/>
      <c r="L1514" s="229"/>
      <c r="M1514" s="320" t="s">
        <v>1</v>
      </c>
      <c r="N1514" s="321" t="s">
        <v>42</v>
      </c>
      <c r="O1514" s="322">
        <v>0</v>
      </c>
      <c r="P1514" s="322">
        <f>O1514*H1514</f>
        <v>0</v>
      </c>
      <c r="Q1514" s="322">
        <v>0.05</v>
      </c>
      <c r="R1514" s="322">
        <f>Q1514*H1514</f>
        <v>0.45</v>
      </c>
      <c r="S1514" s="322">
        <v>0</v>
      </c>
      <c r="T1514" s="323">
        <f>S1514*H1514</f>
        <v>0</v>
      </c>
      <c r="U1514" s="222"/>
      <c r="V1514" s="222"/>
      <c r="W1514" s="222"/>
      <c r="X1514" s="222"/>
      <c r="Y1514" s="222"/>
      <c r="Z1514" s="222"/>
      <c r="AA1514" s="222"/>
      <c r="AB1514" s="222"/>
      <c r="AC1514" s="222"/>
      <c r="AD1514" s="222"/>
      <c r="AE1514" s="222"/>
      <c r="AR1514" s="324" t="s">
        <v>212</v>
      </c>
      <c r="AT1514" s="324" t="s">
        <v>148</v>
      </c>
      <c r="AU1514" s="324" t="s">
        <v>83</v>
      </c>
      <c r="AY1514" s="214" t="s">
        <v>146</v>
      </c>
      <c r="BE1514" s="325">
        <f>IF(N1514="základní",J1514,0)</f>
        <v>0</v>
      </c>
      <c r="BF1514" s="325">
        <f>IF(N1514="snížená",J1514,0)</f>
        <v>0</v>
      </c>
      <c r="BG1514" s="325">
        <f>IF(N1514="zákl. přenesená",J1514,0)</f>
        <v>0</v>
      </c>
      <c r="BH1514" s="325">
        <f>IF(N1514="sníž. přenesená",J1514,0)</f>
        <v>0</v>
      </c>
      <c r="BI1514" s="325">
        <f>IF(N1514="nulová",J1514,0)</f>
        <v>0</v>
      </c>
      <c r="BJ1514" s="214" t="s">
        <v>81</v>
      </c>
      <c r="BK1514" s="325">
        <f>ROUND(I1514*H1514,2)</f>
        <v>0</v>
      </c>
      <c r="BL1514" s="214" t="s">
        <v>212</v>
      </c>
      <c r="BM1514" s="324" t="s">
        <v>2423</v>
      </c>
    </row>
    <row r="1515" spans="2:51" s="326" customFormat="1" ht="12">
      <c r="B1515" s="327"/>
      <c r="D1515" s="328" t="s">
        <v>155</v>
      </c>
      <c r="E1515" s="329" t="s">
        <v>1</v>
      </c>
      <c r="F1515" s="330" t="s">
        <v>1086</v>
      </c>
      <c r="H1515" s="329" t="s">
        <v>1</v>
      </c>
      <c r="I1515" s="497"/>
      <c r="L1515" s="331"/>
      <c r="M1515" s="332"/>
      <c r="N1515" s="333"/>
      <c r="O1515" s="333"/>
      <c r="P1515" s="333"/>
      <c r="Q1515" s="333"/>
      <c r="R1515" s="333"/>
      <c r="S1515" s="333"/>
      <c r="T1515" s="334"/>
      <c r="AT1515" s="329" t="s">
        <v>155</v>
      </c>
      <c r="AU1515" s="329" t="s">
        <v>83</v>
      </c>
      <c r="AV1515" s="326" t="s">
        <v>81</v>
      </c>
      <c r="AW1515" s="326" t="s">
        <v>34</v>
      </c>
      <c r="AX1515" s="326" t="s">
        <v>76</v>
      </c>
      <c r="AY1515" s="329" t="s">
        <v>146</v>
      </c>
    </row>
    <row r="1516" spans="1:65" s="225" customFormat="1" ht="36" customHeight="1">
      <c r="A1516" s="222"/>
      <c r="B1516" s="223"/>
      <c r="C1516" s="314">
        <v>275</v>
      </c>
      <c r="D1516" s="314" t="s">
        <v>148</v>
      </c>
      <c r="E1516" s="315" t="s">
        <v>2422</v>
      </c>
      <c r="F1516" s="316" t="s">
        <v>3692</v>
      </c>
      <c r="G1516" s="317" t="s">
        <v>301</v>
      </c>
      <c r="H1516" s="318">
        <v>9</v>
      </c>
      <c r="I1516" s="79"/>
      <c r="J1516" s="319">
        <f>ROUND(I1516*H1516,2)</f>
        <v>0</v>
      </c>
      <c r="K1516" s="316" t="s">
        <v>1</v>
      </c>
      <c r="L1516" s="223"/>
      <c r="M1516" s="320" t="s">
        <v>1</v>
      </c>
      <c r="N1516" s="321" t="s">
        <v>42</v>
      </c>
      <c r="O1516" s="322">
        <v>0</v>
      </c>
      <c r="P1516" s="322">
        <f>O1516*H1516</f>
        <v>0</v>
      </c>
      <c r="Q1516" s="322">
        <v>0.005</v>
      </c>
      <c r="R1516" s="322">
        <f>Q1516*H1516</f>
        <v>0.045</v>
      </c>
      <c r="S1516" s="322">
        <v>0</v>
      </c>
      <c r="T1516" s="323">
        <f>S1516*H1516</f>
        <v>0</v>
      </c>
      <c r="U1516" s="222"/>
      <c r="V1516" s="222"/>
      <c r="W1516" s="222"/>
      <c r="X1516" s="222"/>
      <c r="Y1516" s="222"/>
      <c r="Z1516" s="222"/>
      <c r="AA1516" s="222"/>
      <c r="AB1516" s="222"/>
      <c r="AC1516" s="222"/>
      <c r="AD1516" s="222"/>
      <c r="AE1516" s="222"/>
      <c r="AR1516" s="324" t="s">
        <v>212</v>
      </c>
      <c r="AT1516" s="324" t="s">
        <v>148</v>
      </c>
      <c r="AU1516" s="324" t="s">
        <v>83</v>
      </c>
      <c r="AY1516" s="214" t="s">
        <v>146</v>
      </c>
      <c r="BE1516" s="325">
        <f>IF(N1516="základní",J1516,0)</f>
        <v>0</v>
      </c>
      <c r="BF1516" s="325">
        <f>IF(N1516="snížená",J1516,0)</f>
        <v>0</v>
      </c>
      <c r="BG1516" s="325">
        <f>IF(N1516="zákl. přenesená",J1516,0)</f>
        <v>0</v>
      </c>
      <c r="BH1516" s="325">
        <f>IF(N1516="sníž. přenesená",J1516,0)</f>
        <v>0</v>
      </c>
      <c r="BI1516" s="325">
        <f>IF(N1516="nulová",J1516,0)</f>
        <v>0</v>
      </c>
      <c r="BJ1516" s="214" t="s">
        <v>81</v>
      </c>
      <c r="BK1516" s="325">
        <f>ROUND(I1516*H1516,2)</f>
        <v>0</v>
      </c>
      <c r="BL1516" s="214" t="s">
        <v>212</v>
      </c>
      <c r="BM1516" s="324" t="s">
        <v>2423</v>
      </c>
    </row>
    <row r="1517" spans="2:51" s="326" customFormat="1" ht="12">
      <c r="B1517" s="327"/>
      <c r="D1517" s="328" t="s">
        <v>155</v>
      </c>
      <c r="E1517" s="329" t="s">
        <v>1</v>
      </c>
      <c r="F1517" s="330" t="s">
        <v>1086</v>
      </c>
      <c r="H1517" s="329" t="s">
        <v>1</v>
      </c>
      <c r="I1517" s="497"/>
      <c r="L1517" s="331"/>
      <c r="M1517" s="332"/>
      <c r="N1517" s="333"/>
      <c r="O1517" s="333"/>
      <c r="P1517" s="333"/>
      <c r="Q1517" s="333"/>
      <c r="R1517" s="333"/>
      <c r="S1517" s="333"/>
      <c r="T1517" s="334"/>
      <c r="AT1517" s="329" t="s">
        <v>155</v>
      </c>
      <c r="AU1517" s="329" t="s">
        <v>83</v>
      </c>
      <c r="AV1517" s="326" t="s">
        <v>81</v>
      </c>
      <c r="AW1517" s="326" t="s">
        <v>34</v>
      </c>
      <c r="AX1517" s="326" t="s">
        <v>76</v>
      </c>
      <c r="AY1517" s="329" t="s">
        <v>146</v>
      </c>
    </row>
    <row r="1518" spans="1:65" s="225" customFormat="1" ht="84" customHeight="1">
      <c r="A1518" s="222"/>
      <c r="B1518" s="223"/>
      <c r="C1518" s="314">
        <v>276</v>
      </c>
      <c r="D1518" s="314" t="s">
        <v>148</v>
      </c>
      <c r="E1518" s="315" t="s">
        <v>1085</v>
      </c>
      <c r="F1518" s="316" t="s">
        <v>2896</v>
      </c>
      <c r="G1518" s="317" t="s">
        <v>301</v>
      </c>
      <c r="H1518" s="318">
        <v>5</v>
      </c>
      <c r="I1518" s="79"/>
      <c r="J1518" s="319">
        <f>ROUND(I1518*H1518,2)</f>
        <v>0</v>
      </c>
      <c r="K1518" s="316"/>
      <c r="L1518" s="229"/>
      <c r="M1518" s="320" t="s">
        <v>1</v>
      </c>
      <c r="N1518" s="321" t="s">
        <v>42</v>
      </c>
      <c r="O1518" s="322">
        <v>0</v>
      </c>
      <c r="P1518" s="322">
        <f>O1518*H1518</f>
        <v>0</v>
      </c>
      <c r="Q1518" s="322">
        <v>0.146</v>
      </c>
      <c r="R1518" s="322">
        <f>Q1518*H1518</f>
        <v>0.73</v>
      </c>
      <c r="S1518" s="322">
        <v>0</v>
      </c>
      <c r="T1518" s="323">
        <f>S1518*H1518</f>
        <v>0</v>
      </c>
      <c r="U1518" s="222"/>
      <c r="V1518" s="222"/>
      <c r="W1518" s="222"/>
      <c r="X1518" s="222"/>
      <c r="Y1518" s="222"/>
      <c r="Z1518" s="222"/>
      <c r="AA1518" s="222"/>
      <c r="AB1518" s="222"/>
      <c r="AC1518" s="222"/>
      <c r="AD1518" s="222"/>
      <c r="AE1518" s="222"/>
      <c r="AR1518" s="324" t="s">
        <v>212</v>
      </c>
      <c r="AT1518" s="324" t="s">
        <v>148</v>
      </c>
      <c r="AU1518" s="324" t="s">
        <v>83</v>
      </c>
      <c r="AY1518" s="214" t="s">
        <v>146</v>
      </c>
      <c r="BE1518" s="325">
        <f>IF(N1518="základní",J1518,0)</f>
        <v>0</v>
      </c>
      <c r="BF1518" s="325">
        <f>IF(N1518="snížená",J1518,0)</f>
        <v>0</v>
      </c>
      <c r="BG1518" s="325">
        <f>IF(N1518="zákl. přenesená",J1518,0)</f>
        <v>0</v>
      </c>
      <c r="BH1518" s="325">
        <f>IF(N1518="sníž. přenesená",J1518,0)</f>
        <v>0</v>
      </c>
      <c r="BI1518" s="325">
        <f>IF(N1518="nulová",J1518,0)</f>
        <v>0</v>
      </c>
      <c r="BJ1518" s="214" t="s">
        <v>81</v>
      </c>
      <c r="BK1518" s="325">
        <f>ROUND(I1518*H1518,2)</f>
        <v>0</v>
      </c>
      <c r="BL1518" s="214" t="s">
        <v>212</v>
      </c>
      <c r="BM1518" s="324" t="s">
        <v>2424</v>
      </c>
    </row>
    <row r="1519" spans="2:51" s="326" customFormat="1" ht="12">
      <c r="B1519" s="327"/>
      <c r="D1519" s="328" t="s">
        <v>155</v>
      </c>
      <c r="E1519" s="329" t="s">
        <v>1</v>
      </c>
      <c r="F1519" s="330" t="s">
        <v>1086</v>
      </c>
      <c r="H1519" s="329" t="s">
        <v>1</v>
      </c>
      <c r="I1519" s="497"/>
      <c r="L1519" s="331"/>
      <c r="M1519" s="332"/>
      <c r="N1519" s="333"/>
      <c r="O1519" s="333"/>
      <c r="P1519" s="333"/>
      <c r="Q1519" s="333"/>
      <c r="R1519" s="333"/>
      <c r="S1519" s="333"/>
      <c r="T1519" s="334"/>
      <c r="AT1519" s="329" t="s">
        <v>155</v>
      </c>
      <c r="AU1519" s="329" t="s">
        <v>83</v>
      </c>
      <c r="AV1519" s="326" t="s">
        <v>81</v>
      </c>
      <c r="AW1519" s="326" t="s">
        <v>34</v>
      </c>
      <c r="AX1519" s="326" t="s">
        <v>76</v>
      </c>
      <c r="AY1519" s="329" t="s">
        <v>146</v>
      </c>
    </row>
    <row r="1520" spans="1:65" s="225" customFormat="1" ht="73.5" customHeight="1">
      <c r="A1520" s="222"/>
      <c r="B1520" s="223"/>
      <c r="C1520" s="314">
        <v>277</v>
      </c>
      <c r="D1520" s="314" t="s">
        <v>148</v>
      </c>
      <c r="E1520" s="315" t="s">
        <v>2425</v>
      </c>
      <c r="F1520" s="316" t="s">
        <v>2892</v>
      </c>
      <c r="G1520" s="317" t="s">
        <v>301</v>
      </c>
      <c r="H1520" s="318">
        <v>2</v>
      </c>
      <c r="I1520" s="79"/>
      <c r="J1520" s="319">
        <f>ROUND(I1520*H1520,2)</f>
        <v>0</v>
      </c>
      <c r="K1520" s="316"/>
      <c r="L1520" s="229"/>
      <c r="M1520" s="320" t="s">
        <v>1</v>
      </c>
      <c r="N1520" s="321" t="s">
        <v>42</v>
      </c>
      <c r="O1520" s="322">
        <v>0</v>
      </c>
      <c r="P1520" s="322">
        <f>O1520*H1520</f>
        <v>0</v>
      </c>
      <c r="Q1520" s="322">
        <v>0.2</v>
      </c>
      <c r="R1520" s="322">
        <f>Q1520*H1520</f>
        <v>0.4</v>
      </c>
      <c r="S1520" s="322">
        <v>0</v>
      </c>
      <c r="T1520" s="323">
        <f>S1520*H1520</f>
        <v>0</v>
      </c>
      <c r="U1520" s="222"/>
      <c r="V1520" s="222"/>
      <c r="W1520" s="222"/>
      <c r="X1520" s="222"/>
      <c r="Y1520" s="222"/>
      <c r="Z1520" s="222"/>
      <c r="AA1520" s="222"/>
      <c r="AB1520" s="222"/>
      <c r="AC1520" s="222"/>
      <c r="AD1520" s="222"/>
      <c r="AE1520" s="222"/>
      <c r="AR1520" s="324" t="s">
        <v>212</v>
      </c>
      <c r="AT1520" s="324" t="s">
        <v>148</v>
      </c>
      <c r="AU1520" s="324" t="s">
        <v>83</v>
      </c>
      <c r="AY1520" s="214" t="s">
        <v>146</v>
      </c>
      <c r="BE1520" s="325">
        <f>IF(N1520="základní",J1520,0)</f>
        <v>0</v>
      </c>
      <c r="BF1520" s="325">
        <f>IF(N1520="snížená",J1520,0)</f>
        <v>0</v>
      </c>
      <c r="BG1520" s="325">
        <f>IF(N1520="zákl. přenesená",J1520,0)</f>
        <v>0</v>
      </c>
      <c r="BH1520" s="325">
        <f>IF(N1520="sníž. přenesená",J1520,0)</f>
        <v>0</v>
      </c>
      <c r="BI1520" s="325">
        <f>IF(N1520="nulová",J1520,0)</f>
        <v>0</v>
      </c>
      <c r="BJ1520" s="214" t="s">
        <v>81</v>
      </c>
      <c r="BK1520" s="325">
        <f>ROUND(I1520*H1520,2)</f>
        <v>0</v>
      </c>
      <c r="BL1520" s="214" t="s">
        <v>212</v>
      </c>
      <c r="BM1520" s="324" t="s">
        <v>2426</v>
      </c>
    </row>
    <row r="1521" spans="2:51" s="326" customFormat="1" ht="12">
      <c r="B1521" s="327"/>
      <c r="D1521" s="328" t="s">
        <v>155</v>
      </c>
      <c r="E1521" s="329" t="s">
        <v>1</v>
      </c>
      <c r="F1521" s="330" t="s">
        <v>1086</v>
      </c>
      <c r="H1521" s="329" t="s">
        <v>1</v>
      </c>
      <c r="I1521" s="497"/>
      <c r="L1521" s="331"/>
      <c r="M1521" s="332"/>
      <c r="N1521" s="333"/>
      <c r="O1521" s="333"/>
      <c r="P1521" s="333"/>
      <c r="Q1521" s="333"/>
      <c r="R1521" s="333"/>
      <c r="S1521" s="333"/>
      <c r="T1521" s="334"/>
      <c r="AT1521" s="329" t="s">
        <v>155</v>
      </c>
      <c r="AU1521" s="329" t="s">
        <v>83</v>
      </c>
      <c r="AV1521" s="326" t="s">
        <v>81</v>
      </c>
      <c r="AW1521" s="326" t="s">
        <v>34</v>
      </c>
      <c r="AX1521" s="326" t="s">
        <v>76</v>
      </c>
      <c r="AY1521" s="329" t="s">
        <v>146</v>
      </c>
    </row>
    <row r="1522" spans="1:65" s="225" customFormat="1" ht="78" customHeight="1">
      <c r="A1522" s="222"/>
      <c r="B1522" s="223"/>
      <c r="C1522" s="314">
        <v>278</v>
      </c>
      <c r="D1522" s="314" t="s">
        <v>148</v>
      </c>
      <c r="E1522" s="315" t="s">
        <v>2427</v>
      </c>
      <c r="F1522" s="316" t="s">
        <v>2893</v>
      </c>
      <c r="G1522" s="317" t="s">
        <v>301</v>
      </c>
      <c r="H1522" s="318">
        <v>1</v>
      </c>
      <c r="I1522" s="79"/>
      <c r="J1522" s="319">
        <f>ROUND(I1522*H1522,2)</f>
        <v>0</v>
      </c>
      <c r="K1522" s="316"/>
      <c r="L1522" s="229"/>
      <c r="M1522" s="320" t="s">
        <v>1</v>
      </c>
      <c r="N1522" s="321" t="s">
        <v>42</v>
      </c>
      <c r="O1522" s="322">
        <v>0</v>
      </c>
      <c r="P1522" s="322">
        <f>O1522*H1522</f>
        <v>0</v>
      </c>
      <c r="Q1522" s="322">
        <v>0.23</v>
      </c>
      <c r="R1522" s="322">
        <f>Q1522*H1522</f>
        <v>0.23</v>
      </c>
      <c r="S1522" s="322">
        <v>0</v>
      </c>
      <c r="T1522" s="323">
        <f>S1522*H1522</f>
        <v>0</v>
      </c>
      <c r="U1522" s="222"/>
      <c r="V1522" s="222"/>
      <c r="W1522" s="222"/>
      <c r="X1522" s="222"/>
      <c r="Y1522" s="222"/>
      <c r="Z1522" s="222"/>
      <c r="AA1522" s="222"/>
      <c r="AB1522" s="222"/>
      <c r="AC1522" s="222"/>
      <c r="AD1522" s="222"/>
      <c r="AE1522" s="222"/>
      <c r="AR1522" s="324" t="s">
        <v>212</v>
      </c>
      <c r="AT1522" s="324" t="s">
        <v>148</v>
      </c>
      <c r="AU1522" s="324" t="s">
        <v>83</v>
      </c>
      <c r="AY1522" s="214" t="s">
        <v>146</v>
      </c>
      <c r="BE1522" s="325">
        <f>IF(N1522="základní",J1522,0)</f>
        <v>0</v>
      </c>
      <c r="BF1522" s="325">
        <f>IF(N1522="snížená",J1522,0)</f>
        <v>0</v>
      </c>
      <c r="BG1522" s="325">
        <f>IF(N1522="zákl. přenesená",J1522,0)</f>
        <v>0</v>
      </c>
      <c r="BH1522" s="325">
        <f>IF(N1522="sníž. přenesená",J1522,0)</f>
        <v>0</v>
      </c>
      <c r="BI1522" s="325">
        <f>IF(N1522="nulová",J1522,0)</f>
        <v>0</v>
      </c>
      <c r="BJ1522" s="214" t="s">
        <v>81</v>
      </c>
      <c r="BK1522" s="325">
        <f>ROUND(I1522*H1522,2)</f>
        <v>0</v>
      </c>
      <c r="BL1522" s="214" t="s">
        <v>212</v>
      </c>
      <c r="BM1522" s="324" t="s">
        <v>2428</v>
      </c>
    </row>
    <row r="1523" spans="2:51" s="326" customFormat="1" ht="12">
      <c r="B1523" s="327"/>
      <c r="D1523" s="328" t="s">
        <v>155</v>
      </c>
      <c r="E1523" s="329" t="s">
        <v>1</v>
      </c>
      <c r="F1523" s="330" t="s">
        <v>1086</v>
      </c>
      <c r="H1523" s="329" t="s">
        <v>1</v>
      </c>
      <c r="I1523" s="497"/>
      <c r="L1523" s="331"/>
      <c r="M1523" s="332"/>
      <c r="N1523" s="333"/>
      <c r="O1523" s="333"/>
      <c r="P1523" s="333"/>
      <c r="Q1523" s="333"/>
      <c r="R1523" s="333"/>
      <c r="S1523" s="333"/>
      <c r="T1523" s="334"/>
      <c r="AT1523" s="329" t="s">
        <v>155</v>
      </c>
      <c r="AU1523" s="329" t="s">
        <v>83</v>
      </c>
      <c r="AV1523" s="326" t="s">
        <v>81</v>
      </c>
      <c r="AW1523" s="326" t="s">
        <v>34</v>
      </c>
      <c r="AX1523" s="326" t="s">
        <v>76</v>
      </c>
      <c r="AY1523" s="329" t="s">
        <v>146</v>
      </c>
    </row>
    <row r="1524" spans="1:65" s="225" customFormat="1" ht="81.75" customHeight="1">
      <c r="A1524" s="222"/>
      <c r="B1524" s="223"/>
      <c r="C1524" s="314">
        <v>279</v>
      </c>
      <c r="D1524" s="314" t="s">
        <v>148</v>
      </c>
      <c r="E1524" s="315" t="s">
        <v>2429</v>
      </c>
      <c r="F1524" s="316" t="s">
        <v>2894</v>
      </c>
      <c r="G1524" s="317" t="s">
        <v>301</v>
      </c>
      <c r="H1524" s="318">
        <v>1</v>
      </c>
      <c r="I1524" s="79"/>
      <c r="J1524" s="319">
        <f>ROUND(I1524*H1524,2)</f>
        <v>0</v>
      </c>
      <c r="K1524" s="316"/>
      <c r="L1524" s="229"/>
      <c r="M1524" s="320" t="s">
        <v>1</v>
      </c>
      <c r="N1524" s="321" t="s">
        <v>42</v>
      </c>
      <c r="O1524" s="322">
        <v>0</v>
      </c>
      <c r="P1524" s="322">
        <f>O1524*H1524</f>
        <v>0</v>
      </c>
      <c r="Q1524" s="322">
        <v>0</v>
      </c>
      <c r="R1524" s="322">
        <f>Q1524*H1524</f>
        <v>0</v>
      </c>
      <c r="S1524" s="322">
        <v>0</v>
      </c>
      <c r="T1524" s="323">
        <f>S1524*H1524</f>
        <v>0</v>
      </c>
      <c r="U1524" s="222"/>
      <c r="V1524" s="222"/>
      <c r="W1524" s="222"/>
      <c r="X1524" s="222"/>
      <c r="Y1524" s="222"/>
      <c r="Z1524" s="222"/>
      <c r="AA1524" s="222"/>
      <c r="AB1524" s="222"/>
      <c r="AC1524" s="222"/>
      <c r="AD1524" s="222"/>
      <c r="AE1524" s="222"/>
      <c r="AR1524" s="324" t="s">
        <v>212</v>
      </c>
      <c r="AT1524" s="324" t="s">
        <v>148</v>
      </c>
      <c r="AU1524" s="324" t="s">
        <v>83</v>
      </c>
      <c r="AY1524" s="214" t="s">
        <v>146</v>
      </c>
      <c r="BE1524" s="325">
        <f>IF(N1524="základní",J1524,0)</f>
        <v>0</v>
      </c>
      <c r="BF1524" s="325">
        <f>IF(N1524="snížená",J1524,0)</f>
        <v>0</v>
      </c>
      <c r="BG1524" s="325">
        <f>IF(N1524="zákl. přenesená",J1524,0)</f>
        <v>0</v>
      </c>
      <c r="BH1524" s="325">
        <f>IF(N1524="sníž. přenesená",J1524,0)</f>
        <v>0</v>
      </c>
      <c r="BI1524" s="325">
        <f>IF(N1524="nulová",J1524,0)</f>
        <v>0</v>
      </c>
      <c r="BJ1524" s="214" t="s">
        <v>81</v>
      </c>
      <c r="BK1524" s="325">
        <f>ROUND(I1524*H1524,2)</f>
        <v>0</v>
      </c>
      <c r="BL1524" s="214" t="s">
        <v>212</v>
      </c>
      <c r="BM1524" s="324" t="s">
        <v>2430</v>
      </c>
    </row>
    <row r="1525" spans="2:51" s="326" customFormat="1" ht="12">
      <c r="B1525" s="327"/>
      <c r="D1525" s="328" t="s">
        <v>155</v>
      </c>
      <c r="E1525" s="329" t="s">
        <v>1</v>
      </c>
      <c r="F1525" s="330" t="s">
        <v>1086</v>
      </c>
      <c r="H1525" s="329" t="s">
        <v>1</v>
      </c>
      <c r="I1525" s="497"/>
      <c r="L1525" s="331"/>
      <c r="M1525" s="332"/>
      <c r="N1525" s="333"/>
      <c r="O1525" s="333"/>
      <c r="P1525" s="333"/>
      <c r="Q1525" s="333"/>
      <c r="R1525" s="333"/>
      <c r="S1525" s="333"/>
      <c r="T1525" s="334"/>
      <c r="AT1525" s="329" t="s">
        <v>155</v>
      </c>
      <c r="AU1525" s="329" t="s">
        <v>83</v>
      </c>
      <c r="AV1525" s="326" t="s">
        <v>81</v>
      </c>
      <c r="AW1525" s="326" t="s">
        <v>34</v>
      </c>
      <c r="AX1525" s="326" t="s">
        <v>76</v>
      </c>
      <c r="AY1525" s="329" t="s">
        <v>146</v>
      </c>
    </row>
    <row r="1526" spans="1:65" s="225" customFormat="1" ht="87.75" customHeight="1">
      <c r="A1526" s="222"/>
      <c r="B1526" s="223"/>
      <c r="C1526" s="314">
        <v>280</v>
      </c>
      <c r="D1526" s="314" t="s">
        <v>148</v>
      </c>
      <c r="E1526" s="315" t="s">
        <v>2431</v>
      </c>
      <c r="F1526" s="316" t="s">
        <v>2895</v>
      </c>
      <c r="G1526" s="317" t="s">
        <v>301</v>
      </c>
      <c r="H1526" s="318">
        <v>2</v>
      </c>
      <c r="I1526" s="79"/>
      <c r="J1526" s="319">
        <f>ROUND(I1526*H1526,2)</f>
        <v>0</v>
      </c>
      <c r="K1526" s="316"/>
      <c r="L1526" s="229"/>
      <c r="M1526" s="320" t="s">
        <v>1</v>
      </c>
      <c r="N1526" s="321" t="s">
        <v>42</v>
      </c>
      <c r="O1526" s="322">
        <v>0</v>
      </c>
      <c r="P1526" s="322">
        <f>O1526*H1526</f>
        <v>0</v>
      </c>
      <c r="Q1526" s="322">
        <v>0.2</v>
      </c>
      <c r="R1526" s="322">
        <f>Q1526*H1526</f>
        <v>0.4</v>
      </c>
      <c r="S1526" s="322">
        <v>0</v>
      </c>
      <c r="T1526" s="323">
        <f>S1526*H1526</f>
        <v>0</v>
      </c>
      <c r="U1526" s="222"/>
      <c r="V1526" s="222"/>
      <c r="W1526" s="222"/>
      <c r="X1526" s="222"/>
      <c r="Y1526" s="222"/>
      <c r="Z1526" s="222"/>
      <c r="AA1526" s="222"/>
      <c r="AB1526" s="222"/>
      <c r="AC1526" s="222"/>
      <c r="AD1526" s="222"/>
      <c r="AE1526" s="222"/>
      <c r="AR1526" s="324" t="s">
        <v>212</v>
      </c>
      <c r="AT1526" s="324" t="s">
        <v>148</v>
      </c>
      <c r="AU1526" s="324" t="s">
        <v>83</v>
      </c>
      <c r="AY1526" s="214" t="s">
        <v>146</v>
      </c>
      <c r="BE1526" s="325">
        <f>IF(N1526="základní",J1526,0)</f>
        <v>0</v>
      </c>
      <c r="BF1526" s="325">
        <f>IF(N1526="snížená",J1526,0)</f>
        <v>0</v>
      </c>
      <c r="BG1526" s="325">
        <f>IF(N1526="zákl. přenesená",J1526,0)</f>
        <v>0</v>
      </c>
      <c r="BH1526" s="325">
        <f>IF(N1526="sníž. přenesená",J1526,0)</f>
        <v>0</v>
      </c>
      <c r="BI1526" s="325">
        <f>IF(N1526="nulová",J1526,0)</f>
        <v>0</v>
      </c>
      <c r="BJ1526" s="214" t="s">
        <v>81</v>
      </c>
      <c r="BK1526" s="325">
        <f>ROUND(I1526*H1526,2)</f>
        <v>0</v>
      </c>
      <c r="BL1526" s="214" t="s">
        <v>212</v>
      </c>
      <c r="BM1526" s="324" t="s">
        <v>2432</v>
      </c>
    </row>
    <row r="1527" spans="2:51" s="326" customFormat="1" ht="12">
      <c r="B1527" s="327"/>
      <c r="D1527" s="328" t="s">
        <v>155</v>
      </c>
      <c r="E1527" s="329" t="s">
        <v>1</v>
      </c>
      <c r="F1527" s="330" t="s">
        <v>1086</v>
      </c>
      <c r="H1527" s="329" t="s">
        <v>1</v>
      </c>
      <c r="I1527" s="497"/>
      <c r="L1527" s="331"/>
      <c r="M1527" s="332"/>
      <c r="N1527" s="333"/>
      <c r="O1527" s="333"/>
      <c r="P1527" s="333"/>
      <c r="Q1527" s="333"/>
      <c r="R1527" s="333"/>
      <c r="S1527" s="333"/>
      <c r="T1527" s="334"/>
      <c r="AT1527" s="329" t="s">
        <v>155</v>
      </c>
      <c r="AU1527" s="329" t="s">
        <v>83</v>
      </c>
      <c r="AV1527" s="326" t="s">
        <v>81</v>
      </c>
      <c r="AW1527" s="326" t="s">
        <v>34</v>
      </c>
      <c r="AX1527" s="326" t="s">
        <v>76</v>
      </c>
      <c r="AY1527" s="329" t="s">
        <v>146</v>
      </c>
    </row>
    <row r="1528" spans="1:65" s="225" customFormat="1" ht="82.5" customHeight="1">
      <c r="A1528" s="222"/>
      <c r="B1528" s="223"/>
      <c r="C1528" s="314">
        <v>281</v>
      </c>
      <c r="D1528" s="314" t="s">
        <v>148</v>
      </c>
      <c r="E1528" s="315" t="s">
        <v>2433</v>
      </c>
      <c r="F1528" s="316" t="s">
        <v>2897</v>
      </c>
      <c r="G1528" s="317" t="s">
        <v>301</v>
      </c>
      <c r="H1528" s="318">
        <v>1</v>
      </c>
      <c r="I1528" s="79"/>
      <c r="J1528" s="319">
        <f>ROUND(I1528*H1528,2)</f>
        <v>0</v>
      </c>
      <c r="K1528" s="316"/>
      <c r="L1528" s="229"/>
      <c r="M1528" s="320" t="s">
        <v>1</v>
      </c>
      <c r="N1528" s="321" t="s">
        <v>42</v>
      </c>
      <c r="O1528" s="322">
        <v>0</v>
      </c>
      <c r="P1528" s="322">
        <f>O1528*H1528</f>
        <v>0</v>
      </c>
      <c r="Q1528" s="322">
        <v>0.09</v>
      </c>
      <c r="R1528" s="322">
        <f>Q1528*H1528</f>
        <v>0.09</v>
      </c>
      <c r="S1528" s="322">
        <v>0</v>
      </c>
      <c r="T1528" s="323">
        <f>S1528*H1528</f>
        <v>0</v>
      </c>
      <c r="U1528" s="222"/>
      <c r="V1528" s="222"/>
      <c r="W1528" s="222"/>
      <c r="X1528" s="222"/>
      <c r="Y1528" s="222"/>
      <c r="Z1528" s="222"/>
      <c r="AA1528" s="222"/>
      <c r="AB1528" s="222"/>
      <c r="AC1528" s="222"/>
      <c r="AD1528" s="222"/>
      <c r="AE1528" s="222"/>
      <c r="AR1528" s="324" t="s">
        <v>212</v>
      </c>
      <c r="AT1528" s="324" t="s">
        <v>148</v>
      </c>
      <c r="AU1528" s="324" t="s">
        <v>83</v>
      </c>
      <c r="AY1528" s="214" t="s">
        <v>146</v>
      </c>
      <c r="BE1528" s="325">
        <f>IF(N1528="základní",J1528,0)</f>
        <v>0</v>
      </c>
      <c r="BF1528" s="325">
        <f>IF(N1528="snížená",J1528,0)</f>
        <v>0</v>
      </c>
      <c r="BG1528" s="325">
        <f>IF(N1528="zákl. přenesená",J1528,0)</f>
        <v>0</v>
      </c>
      <c r="BH1528" s="325">
        <f>IF(N1528="sníž. přenesená",J1528,0)</f>
        <v>0</v>
      </c>
      <c r="BI1528" s="325">
        <f>IF(N1528="nulová",J1528,0)</f>
        <v>0</v>
      </c>
      <c r="BJ1528" s="214" t="s">
        <v>81</v>
      </c>
      <c r="BK1528" s="325">
        <f>ROUND(I1528*H1528,2)</f>
        <v>0</v>
      </c>
      <c r="BL1528" s="214" t="s">
        <v>212</v>
      </c>
      <c r="BM1528" s="324" t="s">
        <v>2434</v>
      </c>
    </row>
    <row r="1529" spans="2:51" s="326" customFormat="1" ht="12">
      <c r="B1529" s="327"/>
      <c r="D1529" s="328" t="s">
        <v>155</v>
      </c>
      <c r="E1529" s="329" t="s">
        <v>1</v>
      </c>
      <c r="F1529" s="330" t="s">
        <v>1086</v>
      </c>
      <c r="H1529" s="329" t="s">
        <v>1</v>
      </c>
      <c r="I1529" s="497"/>
      <c r="L1529" s="331"/>
      <c r="M1529" s="332"/>
      <c r="N1529" s="333"/>
      <c r="O1529" s="333"/>
      <c r="P1529" s="333"/>
      <c r="Q1529" s="333"/>
      <c r="R1529" s="333"/>
      <c r="S1529" s="333"/>
      <c r="T1529" s="334"/>
      <c r="AT1529" s="329" t="s">
        <v>155</v>
      </c>
      <c r="AU1529" s="329" t="s">
        <v>83</v>
      </c>
      <c r="AV1529" s="326" t="s">
        <v>81</v>
      </c>
      <c r="AW1529" s="326" t="s">
        <v>34</v>
      </c>
      <c r="AX1529" s="326" t="s">
        <v>76</v>
      </c>
      <c r="AY1529" s="329" t="s">
        <v>146</v>
      </c>
    </row>
    <row r="1530" spans="1:65" s="225" customFormat="1" ht="87.75" customHeight="1">
      <c r="A1530" s="222"/>
      <c r="B1530" s="223"/>
      <c r="C1530" s="314">
        <v>282</v>
      </c>
      <c r="D1530" s="314" t="s">
        <v>148</v>
      </c>
      <c r="E1530" s="315" t="s">
        <v>2435</v>
      </c>
      <c r="F1530" s="316" t="s">
        <v>2895</v>
      </c>
      <c r="G1530" s="317" t="s">
        <v>301</v>
      </c>
      <c r="H1530" s="318">
        <v>5</v>
      </c>
      <c r="I1530" s="79"/>
      <c r="J1530" s="319">
        <f>ROUND(I1530*H1530,2)</f>
        <v>0</v>
      </c>
      <c r="K1530" s="316"/>
      <c r="L1530" s="229"/>
      <c r="M1530" s="320" t="s">
        <v>1</v>
      </c>
      <c r="N1530" s="321" t="s">
        <v>42</v>
      </c>
      <c r="O1530" s="322">
        <v>0</v>
      </c>
      <c r="P1530" s="322">
        <f>O1530*H1530</f>
        <v>0</v>
      </c>
      <c r="Q1530" s="322">
        <v>0.2</v>
      </c>
      <c r="R1530" s="322">
        <f>Q1530*H1530</f>
        <v>1</v>
      </c>
      <c r="S1530" s="322">
        <v>0</v>
      </c>
      <c r="T1530" s="323">
        <f>S1530*H1530</f>
        <v>0</v>
      </c>
      <c r="U1530" s="222"/>
      <c r="V1530" s="222"/>
      <c r="W1530" s="222"/>
      <c r="X1530" s="222"/>
      <c r="Y1530" s="222"/>
      <c r="Z1530" s="222"/>
      <c r="AA1530" s="222"/>
      <c r="AB1530" s="222"/>
      <c r="AC1530" s="222"/>
      <c r="AD1530" s="222"/>
      <c r="AE1530" s="222"/>
      <c r="AR1530" s="324" t="s">
        <v>212</v>
      </c>
      <c r="AT1530" s="324" t="s">
        <v>148</v>
      </c>
      <c r="AU1530" s="324" t="s">
        <v>83</v>
      </c>
      <c r="AY1530" s="214" t="s">
        <v>146</v>
      </c>
      <c r="BE1530" s="325">
        <f>IF(N1530="základní",J1530,0)</f>
        <v>0</v>
      </c>
      <c r="BF1530" s="325">
        <f>IF(N1530="snížená",J1530,0)</f>
        <v>0</v>
      </c>
      <c r="BG1530" s="325">
        <f>IF(N1530="zákl. přenesená",J1530,0)</f>
        <v>0</v>
      </c>
      <c r="BH1530" s="325">
        <f>IF(N1530="sníž. přenesená",J1530,0)</f>
        <v>0</v>
      </c>
      <c r="BI1530" s="325">
        <f>IF(N1530="nulová",J1530,0)</f>
        <v>0</v>
      </c>
      <c r="BJ1530" s="214" t="s">
        <v>81</v>
      </c>
      <c r="BK1530" s="325">
        <f>ROUND(I1530*H1530,2)</f>
        <v>0</v>
      </c>
      <c r="BL1530" s="214" t="s">
        <v>212</v>
      </c>
      <c r="BM1530" s="324" t="s">
        <v>2436</v>
      </c>
    </row>
    <row r="1531" spans="2:51" s="326" customFormat="1" ht="12">
      <c r="B1531" s="327"/>
      <c r="D1531" s="328" t="s">
        <v>155</v>
      </c>
      <c r="E1531" s="329" t="s">
        <v>1</v>
      </c>
      <c r="F1531" s="330" t="s">
        <v>1086</v>
      </c>
      <c r="H1531" s="329" t="s">
        <v>1</v>
      </c>
      <c r="I1531" s="497"/>
      <c r="L1531" s="331"/>
      <c r="M1531" s="332"/>
      <c r="N1531" s="333"/>
      <c r="O1531" s="333"/>
      <c r="P1531" s="333"/>
      <c r="Q1531" s="333"/>
      <c r="R1531" s="333"/>
      <c r="S1531" s="333"/>
      <c r="T1531" s="334"/>
      <c r="AT1531" s="329" t="s">
        <v>155</v>
      </c>
      <c r="AU1531" s="329" t="s">
        <v>83</v>
      </c>
      <c r="AV1531" s="326" t="s">
        <v>81</v>
      </c>
      <c r="AW1531" s="326" t="s">
        <v>34</v>
      </c>
      <c r="AX1531" s="326" t="s">
        <v>76</v>
      </c>
      <c r="AY1531" s="329" t="s">
        <v>146</v>
      </c>
    </row>
    <row r="1532" spans="1:65" s="225" customFormat="1" ht="90" customHeight="1">
      <c r="A1532" s="222"/>
      <c r="B1532" s="223"/>
      <c r="C1532" s="314">
        <v>283</v>
      </c>
      <c r="D1532" s="314" t="s">
        <v>148</v>
      </c>
      <c r="E1532" s="315" t="s">
        <v>2437</v>
      </c>
      <c r="F1532" s="316" t="s">
        <v>2899</v>
      </c>
      <c r="G1532" s="317" t="s">
        <v>301</v>
      </c>
      <c r="H1532" s="318">
        <v>5</v>
      </c>
      <c r="I1532" s="79"/>
      <c r="J1532" s="319">
        <f>ROUND(I1532*H1532,2)</f>
        <v>0</v>
      </c>
      <c r="K1532" s="316"/>
      <c r="L1532" s="229"/>
      <c r="M1532" s="320" t="s">
        <v>1</v>
      </c>
      <c r="N1532" s="321" t="s">
        <v>42</v>
      </c>
      <c r="O1532" s="322">
        <v>0</v>
      </c>
      <c r="P1532" s="322">
        <f>O1532*H1532</f>
        <v>0</v>
      </c>
      <c r="Q1532" s="322">
        <v>0.2</v>
      </c>
      <c r="R1532" s="322">
        <f>Q1532*H1532</f>
        <v>1</v>
      </c>
      <c r="S1532" s="322">
        <v>0</v>
      </c>
      <c r="T1532" s="323">
        <f>S1532*H1532</f>
        <v>0</v>
      </c>
      <c r="U1532" s="222"/>
      <c r="V1532" s="222"/>
      <c r="W1532" s="222"/>
      <c r="X1532" s="222"/>
      <c r="Y1532" s="222"/>
      <c r="Z1532" s="222"/>
      <c r="AA1532" s="222"/>
      <c r="AB1532" s="222"/>
      <c r="AC1532" s="222"/>
      <c r="AD1532" s="222"/>
      <c r="AE1532" s="222"/>
      <c r="AR1532" s="324" t="s">
        <v>212</v>
      </c>
      <c r="AT1532" s="324" t="s">
        <v>148</v>
      </c>
      <c r="AU1532" s="324" t="s">
        <v>83</v>
      </c>
      <c r="AY1532" s="214" t="s">
        <v>146</v>
      </c>
      <c r="BE1532" s="325">
        <f>IF(N1532="základní",J1532,0)</f>
        <v>0</v>
      </c>
      <c r="BF1532" s="325">
        <f>IF(N1532="snížená",J1532,0)</f>
        <v>0</v>
      </c>
      <c r="BG1532" s="325">
        <f>IF(N1532="zákl. přenesená",J1532,0)</f>
        <v>0</v>
      </c>
      <c r="BH1532" s="325">
        <f>IF(N1532="sníž. přenesená",J1532,0)</f>
        <v>0</v>
      </c>
      <c r="BI1532" s="325">
        <f>IF(N1532="nulová",J1532,0)</f>
        <v>0</v>
      </c>
      <c r="BJ1532" s="214" t="s">
        <v>81</v>
      </c>
      <c r="BK1532" s="325">
        <f>ROUND(I1532*H1532,2)</f>
        <v>0</v>
      </c>
      <c r="BL1532" s="214" t="s">
        <v>212</v>
      </c>
      <c r="BM1532" s="324" t="s">
        <v>2438</v>
      </c>
    </row>
    <row r="1533" spans="2:51" s="326" customFormat="1" ht="12">
      <c r="B1533" s="327"/>
      <c r="D1533" s="328" t="s">
        <v>155</v>
      </c>
      <c r="E1533" s="329" t="s">
        <v>1</v>
      </c>
      <c r="F1533" s="330" t="s">
        <v>1086</v>
      </c>
      <c r="H1533" s="329" t="s">
        <v>1</v>
      </c>
      <c r="I1533" s="497"/>
      <c r="L1533" s="331"/>
      <c r="M1533" s="332"/>
      <c r="N1533" s="333"/>
      <c r="O1533" s="333"/>
      <c r="P1533" s="333"/>
      <c r="Q1533" s="333"/>
      <c r="R1533" s="333"/>
      <c r="S1533" s="333"/>
      <c r="T1533" s="334"/>
      <c r="AT1533" s="329" t="s">
        <v>155</v>
      </c>
      <c r="AU1533" s="329" t="s">
        <v>83</v>
      </c>
      <c r="AV1533" s="326" t="s">
        <v>81</v>
      </c>
      <c r="AW1533" s="326" t="s">
        <v>34</v>
      </c>
      <c r="AX1533" s="326" t="s">
        <v>76</v>
      </c>
      <c r="AY1533" s="329" t="s">
        <v>146</v>
      </c>
    </row>
    <row r="1534" spans="1:65" s="225" customFormat="1" ht="98.25" customHeight="1">
      <c r="A1534" s="222"/>
      <c r="B1534" s="223"/>
      <c r="C1534" s="314">
        <v>284</v>
      </c>
      <c r="D1534" s="314" t="s">
        <v>148</v>
      </c>
      <c r="E1534" s="315" t="s">
        <v>2439</v>
      </c>
      <c r="F1534" s="316" t="s">
        <v>3861</v>
      </c>
      <c r="G1534" s="317" t="s">
        <v>301</v>
      </c>
      <c r="H1534" s="318">
        <v>1</v>
      </c>
      <c r="I1534" s="79"/>
      <c r="J1534" s="319">
        <f>ROUND(I1534*H1534,2)</f>
        <v>0</v>
      </c>
      <c r="K1534" s="316"/>
      <c r="L1534" s="229"/>
      <c r="M1534" s="320" t="s">
        <v>1</v>
      </c>
      <c r="N1534" s="321" t="s">
        <v>42</v>
      </c>
      <c r="O1534" s="322">
        <v>0</v>
      </c>
      <c r="P1534" s="322">
        <f>O1534*H1534</f>
        <v>0</v>
      </c>
      <c r="Q1534" s="322">
        <v>0.24</v>
      </c>
      <c r="R1534" s="322">
        <f>Q1534*H1534</f>
        <v>0.24</v>
      </c>
      <c r="S1534" s="322">
        <v>0</v>
      </c>
      <c r="T1534" s="323">
        <f>S1534*H1534</f>
        <v>0</v>
      </c>
      <c r="U1534" s="222"/>
      <c r="V1534" s="222"/>
      <c r="W1534" s="222"/>
      <c r="X1534" s="222"/>
      <c r="Y1534" s="222"/>
      <c r="Z1534" s="222"/>
      <c r="AA1534" s="222"/>
      <c r="AB1534" s="222"/>
      <c r="AC1534" s="222"/>
      <c r="AD1534" s="222"/>
      <c r="AE1534" s="222"/>
      <c r="AR1534" s="324" t="s">
        <v>212</v>
      </c>
      <c r="AT1534" s="324" t="s">
        <v>148</v>
      </c>
      <c r="AU1534" s="324" t="s">
        <v>83</v>
      </c>
      <c r="AY1534" s="214" t="s">
        <v>146</v>
      </c>
      <c r="BE1534" s="325">
        <f>IF(N1534="základní",J1534,0)</f>
        <v>0</v>
      </c>
      <c r="BF1534" s="325">
        <f>IF(N1534="snížená",J1534,0)</f>
        <v>0</v>
      </c>
      <c r="BG1534" s="325">
        <f>IF(N1534="zákl. přenesená",J1534,0)</f>
        <v>0</v>
      </c>
      <c r="BH1534" s="325">
        <f>IF(N1534="sníž. přenesená",J1534,0)</f>
        <v>0</v>
      </c>
      <c r="BI1534" s="325">
        <f>IF(N1534="nulová",J1534,0)</f>
        <v>0</v>
      </c>
      <c r="BJ1534" s="214" t="s">
        <v>81</v>
      </c>
      <c r="BK1534" s="325">
        <f>ROUND(I1534*H1534,2)</f>
        <v>0</v>
      </c>
      <c r="BL1534" s="214" t="s">
        <v>212</v>
      </c>
      <c r="BM1534" s="324" t="s">
        <v>2440</v>
      </c>
    </row>
    <row r="1535" spans="2:51" s="326" customFormat="1" ht="12">
      <c r="B1535" s="327"/>
      <c r="D1535" s="328" t="s">
        <v>155</v>
      </c>
      <c r="E1535" s="329" t="s">
        <v>1</v>
      </c>
      <c r="F1535" s="330" t="s">
        <v>1086</v>
      </c>
      <c r="H1535" s="329" t="s">
        <v>1</v>
      </c>
      <c r="I1535" s="497"/>
      <c r="L1535" s="331"/>
      <c r="M1535" s="332"/>
      <c r="N1535" s="333"/>
      <c r="O1535" s="333"/>
      <c r="P1535" s="333"/>
      <c r="Q1535" s="333"/>
      <c r="R1535" s="333"/>
      <c r="S1535" s="333"/>
      <c r="T1535" s="334"/>
      <c r="AT1535" s="329" t="s">
        <v>155</v>
      </c>
      <c r="AU1535" s="329" t="s">
        <v>83</v>
      </c>
      <c r="AV1535" s="326" t="s">
        <v>81</v>
      </c>
      <c r="AW1535" s="326" t="s">
        <v>34</v>
      </c>
      <c r="AX1535" s="326" t="s">
        <v>76</v>
      </c>
      <c r="AY1535" s="329" t="s">
        <v>146</v>
      </c>
    </row>
    <row r="1536" spans="1:65" s="225" customFormat="1" ht="83.25" customHeight="1">
      <c r="A1536" s="222"/>
      <c r="B1536" s="223"/>
      <c r="C1536" s="314">
        <v>285</v>
      </c>
      <c r="D1536" s="314" t="s">
        <v>148</v>
      </c>
      <c r="E1536" s="315" t="s">
        <v>2441</v>
      </c>
      <c r="F1536" s="316" t="s">
        <v>2900</v>
      </c>
      <c r="G1536" s="317" t="s">
        <v>301</v>
      </c>
      <c r="H1536" s="318">
        <v>1</v>
      </c>
      <c r="I1536" s="79"/>
      <c r="J1536" s="319">
        <f>ROUND(I1536*H1536,2)</f>
        <v>0</v>
      </c>
      <c r="K1536" s="316"/>
      <c r="L1536" s="229"/>
      <c r="M1536" s="320" t="s">
        <v>1</v>
      </c>
      <c r="N1536" s="321" t="s">
        <v>42</v>
      </c>
      <c r="O1536" s="322">
        <v>0</v>
      </c>
      <c r="P1536" s="322">
        <f>O1536*H1536</f>
        <v>0</v>
      </c>
      <c r="Q1536" s="322">
        <v>0.15</v>
      </c>
      <c r="R1536" s="322">
        <f>Q1536*H1536</f>
        <v>0.15</v>
      </c>
      <c r="S1536" s="322">
        <v>0</v>
      </c>
      <c r="T1536" s="323">
        <f>S1536*H1536</f>
        <v>0</v>
      </c>
      <c r="U1536" s="222"/>
      <c r="V1536" s="222"/>
      <c r="W1536" s="222"/>
      <c r="X1536" s="222"/>
      <c r="Y1536" s="222"/>
      <c r="Z1536" s="222"/>
      <c r="AA1536" s="222"/>
      <c r="AB1536" s="222"/>
      <c r="AC1536" s="222"/>
      <c r="AD1536" s="222"/>
      <c r="AE1536" s="222"/>
      <c r="AR1536" s="324" t="s">
        <v>212</v>
      </c>
      <c r="AT1536" s="324" t="s">
        <v>148</v>
      </c>
      <c r="AU1536" s="324" t="s">
        <v>83</v>
      </c>
      <c r="AY1536" s="214" t="s">
        <v>146</v>
      </c>
      <c r="BE1536" s="325">
        <f>IF(N1536="základní",J1536,0)</f>
        <v>0</v>
      </c>
      <c r="BF1536" s="325">
        <f>IF(N1536="snížená",J1536,0)</f>
        <v>0</v>
      </c>
      <c r="BG1536" s="325">
        <f>IF(N1536="zákl. přenesená",J1536,0)</f>
        <v>0</v>
      </c>
      <c r="BH1536" s="325">
        <f>IF(N1536="sníž. přenesená",J1536,0)</f>
        <v>0</v>
      </c>
      <c r="BI1536" s="325">
        <f>IF(N1536="nulová",J1536,0)</f>
        <v>0</v>
      </c>
      <c r="BJ1536" s="214" t="s">
        <v>81</v>
      </c>
      <c r="BK1536" s="325">
        <f>ROUND(I1536*H1536,2)</f>
        <v>0</v>
      </c>
      <c r="BL1536" s="214" t="s">
        <v>212</v>
      </c>
      <c r="BM1536" s="324" t="s">
        <v>2442</v>
      </c>
    </row>
    <row r="1537" spans="2:51" s="326" customFormat="1" ht="12">
      <c r="B1537" s="327"/>
      <c r="D1537" s="328" t="s">
        <v>155</v>
      </c>
      <c r="E1537" s="329" t="s">
        <v>1</v>
      </c>
      <c r="F1537" s="330" t="s">
        <v>1086</v>
      </c>
      <c r="H1537" s="329" t="s">
        <v>1</v>
      </c>
      <c r="I1537" s="497"/>
      <c r="L1537" s="331"/>
      <c r="M1537" s="332"/>
      <c r="N1537" s="333"/>
      <c r="O1537" s="333"/>
      <c r="P1537" s="333"/>
      <c r="Q1537" s="333"/>
      <c r="R1537" s="333"/>
      <c r="S1537" s="333"/>
      <c r="T1537" s="334"/>
      <c r="AT1537" s="329" t="s">
        <v>155</v>
      </c>
      <c r="AU1537" s="329" t="s">
        <v>83</v>
      </c>
      <c r="AV1537" s="326" t="s">
        <v>81</v>
      </c>
      <c r="AW1537" s="326" t="s">
        <v>34</v>
      </c>
      <c r="AX1537" s="326" t="s">
        <v>76</v>
      </c>
      <c r="AY1537" s="329" t="s">
        <v>146</v>
      </c>
    </row>
    <row r="1538" spans="1:65" s="225" customFormat="1" ht="74.25" customHeight="1">
      <c r="A1538" s="222"/>
      <c r="B1538" s="223"/>
      <c r="C1538" s="314">
        <v>286</v>
      </c>
      <c r="D1538" s="314" t="s">
        <v>148</v>
      </c>
      <c r="E1538" s="315" t="s">
        <v>2443</v>
      </c>
      <c r="F1538" s="316" t="s">
        <v>2898</v>
      </c>
      <c r="G1538" s="317" t="s">
        <v>301</v>
      </c>
      <c r="H1538" s="318">
        <v>1</v>
      </c>
      <c r="I1538" s="79"/>
      <c r="J1538" s="319">
        <f>ROUND(I1538*H1538,2)</f>
        <v>0</v>
      </c>
      <c r="K1538" s="316"/>
      <c r="L1538" s="229"/>
      <c r="M1538" s="320" t="s">
        <v>1</v>
      </c>
      <c r="N1538" s="321" t="s">
        <v>42</v>
      </c>
      <c r="O1538" s="322">
        <v>0</v>
      </c>
      <c r="P1538" s="322">
        <f>O1538*H1538</f>
        <v>0</v>
      </c>
      <c r="Q1538" s="322">
        <v>0.2</v>
      </c>
      <c r="R1538" s="322">
        <f>Q1538*H1538</f>
        <v>0.2</v>
      </c>
      <c r="S1538" s="322">
        <v>0</v>
      </c>
      <c r="T1538" s="323">
        <f>S1538*H1538</f>
        <v>0</v>
      </c>
      <c r="U1538" s="222"/>
      <c r="V1538" s="222"/>
      <c r="W1538" s="222"/>
      <c r="X1538" s="222"/>
      <c r="Y1538" s="222"/>
      <c r="Z1538" s="222"/>
      <c r="AA1538" s="222"/>
      <c r="AB1538" s="222"/>
      <c r="AC1538" s="222"/>
      <c r="AD1538" s="222"/>
      <c r="AE1538" s="222"/>
      <c r="AR1538" s="324" t="s">
        <v>212</v>
      </c>
      <c r="AT1538" s="324" t="s">
        <v>148</v>
      </c>
      <c r="AU1538" s="324" t="s">
        <v>83</v>
      </c>
      <c r="AY1538" s="214" t="s">
        <v>146</v>
      </c>
      <c r="BE1538" s="325">
        <f>IF(N1538="základní",J1538,0)</f>
        <v>0</v>
      </c>
      <c r="BF1538" s="325">
        <f>IF(N1538="snížená",J1538,0)</f>
        <v>0</v>
      </c>
      <c r="BG1538" s="325">
        <f>IF(N1538="zákl. přenesená",J1538,0)</f>
        <v>0</v>
      </c>
      <c r="BH1538" s="325">
        <f>IF(N1538="sníž. přenesená",J1538,0)</f>
        <v>0</v>
      </c>
      <c r="BI1538" s="325">
        <f>IF(N1538="nulová",J1538,0)</f>
        <v>0</v>
      </c>
      <c r="BJ1538" s="214" t="s">
        <v>81</v>
      </c>
      <c r="BK1538" s="325">
        <f>ROUND(I1538*H1538,2)</f>
        <v>0</v>
      </c>
      <c r="BL1538" s="214" t="s">
        <v>212</v>
      </c>
      <c r="BM1538" s="324" t="s">
        <v>2444</v>
      </c>
    </row>
    <row r="1539" spans="2:51" s="326" customFormat="1" ht="12">
      <c r="B1539" s="327"/>
      <c r="D1539" s="328" t="s">
        <v>155</v>
      </c>
      <c r="E1539" s="329" t="s">
        <v>1</v>
      </c>
      <c r="F1539" s="330" t="s">
        <v>1086</v>
      </c>
      <c r="H1539" s="329" t="s">
        <v>1</v>
      </c>
      <c r="I1539" s="497"/>
      <c r="L1539" s="331"/>
      <c r="M1539" s="332"/>
      <c r="N1539" s="333"/>
      <c r="O1539" s="333"/>
      <c r="P1539" s="333"/>
      <c r="Q1539" s="333"/>
      <c r="R1539" s="333"/>
      <c r="S1539" s="333"/>
      <c r="T1539" s="334"/>
      <c r="AT1539" s="329" t="s">
        <v>155</v>
      </c>
      <c r="AU1539" s="329" t="s">
        <v>83</v>
      </c>
      <c r="AV1539" s="326" t="s">
        <v>81</v>
      </c>
      <c r="AW1539" s="326" t="s">
        <v>34</v>
      </c>
      <c r="AX1539" s="326" t="s">
        <v>76</v>
      </c>
      <c r="AY1539" s="329" t="s">
        <v>146</v>
      </c>
    </row>
    <row r="1540" spans="1:65" s="225" customFormat="1" ht="86.25" customHeight="1">
      <c r="A1540" s="222"/>
      <c r="B1540" s="223"/>
      <c r="C1540" s="314">
        <v>287</v>
      </c>
      <c r="D1540" s="314" t="s">
        <v>148</v>
      </c>
      <c r="E1540" s="315" t="s">
        <v>2445</v>
      </c>
      <c r="F1540" s="316" t="s">
        <v>2901</v>
      </c>
      <c r="G1540" s="317" t="s">
        <v>301</v>
      </c>
      <c r="H1540" s="318">
        <v>1</v>
      </c>
      <c r="I1540" s="79"/>
      <c r="J1540" s="319">
        <f>ROUND(I1540*H1540,2)</f>
        <v>0</v>
      </c>
      <c r="K1540" s="316"/>
      <c r="L1540" s="229"/>
      <c r="M1540" s="320" t="s">
        <v>1</v>
      </c>
      <c r="N1540" s="321" t="s">
        <v>42</v>
      </c>
      <c r="O1540" s="322">
        <v>0</v>
      </c>
      <c r="P1540" s="322">
        <f>O1540*H1540</f>
        <v>0</v>
      </c>
      <c r="Q1540" s="322">
        <v>0.2</v>
      </c>
      <c r="R1540" s="322">
        <f>Q1540*H1540</f>
        <v>0.2</v>
      </c>
      <c r="S1540" s="322">
        <v>0</v>
      </c>
      <c r="T1540" s="323">
        <f>S1540*H1540</f>
        <v>0</v>
      </c>
      <c r="U1540" s="222"/>
      <c r="V1540" s="222"/>
      <c r="W1540" s="222"/>
      <c r="X1540" s="222"/>
      <c r="Y1540" s="222"/>
      <c r="Z1540" s="222"/>
      <c r="AA1540" s="222"/>
      <c r="AB1540" s="222"/>
      <c r="AC1540" s="222"/>
      <c r="AD1540" s="222"/>
      <c r="AE1540" s="222"/>
      <c r="AR1540" s="324" t="s">
        <v>212</v>
      </c>
      <c r="AT1540" s="324" t="s">
        <v>148</v>
      </c>
      <c r="AU1540" s="324" t="s">
        <v>83</v>
      </c>
      <c r="AY1540" s="214" t="s">
        <v>146</v>
      </c>
      <c r="BE1540" s="325">
        <f>IF(N1540="základní",J1540,0)</f>
        <v>0</v>
      </c>
      <c r="BF1540" s="325">
        <f>IF(N1540="snížená",J1540,0)</f>
        <v>0</v>
      </c>
      <c r="BG1540" s="325">
        <f>IF(N1540="zákl. přenesená",J1540,0)</f>
        <v>0</v>
      </c>
      <c r="BH1540" s="325">
        <f>IF(N1540="sníž. přenesená",J1540,0)</f>
        <v>0</v>
      </c>
      <c r="BI1540" s="325">
        <f>IF(N1540="nulová",J1540,0)</f>
        <v>0</v>
      </c>
      <c r="BJ1540" s="214" t="s">
        <v>81</v>
      </c>
      <c r="BK1540" s="325">
        <f>ROUND(I1540*H1540,2)</f>
        <v>0</v>
      </c>
      <c r="BL1540" s="214" t="s">
        <v>212</v>
      </c>
      <c r="BM1540" s="324" t="s">
        <v>2446</v>
      </c>
    </row>
    <row r="1541" spans="2:51" s="326" customFormat="1" ht="12">
      <c r="B1541" s="327"/>
      <c r="D1541" s="328" t="s">
        <v>155</v>
      </c>
      <c r="E1541" s="329" t="s">
        <v>1</v>
      </c>
      <c r="F1541" s="330" t="s">
        <v>1086</v>
      </c>
      <c r="H1541" s="329" t="s">
        <v>1</v>
      </c>
      <c r="I1541" s="497"/>
      <c r="L1541" s="331"/>
      <c r="M1541" s="332"/>
      <c r="N1541" s="333"/>
      <c r="O1541" s="333"/>
      <c r="P1541" s="333"/>
      <c r="Q1541" s="333"/>
      <c r="R1541" s="333"/>
      <c r="S1541" s="333"/>
      <c r="T1541" s="334"/>
      <c r="AT1541" s="329" t="s">
        <v>155</v>
      </c>
      <c r="AU1541" s="329" t="s">
        <v>83</v>
      </c>
      <c r="AV1541" s="326" t="s">
        <v>81</v>
      </c>
      <c r="AW1541" s="326" t="s">
        <v>34</v>
      </c>
      <c r="AX1541" s="326" t="s">
        <v>76</v>
      </c>
      <c r="AY1541" s="329" t="s">
        <v>146</v>
      </c>
    </row>
    <row r="1542" spans="1:65" s="225" customFormat="1" ht="66.75" customHeight="1">
      <c r="A1542" s="222"/>
      <c r="B1542" s="223"/>
      <c r="C1542" s="314">
        <v>288</v>
      </c>
      <c r="D1542" s="314" t="s">
        <v>148</v>
      </c>
      <c r="E1542" s="315" t="s">
        <v>1157</v>
      </c>
      <c r="F1542" s="344" t="s">
        <v>1158</v>
      </c>
      <c r="G1542" s="317" t="s">
        <v>301</v>
      </c>
      <c r="H1542" s="318">
        <v>20</v>
      </c>
      <c r="I1542" s="79"/>
      <c r="J1542" s="319">
        <f>ROUND(I1542*H1542,2)</f>
        <v>0</v>
      </c>
      <c r="K1542" s="316"/>
      <c r="L1542" s="229"/>
      <c r="M1542" s="320" t="s">
        <v>1</v>
      </c>
      <c r="N1542" s="321" t="s">
        <v>42</v>
      </c>
      <c r="O1542" s="322">
        <v>0</v>
      </c>
      <c r="P1542" s="322">
        <f>O1542*H1542</f>
        <v>0</v>
      </c>
      <c r="Q1542" s="322">
        <v>0.005</v>
      </c>
      <c r="R1542" s="322">
        <f>Q1542*H1542</f>
        <v>0.1</v>
      </c>
      <c r="S1542" s="322">
        <v>0</v>
      </c>
      <c r="T1542" s="323">
        <f>S1542*H1542</f>
        <v>0</v>
      </c>
      <c r="U1542" s="222"/>
      <c r="V1542" s="222"/>
      <c r="W1542" s="222"/>
      <c r="X1542" s="222"/>
      <c r="Y1542" s="222"/>
      <c r="Z1542" s="222"/>
      <c r="AA1542" s="222"/>
      <c r="AB1542" s="222"/>
      <c r="AC1542" s="222"/>
      <c r="AD1542" s="222"/>
      <c r="AE1542" s="222"/>
      <c r="AR1542" s="324" t="s">
        <v>212</v>
      </c>
      <c r="AT1542" s="324" t="s">
        <v>148</v>
      </c>
      <c r="AU1542" s="324" t="s">
        <v>83</v>
      </c>
      <c r="AY1542" s="214" t="s">
        <v>146</v>
      </c>
      <c r="BE1542" s="325">
        <f>IF(N1542="základní",J1542,0)</f>
        <v>0</v>
      </c>
      <c r="BF1542" s="325">
        <f>IF(N1542="snížená",J1542,0)</f>
        <v>0</v>
      </c>
      <c r="BG1542" s="325">
        <f>IF(N1542="zákl. přenesená",J1542,0)</f>
        <v>0</v>
      </c>
      <c r="BH1542" s="325">
        <f>IF(N1542="sníž. přenesená",J1542,0)</f>
        <v>0</v>
      </c>
      <c r="BI1542" s="325">
        <f>IF(N1542="nulová",J1542,0)</f>
        <v>0</v>
      </c>
      <c r="BJ1542" s="214" t="s">
        <v>81</v>
      </c>
      <c r="BK1542" s="325">
        <f>ROUND(I1542*H1542,2)</f>
        <v>0</v>
      </c>
      <c r="BL1542" s="214" t="s">
        <v>212</v>
      </c>
      <c r="BM1542" s="324" t="s">
        <v>1159</v>
      </c>
    </row>
    <row r="1543" spans="2:51" s="326" customFormat="1" ht="12">
      <c r="B1543" s="327"/>
      <c r="D1543" s="328" t="s">
        <v>155</v>
      </c>
      <c r="E1543" s="329" t="s">
        <v>1</v>
      </c>
      <c r="F1543" s="345" t="s">
        <v>1157</v>
      </c>
      <c r="H1543" s="329" t="s">
        <v>1</v>
      </c>
      <c r="I1543" s="497"/>
      <c r="L1543" s="331"/>
      <c r="M1543" s="332"/>
      <c r="N1543" s="333"/>
      <c r="O1543" s="333"/>
      <c r="P1543" s="333"/>
      <c r="Q1543" s="333"/>
      <c r="R1543" s="333"/>
      <c r="S1543" s="333"/>
      <c r="T1543" s="334"/>
      <c r="AT1543" s="329" t="s">
        <v>155</v>
      </c>
      <c r="AU1543" s="329" t="s">
        <v>83</v>
      </c>
      <c r="AV1543" s="326" t="s">
        <v>81</v>
      </c>
      <c r="AW1543" s="326" t="s">
        <v>34</v>
      </c>
      <c r="AX1543" s="326" t="s">
        <v>76</v>
      </c>
      <c r="AY1543" s="329" t="s">
        <v>146</v>
      </c>
    </row>
    <row r="1544" spans="1:65" s="225" customFormat="1" ht="55.5" customHeight="1">
      <c r="A1544" s="222"/>
      <c r="B1544" s="223"/>
      <c r="C1544" s="314">
        <v>289</v>
      </c>
      <c r="D1544" s="314" t="s">
        <v>148</v>
      </c>
      <c r="E1544" s="315" t="s">
        <v>1160</v>
      </c>
      <c r="F1544" s="344" t="s">
        <v>1161</v>
      </c>
      <c r="G1544" s="317" t="s">
        <v>301</v>
      </c>
      <c r="H1544" s="318">
        <v>1</v>
      </c>
      <c r="I1544" s="79"/>
      <c r="J1544" s="319">
        <f>ROUND(I1544*H1544,2)</f>
        <v>0</v>
      </c>
      <c r="K1544" s="316"/>
      <c r="L1544" s="229"/>
      <c r="M1544" s="320" t="s">
        <v>1</v>
      </c>
      <c r="N1544" s="321" t="s">
        <v>42</v>
      </c>
      <c r="O1544" s="322">
        <v>0</v>
      </c>
      <c r="P1544" s="322">
        <f>O1544*H1544</f>
        <v>0</v>
      </c>
      <c r="Q1544" s="322">
        <v>0.0025</v>
      </c>
      <c r="R1544" s="322">
        <f>Q1544*H1544</f>
        <v>0.0025</v>
      </c>
      <c r="S1544" s="322">
        <v>0</v>
      </c>
      <c r="T1544" s="323">
        <f>S1544*H1544</f>
        <v>0</v>
      </c>
      <c r="U1544" s="222"/>
      <c r="V1544" s="222"/>
      <c r="W1544" s="222"/>
      <c r="X1544" s="222"/>
      <c r="Y1544" s="222"/>
      <c r="Z1544" s="222"/>
      <c r="AA1544" s="222"/>
      <c r="AB1544" s="222"/>
      <c r="AC1544" s="222"/>
      <c r="AD1544" s="222"/>
      <c r="AE1544" s="222"/>
      <c r="AR1544" s="324" t="s">
        <v>212</v>
      </c>
      <c r="AT1544" s="324" t="s">
        <v>148</v>
      </c>
      <c r="AU1544" s="324" t="s">
        <v>83</v>
      </c>
      <c r="AY1544" s="214" t="s">
        <v>146</v>
      </c>
      <c r="BE1544" s="325">
        <f>IF(N1544="základní",J1544,0)</f>
        <v>0</v>
      </c>
      <c r="BF1544" s="325">
        <f>IF(N1544="snížená",J1544,0)</f>
        <v>0</v>
      </c>
      <c r="BG1544" s="325">
        <f>IF(N1544="zákl. přenesená",J1544,0)</f>
        <v>0</v>
      </c>
      <c r="BH1544" s="325">
        <f>IF(N1544="sníž. přenesená",J1544,0)</f>
        <v>0</v>
      </c>
      <c r="BI1544" s="325">
        <f>IF(N1544="nulová",J1544,0)</f>
        <v>0</v>
      </c>
      <c r="BJ1544" s="214" t="s">
        <v>81</v>
      </c>
      <c r="BK1544" s="325">
        <f>ROUND(I1544*H1544,2)</f>
        <v>0</v>
      </c>
      <c r="BL1544" s="214" t="s">
        <v>212</v>
      </c>
      <c r="BM1544" s="324" t="s">
        <v>1162</v>
      </c>
    </row>
    <row r="1545" spans="2:51" s="326" customFormat="1" ht="12">
      <c r="B1545" s="327"/>
      <c r="D1545" s="328" t="s">
        <v>155</v>
      </c>
      <c r="E1545" s="329" t="s">
        <v>1</v>
      </c>
      <c r="F1545" s="345" t="s">
        <v>1160</v>
      </c>
      <c r="H1545" s="329" t="s">
        <v>1</v>
      </c>
      <c r="I1545" s="497"/>
      <c r="L1545" s="331"/>
      <c r="M1545" s="332"/>
      <c r="N1545" s="333"/>
      <c r="O1545" s="333"/>
      <c r="P1545" s="333"/>
      <c r="Q1545" s="333"/>
      <c r="R1545" s="333"/>
      <c r="S1545" s="333"/>
      <c r="T1545" s="334"/>
      <c r="AT1545" s="329" t="s">
        <v>155</v>
      </c>
      <c r="AU1545" s="329" t="s">
        <v>83</v>
      </c>
      <c r="AV1545" s="326" t="s">
        <v>81</v>
      </c>
      <c r="AW1545" s="326" t="s">
        <v>34</v>
      </c>
      <c r="AX1545" s="326" t="s">
        <v>76</v>
      </c>
      <c r="AY1545" s="329" t="s">
        <v>146</v>
      </c>
    </row>
    <row r="1546" spans="1:65" s="225" customFormat="1" ht="62.65" customHeight="1">
      <c r="A1546" s="222"/>
      <c r="B1546" s="223"/>
      <c r="C1546" s="314">
        <v>290</v>
      </c>
      <c r="D1546" s="314" t="s">
        <v>148</v>
      </c>
      <c r="E1546" s="315" t="s">
        <v>1163</v>
      </c>
      <c r="F1546" s="344" t="s">
        <v>1164</v>
      </c>
      <c r="G1546" s="317" t="s">
        <v>301</v>
      </c>
      <c r="H1546" s="318">
        <v>6</v>
      </c>
      <c r="I1546" s="79"/>
      <c r="J1546" s="319">
        <f>ROUND(I1546*H1546,2)</f>
        <v>0</v>
      </c>
      <c r="K1546" s="316"/>
      <c r="L1546" s="229"/>
      <c r="M1546" s="320" t="s">
        <v>1</v>
      </c>
      <c r="N1546" s="321" t="s">
        <v>42</v>
      </c>
      <c r="O1546" s="322">
        <v>0</v>
      </c>
      <c r="P1546" s="322">
        <f>O1546*H1546</f>
        <v>0</v>
      </c>
      <c r="Q1546" s="322">
        <v>0.002</v>
      </c>
      <c r="R1546" s="322">
        <f>Q1546*H1546</f>
        <v>0.012</v>
      </c>
      <c r="S1546" s="322">
        <v>0</v>
      </c>
      <c r="T1546" s="323">
        <f>S1546*H1546</f>
        <v>0</v>
      </c>
      <c r="U1546" s="222"/>
      <c r="V1546" s="222"/>
      <c r="W1546" s="222"/>
      <c r="X1546" s="222"/>
      <c r="Y1546" s="222"/>
      <c r="Z1546" s="222"/>
      <c r="AA1546" s="222"/>
      <c r="AB1546" s="222"/>
      <c r="AC1546" s="222"/>
      <c r="AD1546" s="222"/>
      <c r="AE1546" s="222"/>
      <c r="AR1546" s="324" t="s">
        <v>212</v>
      </c>
      <c r="AT1546" s="324" t="s">
        <v>148</v>
      </c>
      <c r="AU1546" s="324" t="s">
        <v>83</v>
      </c>
      <c r="AY1546" s="214" t="s">
        <v>146</v>
      </c>
      <c r="BE1546" s="325">
        <f>IF(N1546="základní",J1546,0)</f>
        <v>0</v>
      </c>
      <c r="BF1546" s="325">
        <f>IF(N1546="snížená",J1546,0)</f>
        <v>0</v>
      </c>
      <c r="BG1546" s="325">
        <f>IF(N1546="zákl. přenesená",J1546,0)</f>
        <v>0</v>
      </c>
      <c r="BH1546" s="325">
        <f>IF(N1546="sníž. přenesená",J1546,0)</f>
        <v>0</v>
      </c>
      <c r="BI1546" s="325">
        <f>IF(N1546="nulová",J1546,0)</f>
        <v>0</v>
      </c>
      <c r="BJ1546" s="214" t="s">
        <v>81</v>
      </c>
      <c r="BK1546" s="325">
        <f>ROUND(I1546*H1546,2)</f>
        <v>0</v>
      </c>
      <c r="BL1546" s="214" t="s">
        <v>212</v>
      </c>
      <c r="BM1546" s="324" t="s">
        <v>1165</v>
      </c>
    </row>
    <row r="1547" spans="2:51" s="326" customFormat="1" ht="12">
      <c r="B1547" s="327"/>
      <c r="D1547" s="328" t="s">
        <v>155</v>
      </c>
      <c r="E1547" s="329" t="s">
        <v>1</v>
      </c>
      <c r="F1547" s="345" t="s">
        <v>1163</v>
      </c>
      <c r="H1547" s="329" t="s">
        <v>1</v>
      </c>
      <c r="I1547" s="497"/>
      <c r="L1547" s="331"/>
      <c r="M1547" s="332"/>
      <c r="N1547" s="333"/>
      <c r="O1547" s="333"/>
      <c r="P1547" s="333"/>
      <c r="Q1547" s="333"/>
      <c r="R1547" s="333"/>
      <c r="S1547" s="333"/>
      <c r="T1547" s="334"/>
      <c r="AT1547" s="329" t="s">
        <v>155</v>
      </c>
      <c r="AU1547" s="329" t="s">
        <v>83</v>
      </c>
      <c r="AV1547" s="326" t="s">
        <v>81</v>
      </c>
      <c r="AW1547" s="326" t="s">
        <v>34</v>
      </c>
      <c r="AX1547" s="326" t="s">
        <v>76</v>
      </c>
      <c r="AY1547" s="329" t="s">
        <v>146</v>
      </c>
    </row>
    <row r="1548" spans="1:65" s="225" customFormat="1" ht="66.75" customHeight="1">
      <c r="A1548" s="222"/>
      <c r="B1548" s="223"/>
      <c r="C1548" s="314">
        <v>291</v>
      </c>
      <c r="D1548" s="314" t="s">
        <v>148</v>
      </c>
      <c r="E1548" s="315" t="s">
        <v>1166</v>
      </c>
      <c r="F1548" s="344" t="s">
        <v>1167</v>
      </c>
      <c r="G1548" s="317" t="s">
        <v>301</v>
      </c>
      <c r="H1548" s="318">
        <v>6</v>
      </c>
      <c r="I1548" s="79"/>
      <c r="J1548" s="319">
        <f>ROUND(I1548*H1548,2)</f>
        <v>0</v>
      </c>
      <c r="K1548" s="316"/>
      <c r="L1548" s="229"/>
      <c r="M1548" s="320" t="s">
        <v>1</v>
      </c>
      <c r="N1548" s="321" t="s">
        <v>42</v>
      </c>
      <c r="O1548" s="322">
        <v>0</v>
      </c>
      <c r="P1548" s="322">
        <f>O1548*H1548</f>
        <v>0</v>
      </c>
      <c r="Q1548" s="322">
        <v>0.0042</v>
      </c>
      <c r="R1548" s="322">
        <f>Q1548*H1548</f>
        <v>0.0252</v>
      </c>
      <c r="S1548" s="322">
        <v>0</v>
      </c>
      <c r="T1548" s="323">
        <f>S1548*H1548</f>
        <v>0</v>
      </c>
      <c r="U1548" s="222"/>
      <c r="V1548" s="222"/>
      <c r="W1548" s="222"/>
      <c r="X1548" s="222"/>
      <c r="Y1548" s="222"/>
      <c r="Z1548" s="222"/>
      <c r="AA1548" s="222"/>
      <c r="AB1548" s="222"/>
      <c r="AC1548" s="222"/>
      <c r="AD1548" s="222"/>
      <c r="AE1548" s="222"/>
      <c r="AR1548" s="324" t="s">
        <v>212</v>
      </c>
      <c r="AT1548" s="324" t="s">
        <v>148</v>
      </c>
      <c r="AU1548" s="324" t="s">
        <v>83</v>
      </c>
      <c r="AY1548" s="214" t="s">
        <v>146</v>
      </c>
      <c r="BE1548" s="325">
        <f>IF(N1548="základní",J1548,0)</f>
        <v>0</v>
      </c>
      <c r="BF1548" s="325">
        <f>IF(N1548="snížená",J1548,0)</f>
        <v>0</v>
      </c>
      <c r="BG1548" s="325">
        <f>IF(N1548="zákl. přenesená",J1548,0)</f>
        <v>0</v>
      </c>
      <c r="BH1548" s="325">
        <f>IF(N1548="sníž. přenesená",J1548,0)</f>
        <v>0</v>
      </c>
      <c r="BI1548" s="325">
        <f>IF(N1548="nulová",J1548,0)</f>
        <v>0</v>
      </c>
      <c r="BJ1548" s="214" t="s">
        <v>81</v>
      </c>
      <c r="BK1548" s="325">
        <f>ROUND(I1548*H1548,2)</f>
        <v>0</v>
      </c>
      <c r="BL1548" s="214" t="s">
        <v>212</v>
      </c>
      <c r="BM1548" s="324" t="s">
        <v>1168</v>
      </c>
    </row>
    <row r="1549" spans="2:51" s="326" customFormat="1" ht="12">
      <c r="B1549" s="327"/>
      <c r="D1549" s="328" t="s">
        <v>155</v>
      </c>
      <c r="E1549" s="329" t="s">
        <v>1</v>
      </c>
      <c r="F1549" s="345" t="s">
        <v>1166</v>
      </c>
      <c r="H1549" s="329" t="s">
        <v>1</v>
      </c>
      <c r="I1549" s="497"/>
      <c r="L1549" s="331"/>
      <c r="M1549" s="332"/>
      <c r="N1549" s="333"/>
      <c r="O1549" s="333"/>
      <c r="P1549" s="333"/>
      <c r="Q1549" s="333"/>
      <c r="R1549" s="333"/>
      <c r="S1549" s="333"/>
      <c r="T1549" s="334"/>
      <c r="AT1549" s="329" t="s">
        <v>155</v>
      </c>
      <c r="AU1549" s="329" t="s">
        <v>83</v>
      </c>
      <c r="AV1549" s="326" t="s">
        <v>81</v>
      </c>
      <c r="AW1549" s="326" t="s">
        <v>34</v>
      </c>
      <c r="AX1549" s="326" t="s">
        <v>76</v>
      </c>
      <c r="AY1549" s="329" t="s">
        <v>146</v>
      </c>
    </row>
    <row r="1550" spans="1:65" s="225" customFormat="1" ht="24.2" customHeight="1">
      <c r="A1550" s="222"/>
      <c r="B1550" s="223"/>
      <c r="C1550" s="314">
        <v>292</v>
      </c>
      <c r="D1550" s="314" t="s">
        <v>148</v>
      </c>
      <c r="E1550" s="315"/>
      <c r="F1550" s="316" t="s">
        <v>2891</v>
      </c>
      <c r="G1550" s="317" t="s">
        <v>194</v>
      </c>
      <c r="H1550" s="318">
        <f>R1511</f>
        <v>6.274699999999999</v>
      </c>
      <c r="I1550" s="79"/>
      <c r="J1550" s="319">
        <f>ROUND(I1550*H1550,2)</f>
        <v>0</v>
      </c>
      <c r="K1550" s="316"/>
      <c r="L1550" s="229"/>
      <c r="M1550" s="320" t="s">
        <v>1</v>
      </c>
      <c r="N1550" s="321" t="s">
        <v>42</v>
      </c>
      <c r="O1550" s="322">
        <v>0</v>
      </c>
      <c r="P1550" s="322">
        <f>O1550*H1550</f>
        <v>0</v>
      </c>
      <c r="Q1550" s="322"/>
      <c r="R1550" s="322"/>
      <c r="S1550" s="322"/>
      <c r="T1550" s="323"/>
      <c r="U1550" s="222"/>
      <c r="V1550" s="222"/>
      <c r="W1550" s="222"/>
      <c r="X1550" s="222"/>
      <c r="Y1550" s="222"/>
      <c r="Z1550" s="222"/>
      <c r="AA1550" s="222"/>
      <c r="AB1550" s="222"/>
      <c r="AC1550" s="222"/>
      <c r="AD1550" s="222"/>
      <c r="AE1550" s="222"/>
      <c r="AR1550" s="324" t="s">
        <v>212</v>
      </c>
      <c r="AT1550" s="324" t="s">
        <v>148</v>
      </c>
      <c r="AU1550" s="324" t="s">
        <v>83</v>
      </c>
      <c r="AY1550" s="214" t="s">
        <v>146</v>
      </c>
      <c r="BE1550" s="325">
        <f>IF(N1550="základní",J1550,0)</f>
        <v>0</v>
      </c>
      <c r="BF1550" s="325">
        <f>IF(N1550="snížená",J1550,0)</f>
        <v>0</v>
      </c>
      <c r="BG1550" s="325">
        <f>IF(N1550="zákl. přenesená",J1550,0)</f>
        <v>0</v>
      </c>
      <c r="BH1550" s="325">
        <f>IF(N1550="sníž. přenesená",J1550,0)</f>
        <v>0</v>
      </c>
      <c r="BI1550" s="325">
        <f>IF(N1550="nulová",J1550,0)</f>
        <v>0</v>
      </c>
      <c r="BJ1550" s="214" t="s">
        <v>81</v>
      </c>
      <c r="BK1550" s="325">
        <f>ROUND(I1550*H1550,2)</f>
        <v>0</v>
      </c>
      <c r="BL1550" s="214" t="s">
        <v>212</v>
      </c>
      <c r="BM1550" s="324" t="s">
        <v>2447</v>
      </c>
    </row>
    <row r="1551" spans="2:63" s="297" customFormat="1" ht="22.9" customHeight="1">
      <c r="B1551" s="298"/>
      <c r="D1551" s="299" t="s">
        <v>75</v>
      </c>
      <c r="E1551" s="310" t="s">
        <v>1083</v>
      </c>
      <c r="F1551" s="310" t="s">
        <v>1084</v>
      </c>
      <c r="I1551" s="501"/>
      <c r="J1551" s="311">
        <f>SUM(J1552:J1604)</f>
        <v>0</v>
      </c>
      <c r="L1551" s="302"/>
      <c r="M1551" s="303"/>
      <c r="N1551" s="304"/>
      <c r="O1551" s="304"/>
      <c r="P1551" s="305">
        <f>SUM(P1552:P1626)</f>
        <v>90.813508</v>
      </c>
      <c r="Q1551" s="304"/>
      <c r="R1551" s="305">
        <f>SUM(R1552:R1626)</f>
        <v>7.12529832</v>
      </c>
      <c r="S1551" s="304"/>
      <c r="T1551" s="313">
        <f>SUM(T1552:T1626)</f>
        <v>0.522</v>
      </c>
      <c r="AR1551" s="299" t="s">
        <v>83</v>
      </c>
      <c r="AT1551" s="308" t="s">
        <v>75</v>
      </c>
      <c r="AU1551" s="308" t="s">
        <v>81</v>
      </c>
      <c r="AY1551" s="299" t="s">
        <v>146</v>
      </c>
      <c r="BK1551" s="309">
        <f>SUM(BK1552:BK1626)</f>
        <v>0</v>
      </c>
    </row>
    <row r="1552" spans="1:65" s="225" customFormat="1" ht="24.2" customHeight="1">
      <c r="A1552" s="222"/>
      <c r="B1552" s="223"/>
      <c r="C1552" s="314">
        <v>293</v>
      </c>
      <c r="D1552" s="314" t="s">
        <v>148</v>
      </c>
      <c r="E1552" s="315" t="s">
        <v>1087</v>
      </c>
      <c r="F1552" s="316" t="s">
        <v>1088</v>
      </c>
      <c r="G1552" s="317" t="s">
        <v>301</v>
      </c>
      <c r="H1552" s="318">
        <f>H1559</f>
        <v>33</v>
      </c>
      <c r="I1552" s="79"/>
      <c r="J1552" s="319">
        <f>ROUND(I1552*H1552,2)</f>
        <v>0</v>
      </c>
      <c r="K1552" s="316"/>
      <c r="L1552" s="229"/>
      <c r="M1552" s="320" t="s">
        <v>1</v>
      </c>
      <c r="N1552" s="321" t="s">
        <v>42</v>
      </c>
      <c r="O1552" s="322">
        <v>1.682</v>
      </c>
      <c r="P1552" s="322">
        <f>O1552*H1552</f>
        <v>55.506</v>
      </c>
      <c r="Q1552" s="322">
        <v>0</v>
      </c>
      <c r="R1552" s="322">
        <f>Q1552*H1552</f>
        <v>0</v>
      </c>
      <c r="S1552" s="322">
        <v>0</v>
      </c>
      <c r="T1552" s="323">
        <f>S1552*H1552</f>
        <v>0</v>
      </c>
      <c r="U1552" s="222"/>
      <c r="V1552" s="222"/>
      <c r="W1552" s="222"/>
      <c r="X1552" s="222"/>
      <c r="Y1552" s="222"/>
      <c r="Z1552" s="222"/>
      <c r="AA1552" s="222"/>
      <c r="AB1552" s="222"/>
      <c r="AC1552" s="222"/>
      <c r="AD1552" s="222"/>
      <c r="AE1552" s="222"/>
      <c r="AR1552" s="324" t="s">
        <v>212</v>
      </c>
      <c r="AT1552" s="324" t="s">
        <v>148</v>
      </c>
      <c r="AU1552" s="324" t="s">
        <v>83</v>
      </c>
      <c r="AY1552" s="214" t="s">
        <v>146</v>
      </c>
      <c r="BE1552" s="325">
        <f>IF(N1552="základní",J1552,0)</f>
        <v>0</v>
      </c>
      <c r="BF1552" s="325">
        <f>IF(N1552="snížená",J1552,0)</f>
        <v>0</v>
      </c>
      <c r="BG1552" s="325">
        <f>IF(N1552="zákl. přenesená",J1552,0)</f>
        <v>0</v>
      </c>
      <c r="BH1552" s="325">
        <f>IF(N1552="sníž. přenesená",J1552,0)</f>
        <v>0</v>
      </c>
      <c r="BI1552" s="325">
        <f>IF(N1552="nulová",J1552,0)</f>
        <v>0</v>
      </c>
      <c r="BJ1552" s="214" t="s">
        <v>81</v>
      </c>
      <c r="BK1552" s="325">
        <f>ROUND(I1552*H1552,2)</f>
        <v>0</v>
      </c>
      <c r="BL1552" s="214" t="s">
        <v>212</v>
      </c>
      <c r="BM1552" s="324" t="s">
        <v>1089</v>
      </c>
    </row>
    <row r="1553" spans="2:51" s="326" customFormat="1" ht="12">
      <c r="B1553" s="327"/>
      <c r="D1553" s="328" t="s">
        <v>155</v>
      </c>
      <c r="E1553" s="329" t="s">
        <v>1</v>
      </c>
      <c r="F1553" s="330" t="s">
        <v>1090</v>
      </c>
      <c r="H1553" s="329" t="s">
        <v>1</v>
      </c>
      <c r="I1553" s="497"/>
      <c r="L1553" s="331"/>
      <c r="M1553" s="332"/>
      <c r="N1553" s="333"/>
      <c r="O1553" s="333"/>
      <c r="P1553" s="333"/>
      <c r="Q1553" s="333"/>
      <c r="R1553" s="333"/>
      <c r="S1553" s="333"/>
      <c r="T1553" s="334"/>
      <c r="AT1553" s="329" t="s">
        <v>155</v>
      </c>
      <c r="AU1553" s="329" t="s">
        <v>83</v>
      </c>
      <c r="AV1553" s="326" t="s">
        <v>81</v>
      </c>
      <c r="AW1553" s="326" t="s">
        <v>34</v>
      </c>
      <c r="AX1553" s="326" t="s">
        <v>76</v>
      </c>
      <c r="AY1553" s="329" t="s">
        <v>146</v>
      </c>
    </row>
    <row r="1554" spans="2:51" s="326" customFormat="1" ht="12">
      <c r="B1554" s="327"/>
      <c r="D1554" s="328" t="s">
        <v>155</v>
      </c>
      <c r="E1554" s="329" t="s">
        <v>1</v>
      </c>
      <c r="F1554" s="330" t="s">
        <v>2902</v>
      </c>
      <c r="H1554" s="469">
        <v>13</v>
      </c>
      <c r="I1554" s="497"/>
      <c r="L1554" s="331"/>
      <c r="M1554" s="332"/>
      <c r="N1554" s="333"/>
      <c r="O1554" s="333"/>
      <c r="P1554" s="333"/>
      <c r="Q1554" s="333"/>
      <c r="R1554" s="333"/>
      <c r="S1554" s="333"/>
      <c r="T1554" s="334"/>
      <c r="AT1554" s="329" t="s">
        <v>155</v>
      </c>
      <c r="AU1554" s="329" t="s">
        <v>83</v>
      </c>
      <c r="AV1554" s="326" t="s">
        <v>81</v>
      </c>
      <c r="AW1554" s="326" t="s">
        <v>34</v>
      </c>
      <c r="AX1554" s="326" t="s">
        <v>76</v>
      </c>
      <c r="AY1554" s="329" t="s">
        <v>146</v>
      </c>
    </row>
    <row r="1555" spans="2:51" s="326" customFormat="1" ht="12">
      <c r="B1555" s="327"/>
      <c r="D1555" s="328" t="s">
        <v>155</v>
      </c>
      <c r="E1555" s="329" t="s">
        <v>1</v>
      </c>
      <c r="F1555" s="330" t="s">
        <v>1091</v>
      </c>
      <c r="H1555" s="467" t="s">
        <v>1</v>
      </c>
      <c r="I1555" s="497"/>
      <c r="L1555" s="331"/>
      <c r="M1555" s="332"/>
      <c r="N1555" s="333"/>
      <c r="O1555" s="333"/>
      <c r="P1555" s="333"/>
      <c r="Q1555" s="333"/>
      <c r="R1555" s="333"/>
      <c r="S1555" s="333"/>
      <c r="T1555" s="334"/>
      <c r="AT1555" s="329" t="s">
        <v>155</v>
      </c>
      <c r="AU1555" s="329" t="s">
        <v>83</v>
      </c>
      <c r="AV1555" s="326" t="s">
        <v>81</v>
      </c>
      <c r="AW1555" s="326" t="s">
        <v>34</v>
      </c>
      <c r="AX1555" s="326" t="s">
        <v>76</v>
      </c>
      <c r="AY1555" s="329" t="s">
        <v>146</v>
      </c>
    </row>
    <row r="1556" spans="2:51" s="326" customFormat="1" ht="12">
      <c r="B1556" s="327"/>
      <c r="D1556" s="328" t="s">
        <v>155</v>
      </c>
      <c r="E1556" s="329" t="s">
        <v>1</v>
      </c>
      <c r="F1556" s="330" t="s">
        <v>2904</v>
      </c>
      <c r="H1556" s="469">
        <v>17</v>
      </c>
      <c r="I1556" s="497"/>
      <c r="L1556" s="331"/>
      <c r="M1556" s="332"/>
      <c r="N1556" s="333"/>
      <c r="O1556" s="333"/>
      <c r="P1556" s="333"/>
      <c r="Q1556" s="333"/>
      <c r="R1556" s="333"/>
      <c r="S1556" s="333"/>
      <c r="T1556" s="334"/>
      <c r="AT1556" s="329" t="s">
        <v>155</v>
      </c>
      <c r="AU1556" s="329" t="s">
        <v>83</v>
      </c>
      <c r="AV1556" s="326" t="s">
        <v>81</v>
      </c>
      <c r="AW1556" s="326" t="s">
        <v>34</v>
      </c>
      <c r="AX1556" s="326" t="s">
        <v>76</v>
      </c>
      <c r="AY1556" s="329" t="s">
        <v>146</v>
      </c>
    </row>
    <row r="1557" spans="2:51" s="326" customFormat="1" ht="12">
      <c r="B1557" s="327"/>
      <c r="D1557" s="328" t="s">
        <v>155</v>
      </c>
      <c r="E1557" s="329" t="s">
        <v>1</v>
      </c>
      <c r="F1557" s="330" t="s">
        <v>1092</v>
      </c>
      <c r="H1557" s="329" t="s">
        <v>1</v>
      </c>
      <c r="I1557" s="497"/>
      <c r="L1557" s="331"/>
      <c r="M1557" s="332"/>
      <c r="N1557" s="333"/>
      <c r="O1557" s="333"/>
      <c r="P1557" s="333"/>
      <c r="Q1557" s="333"/>
      <c r="R1557" s="333"/>
      <c r="S1557" s="333"/>
      <c r="T1557" s="334"/>
      <c r="AT1557" s="329" t="s">
        <v>155</v>
      </c>
      <c r="AU1557" s="329" t="s">
        <v>83</v>
      </c>
      <c r="AV1557" s="326" t="s">
        <v>81</v>
      </c>
      <c r="AW1557" s="326" t="s">
        <v>34</v>
      </c>
      <c r="AX1557" s="326" t="s">
        <v>76</v>
      </c>
      <c r="AY1557" s="329" t="s">
        <v>146</v>
      </c>
    </row>
    <row r="1558" spans="2:51" s="326" customFormat="1" ht="12">
      <c r="B1558" s="327"/>
      <c r="D1558" s="328" t="s">
        <v>155</v>
      </c>
      <c r="E1558" s="329" t="s">
        <v>1</v>
      </c>
      <c r="F1558" s="330" t="s">
        <v>1093</v>
      </c>
      <c r="H1558" s="469">
        <v>3</v>
      </c>
      <c r="I1558" s="497"/>
      <c r="L1558" s="331"/>
      <c r="M1558" s="332"/>
      <c r="N1558" s="333"/>
      <c r="O1558" s="333"/>
      <c r="P1558" s="333"/>
      <c r="Q1558" s="333"/>
      <c r="R1558" s="333"/>
      <c r="S1558" s="333"/>
      <c r="T1558" s="334"/>
      <c r="AT1558" s="329" t="s">
        <v>155</v>
      </c>
      <c r="AU1558" s="329" t="s">
        <v>83</v>
      </c>
      <c r="AV1558" s="326" t="s">
        <v>81</v>
      </c>
      <c r="AW1558" s="326" t="s">
        <v>34</v>
      </c>
      <c r="AX1558" s="326" t="s">
        <v>76</v>
      </c>
      <c r="AY1558" s="329" t="s">
        <v>146</v>
      </c>
    </row>
    <row r="1559" spans="2:51" s="347" customFormat="1" ht="12">
      <c r="B1559" s="348"/>
      <c r="D1559" s="328" t="s">
        <v>155</v>
      </c>
      <c r="E1559" s="349" t="s">
        <v>1</v>
      </c>
      <c r="F1559" s="356" t="s">
        <v>157</v>
      </c>
      <c r="H1559" s="351">
        <f>SUM(H1554:H1558)</f>
        <v>33</v>
      </c>
      <c r="I1559" s="499"/>
      <c r="L1559" s="352"/>
      <c r="M1559" s="353"/>
      <c r="N1559" s="354"/>
      <c r="O1559" s="354"/>
      <c r="P1559" s="354"/>
      <c r="Q1559" s="354"/>
      <c r="R1559" s="354"/>
      <c r="S1559" s="354"/>
      <c r="T1559" s="355"/>
      <c r="AT1559" s="349" t="s">
        <v>155</v>
      </c>
      <c r="AU1559" s="349" t="s">
        <v>83</v>
      </c>
      <c r="AV1559" s="347" t="s">
        <v>153</v>
      </c>
      <c r="AW1559" s="347" t="s">
        <v>34</v>
      </c>
      <c r="AX1559" s="347" t="s">
        <v>81</v>
      </c>
      <c r="AY1559" s="349" t="s">
        <v>146</v>
      </c>
    </row>
    <row r="1560" spans="1:65" s="225" customFormat="1" ht="51" customHeight="1">
      <c r="A1560" s="222"/>
      <c r="B1560" s="223"/>
      <c r="C1560" s="358">
        <v>294</v>
      </c>
      <c r="D1560" s="358" t="s">
        <v>208</v>
      </c>
      <c r="E1560" s="359" t="s">
        <v>1094</v>
      </c>
      <c r="F1560" s="364" t="s">
        <v>3724</v>
      </c>
      <c r="G1560" s="361" t="s">
        <v>301</v>
      </c>
      <c r="H1560" s="362">
        <v>10</v>
      </c>
      <c r="I1560" s="80"/>
      <c r="J1560" s="363">
        <f>ROUND(I1560*H1560,2)</f>
        <v>0</v>
      </c>
      <c r="K1560" s="364"/>
      <c r="L1560" s="365"/>
      <c r="M1560" s="366" t="s">
        <v>1</v>
      </c>
      <c r="N1560" s="367" t="s">
        <v>42</v>
      </c>
      <c r="O1560" s="322">
        <v>0</v>
      </c>
      <c r="P1560" s="322">
        <f>O1560*H1560</f>
        <v>0</v>
      </c>
      <c r="Q1560" s="322">
        <v>0.0175</v>
      </c>
      <c r="R1560" s="322">
        <f>Q1560*H1560</f>
        <v>0.17500000000000002</v>
      </c>
      <c r="S1560" s="322">
        <v>0</v>
      </c>
      <c r="T1560" s="323">
        <f>S1560*H1560</f>
        <v>0</v>
      </c>
      <c r="U1560" s="222"/>
      <c r="V1560" s="222"/>
      <c r="W1560" s="222"/>
      <c r="X1560" s="222"/>
      <c r="Y1560" s="222"/>
      <c r="Z1560" s="222"/>
      <c r="AA1560" s="222"/>
      <c r="AB1560" s="222"/>
      <c r="AC1560" s="222"/>
      <c r="AD1560" s="222"/>
      <c r="AE1560" s="222"/>
      <c r="AR1560" s="324" t="s">
        <v>298</v>
      </c>
      <c r="AT1560" s="324" t="s">
        <v>208</v>
      </c>
      <c r="AU1560" s="324" t="s">
        <v>83</v>
      </c>
      <c r="AY1560" s="214" t="s">
        <v>146</v>
      </c>
      <c r="BE1560" s="325">
        <f>IF(N1560="základní",J1560,0)</f>
        <v>0</v>
      </c>
      <c r="BF1560" s="325">
        <f>IF(N1560="snížená",J1560,0)</f>
        <v>0</v>
      </c>
      <c r="BG1560" s="325">
        <f>IF(N1560="zákl. přenesená",J1560,0)</f>
        <v>0</v>
      </c>
      <c r="BH1560" s="325">
        <f>IF(N1560="sníž. přenesená",J1560,0)</f>
        <v>0</v>
      </c>
      <c r="BI1560" s="325">
        <f>IF(N1560="nulová",J1560,0)</f>
        <v>0</v>
      </c>
      <c r="BJ1560" s="214" t="s">
        <v>81</v>
      </c>
      <c r="BK1560" s="325">
        <f>ROUND(I1560*H1560,2)</f>
        <v>0</v>
      </c>
      <c r="BL1560" s="214" t="s">
        <v>212</v>
      </c>
      <c r="BM1560" s="324" t="s">
        <v>1095</v>
      </c>
    </row>
    <row r="1561" spans="2:51" s="326" customFormat="1" ht="12">
      <c r="B1561" s="327"/>
      <c r="D1561" s="328" t="s">
        <v>155</v>
      </c>
      <c r="E1561" s="329" t="s">
        <v>1</v>
      </c>
      <c r="F1561" s="330" t="s">
        <v>3734</v>
      </c>
      <c r="H1561" s="469">
        <v>10</v>
      </c>
      <c r="I1561" s="497"/>
      <c r="L1561" s="331"/>
      <c r="M1561" s="332"/>
      <c r="N1561" s="333"/>
      <c r="O1561" s="333"/>
      <c r="P1561" s="333"/>
      <c r="Q1561" s="333"/>
      <c r="R1561" s="333"/>
      <c r="S1561" s="333"/>
      <c r="T1561" s="334"/>
      <c r="AT1561" s="329" t="s">
        <v>155</v>
      </c>
      <c r="AU1561" s="329" t="s">
        <v>83</v>
      </c>
      <c r="AV1561" s="326" t="s">
        <v>81</v>
      </c>
      <c r="AW1561" s="326" t="s">
        <v>34</v>
      </c>
      <c r="AX1561" s="326" t="s">
        <v>76</v>
      </c>
      <c r="AY1561" s="329" t="s">
        <v>146</v>
      </c>
    </row>
    <row r="1562" spans="1:65" s="225" customFormat="1" ht="51" customHeight="1">
      <c r="A1562" s="222"/>
      <c r="B1562" s="223"/>
      <c r="C1562" s="358">
        <v>295</v>
      </c>
      <c r="D1562" s="358" t="s">
        <v>208</v>
      </c>
      <c r="E1562" s="359" t="s">
        <v>1094</v>
      </c>
      <c r="F1562" s="364" t="s">
        <v>3735</v>
      </c>
      <c r="G1562" s="361" t="s">
        <v>301</v>
      </c>
      <c r="H1562" s="362">
        <v>3</v>
      </c>
      <c r="I1562" s="80"/>
      <c r="J1562" s="363">
        <f>ROUND(I1562*H1562,2)</f>
        <v>0</v>
      </c>
      <c r="K1562" s="364"/>
      <c r="L1562" s="365"/>
      <c r="M1562" s="366" t="s">
        <v>1</v>
      </c>
      <c r="N1562" s="367" t="s">
        <v>42</v>
      </c>
      <c r="O1562" s="322">
        <v>0</v>
      </c>
      <c r="P1562" s="322">
        <f>O1562*H1562</f>
        <v>0</v>
      </c>
      <c r="Q1562" s="322">
        <v>0.0175</v>
      </c>
      <c r="R1562" s="322">
        <f>Q1562*H1562</f>
        <v>0.052500000000000005</v>
      </c>
      <c r="S1562" s="322">
        <v>0</v>
      </c>
      <c r="T1562" s="323">
        <f>S1562*H1562</f>
        <v>0</v>
      </c>
      <c r="U1562" s="222"/>
      <c r="V1562" s="222"/>
      <c r="W1562" s="222"/>
      <c r="X1562" s="222"/>
      <c r="Y1562" s="222"/>
      <c r="Z1562" s="222"/>
      <c r="AA1562" s="222"/>
      <c r="AB1562" s="222"/>
      <c r="AC1562" s="222"/>
      <c r="AD1562" s="222"/>
      <c r="AE1562" s="222"/>
      <c r="AR1562" s="324" t="s">
        <v>298</v>
      </c>
      <c r="AT1562" s="324" t="s">
        <v>208</v>
      </c>
      <c r="AU1562" s="324" t="s">
        <v>83</v>
      </c>
      <c r="AY1562" s="214" t="s">
        <v>146</v>
      </c>
      <c r="BE1562" s="325">
        <f>IF(N1562="základní",J1562,0)</f>
        <v>0</v>
      </c>
      <c r="BF1562" s="325">
        <f>IF(N1562="snížená",J1562,0)</f>
        <v>0</v>
      </c>
      <c r="BG1562" s="325">
        <f>IF(N1562="zákl. přenesená",J1562,0)</f>
        <v>0</v>
      </c>
      <c r="BH1562" s="325">
        <f>IF(N1562="sníž. přenesená",J1562,0)</f>
        <v>0</v>
      </c>
      <c r="BI1562" s="325">
        <f>IF(N1562="nulová",J1562,0)</f>
        <v>0</v>
      </c>
      <c r="BJ1562" s="214" t="s">
        <v>81</v>
      </c>
      <c r="BK1562" s="325">
        <f>ROUND(I1562*H1562,2)</f>
        <v>0</v>
      </c>
      <c r="BL1562" s="214" t="s">
        <v>212</v>
      </c>
      <c r="BM1562" s="324" t="s">
        <v>1095</v>
      </c>
    </row>
    <row r="1563" spans="2:51" s="326" customFormat="1" ht="12">
      <c r="B1563" s="327"/>
      <c r="D1563" s="328" t="s">
        <v>155</v>
      </c>
      <c r="E1563" s="329" t="s">
        <v>1</v>
      </c>
      <c r="F1563" s="330" t="s">
        <v>3733</v>
      </c>
      <c r="H1563" s="469">
        <v>3</v>
      </c>
      <c r="I1563" s="497"/>
      <c r="L1563" s="331"/>
      <c r="M1563" s="332"/>
      <c r="N1563" s="333"/>
      <c r="O1563" s="333"/>
      <c r="P1563" s="333"/>
      <c r="Q1563" s="333"/>
      <c r="R1563" s="333"/>
      <c r="S1563" s="333"/>
      <c r="T1563" s="334"/>
      <c r="AT1563" s="329" t="s">
        <v>155</v>
      </c>
      <c r="AU1563" s="329" t="s">
        <v>83</v>
      </c>
      <c r="AV1563" s="326" t="s">
        <v>81</v>
      </c>
      <c r="AW1563" s="326" t="s">
        <v>34</v>
      </c>
      <c r="AX1563" s="326" t="s">
        <v>76</v>
      </c>
      <c r="AY1563" s="329" t="s">
        <v>146</v>
      </c>
    </row>
    <row r="1564" spans="1:65" s="225" customFormat="1" ht="49.5" customHeight="1">
      <c r="A1564" s="222"/>
      <c r="B1564" s="223"/>
      <c r="C1564" s="358">
        <v>296</v>
      </c>
      <c r="D1564" s="358" t="s">
        <v>208</v>
      </c>
      <c r="E1564" s="359" t="s">
        <v>1096</v>
      </c>
      <c r="F1564" s="364" t="s">
        <v>3725</v>
      </c>
      <c r="G1564" s="361" t="s">
        <v>301</v>
      </c>
      <c r="H1564" s="362">
        <v>14</v>
      </c>
      <c r="I1564" s="80"/>
      <c r="J1564" s="363">
        <f>ROUND(I1564*H1564,2)</f>
        <v>0</v>
      </c>
      <c r="K1564" s="364"/>
      <c r="L1564" s="365"/>
      <c r="M1564" s="366" t="s">
        <v>1</v>
      </c>
      <c r="N1564" s="367" t="s">
        <v>42</v>
      </c>
      <c r="O1564" s="322">
        <v>0</v>
      </c>
      <c r="P1564" s="322">
        <f>O1564*H1564</f>
        <v>0</v>
      </c>
      <c r="Q1564" s="322">
        <v>0.0195</v>
      </c>
      <c r="R1564" s="322">
        <f>Q1564*H1564</f>
        <v>0.273</v>
      </c>
      <c r="S1564" s="322">
        <v>0</v>
      </c>
      <c r="T1564" s="323">
        <f>S1564*H1564</f>
        <v>0</v>
      </c>
      <c r="U1564" s="222"/>
      <c r="V1564" s="222"/>
      <c r="W1564" s="222"/>
      <c r="X1564" s="222"/>
      <c r="Y1564" s="222"/>
      <c r="Z1564" s="222"/>
      <c r="AA1564" s="222"/>
      <c r="AB1564" s="222"/>
      <c r="AC1564" s="222"/>
      <c r="AD1564" s="222"/>
      <c r="AE1564" s="222"/>
      <c r="AR1564" s="324" t="s">
        <v>298</v>
      </c>
      <c r="AT1564" s="324" t="s">
        <v>208</v>
      </c>
      <c r="AU1564" s="324" t="s">
        <v>83</v>
      </c>
      <c r="AY1564" s="214" t="s">
        <v>146</v>
      </c>
      <c r="BE1564" s="325">
        <f>IF(N1564="základní",J1564,0)</f>
        <v>0</v>
      </c>
      <c r="BF1564" s="325">
        <f>IF(N1564="snížená",J1564,0)</f>
        <v>0</v>
      </c>
      <c r="BG1564" s="325">
        <f>IF(N1564="zákl. přenesená",J1564,0)</f>
        <v>0</v>
      </c>
      <c r="BH1564" s="325">
        <f>IF(N1564="sníž. přenesená",J1564,0)</f>
        <v>0</v>
      </c>
      <c r="BI1564" s="325">
        <f>IF(N1564="nulová",J1564,0)</f>
        <v>0</v>
      </c>
      <c r="BJ1564" s="214" t="s">
        <v>81</v>
      </c>
      <c r="BK1564" s="325">
        <f>ROUND(I1564*H1564,2)</f>
        <v>0</v>
      </c>
      <c r="BL1564" s="214" t="s">
        <v>212</v>
      </c>
      <c r="BM1564" s="324" t="s">
        <v>1097</v>
      </c>
    </row>
    <row r="1565" spans="2:51" s="326" customFormat="1" ht="12">
      <c r="B1565" s="327"/>
      <c r="D1565" s="328" t="s">
        <v>155</v>
      </c>
      <c r="E1565" s="329" t="s">
        <v>1</v>
      </c>
      <c r="F1565" s="330" t="s">
        <v>3737</v>
      </c>
      <c r="H1565" s="469">
        <v>14</v>
      </c>
      <c r="I1565" s="497"/>
      <c r="L1565" s="331"/>
      <c r="M1565" s="332"/>
      <c r="N1565" s="333"/>
      <c r="O1565" s="333"/>
      <c r="P1565" s="333"/>
      <c r="Q1565" s="333"/>
      <c r="R1565" s="333"/>
      <c r="S1565" s="333"/>
      <c r="T1565" s="334"/>
      <c r="AT1565" s="329" t="s">
        <v>155</v>
      </c>
      <c r="AU1565" s="329" t="s">
        <v>83</v>
      </c>
      <c r="AV1565" s="326" t="s">
        <v>81</v>
      </c>
      <c r="AW1565" s="326" t="s">
        <v>34</v>
      </c>
      <c r="AX1565" s="326" t="s">
        <v>76</v>
      </c>
      <c r="AY1565" s="329" t="s">
        <v>146</v>
      </c>
    </row>
    <row r="1566" spans="1:65" s="225" customFormat="1" ht="49.5" customHeight="1">
      <c r="A1566" s="222"/>
      <c r="B1566" s="223"/>
      <c r="C1566" s="358">
        <v>297</v>
      </c>
      <c r="D1566" s="358" t="s">
        <v>208</v>
      </c>
      <c r="E1566" s="359" t="s">
        <v>1096</v>
      </c>
      <c r="F1566" s="364" t="s">
        <v>3738</v>
      </c>
      <c r="G1566" s="361" t="s">
        <v>301</v>
      </c>
      <c r="H1566" s="362">
        <v>2</v>
      </c>
      <c r="I1566" s="80"/>
      <c r="J1566" s="363">
        <f>ROUND(I1566*H1566,2)</f>
        <v>0</v>
      </c>
      <c r="K1566" s="364"/>
      <c r="L1566" s="365"/>
      <c r="M1566" s="366" t="s">
        <v>1</v>
      </c>
      <c r="N1566" s="367" t="s">
        <v>42</v>
      </c>
      <c r="O1566" s="322">
        <v>0</v>
      </c>
      <c r="P1566" s="322">
        <f>O1566*H1566</f>
        <v>0</v>
      </c>
      <c r="Q1566" s="322">
        <v>0.0195</v>
      </c>
      <c r="R1566" s="322">
        <f>Q1566*H1566</f>
        <v>0.039</v>
      </c>
      <c r="S1566" s="322">
        <v>0</v>
      </c>
      <c r="T1566" s="323">
        <f>S1566*H1566</f>
        <v>0</v>
      </c>
      <c r="U1566" s="222"/>
      <c r="V1566" s="222"/>
      <c r="W1566" s="222"/>
      <c r="X1566" s="222"/>
      <c r="Y1566" s="222"/>
      <c r="Z1566" s="222"/>
      <c r="AA1566" s="222"/>
      <c r="AB1566" s="222"/>
      <c r="AC1566" s="222"/>
      <c r="AD1566" s="222"/>
      <c r="AE1566" s="222"/>
      <c r="AR1566" s="324" t="s">
        <v>298</v>
      </c>
      <c r="AT1566" s="324" t="s">
        <v>208</v>
      </c>
      <c r="AU1566" s="324" t="s">
        <v>83</v>
      </c>
      <c r="AY1566" s="214" t="s">
        <v>146</v>
      </c>
      <c r="BE1566" s="325">
        <f>IF(N1566="základní",J1566,0)</f>
        <v>0</v>
      </c>
      <c r="BF1566" s="325">
        <f>IF(N1566="snížená",J1566,0)</f>
        <v>0</v>
      </c>
      <c r="BG1566" s="325">
        <f>IF(N1566="zákl. přenesená",J1566,0)</f>
        <v>0</v>
      </c>
      <c r="BH1566" s="325">
        <f>IF(N1566="sníž. přenesená",J1566,0)</f>
        <v>0</v>
      </c>
      <c r="BI1566" s="325">
        <f>IF(N1566="nulová",J1566,0)</f>
        <v>0</v>
      </c>
      <c r="BJ1566" s="214" t="s">
        <v>81</v>
      </c>
      <c r="BK1566" s="325">
        <f>ROUND(I1566*H1566,2)</f>
        <v>0</v>
      </c>
      <c r="BL1566" s="214" t="s">
        <v>212</v>
      </c>
      <c r="BM1566" s="324" t="s">
        <v>1097</v>
      </c>
    </row>
    <row r="1567" spans="2:51" s="326" customFormat="1" ht="12">
      <c r="B1567" s="327"/>
      <c r="D1567" s="328" t="s">
        <v>155</v>
      </c>
      <c r="E1567" s="329" t="s">
        <v>1</v>
      </c>
      <c r="F1567" s="330" t="s">
        <v>3736</v>
      </c>
      <c r="H1567" s="469">
        <v>2</v>
      </c>
      <c r="I1567" s="497"/>
      <c r="L1567" s="331"/>
      <c r="M1567" s="332"/>
      <c r="N1567" s="333"/>
      <c r="O1567" s="333"/>
      <c r="P1567" s="333"/>
      <c r="Q1567" s="333"/>
      <c r="R1567" s="333"/>
      <c r="S1567" s="333"/>
      <c r="T1567" s="334"/>
      <c r="AT1567" s="329" t="s">
        <v>155</v>
      </c>
      <c r="AU1567" s="329" t="s">
        <v>83</v>
      </c>
      <c r="AV1567" s="326" t="s">
        <v>81</v>
      </c>
      <c r="AW1567" s="326" t="s">
        <v>34</v>
      </c>
      <c r="AX1567" s="326" t="s">
        <v>76</v>
      </c>
      <c r="AY1567" s="329" t="s">
        <v>146</v>
      </c>
    </row>
    <row r="1568" spans="1:65" s="225" customFormat="1" ht="49.5" customHeight="1">
      <c r="A1568" s="222"/>
      <c r="B1568" s="223"/>
      <c r="C1568" s="358">
        <v>298</v>
      </c>
      <c r="D1568" s="358" t="s">
        <v>208</v>
      </c>
      <c r="E1568" s="359" t="s">
        <v>1096</v>
      </c>
      <c r="F1568" s="364" t="s">
        <v>3741</v>
      </c>
      <c r="G1568" s="361" t="s">
        <v>301</v>
      </c>
      <c r="H1568" s="362">
        <v>1</v>
      </c>
      <c r="I1568" s="80"/>
      <c r="J1568" s="363">
        <f>ROUND(I1568*H1568,2)</f>
        <v>0</v>
      </c>
      <c r="K1568" s="364"/>
      <c r="L1568" s="365"/>
      <c r="M1568" s="366" t="s">
        <v>1</v>
      </c>
      <c r="N1568" s="367" t="s">
        <v>42</v>
      </c>
      <c r="O1568" s="322">
        <v>0</v>
      </c>
      <c r="P1568" s="322">
        <f>O1568*H1568</f>
        <v>0</v>
      </c>
      <c r="Q1568" s="322">
        <v>0.0195</v>
      </c>
      <c r="R1568" s="322">
        <f>Q1568*H1568</f>
        <v>0.0195</v>
      </c>
      <c r="S1568" s="322">
        <v>0</v>
      </c>
      <c r="T1568" s="323">
        <f>S1568*H1568</f>
        <v>0</v>
      </c>
      <c r="U1568" s="222"/>
      <c r="V1568" s="222"/>
      <c r="W1568" s="222"/>
      <c r="X1568" s="222"/>
      <c r="Y1568" s="222"/>
      <c r="Z1568" s="222"/>
      <c r="AA1568" s="222"/>
      <c r="AB1568" s="222"/>
      <c r="AC1568" s="222"/>
      <c r="AD1568" s="222"/>
      <c r="AE1568" s="222"/>
      <c r="AR1568" s="324" t="s">
        <v>298</v>
      </c>
      <c r="AT1568" s="324" t="s">
        <v>208</v>
      </c>
      <c r="AU1568" s="324" t="s">
        <v>83</v>
      </c>
      <c r="AY1568" s="214" t="s">
        <v>146</v>
      </c>
      <c r="BE1568" s="325">
        <f>IF(N1568="základní",J1568,0)</f>
        <v>0</v>
      </c>
      <c r="BF1568" s="325">
        <f>IF(N1568="snížená",J1568,0)</f>
        <v>0</v>
      </c>
      <c r="BG1568" s="325">
        <f>IF(N1568="zákl. přenesená",J1568,0)</f>
        <v>0</v>
      </c>
      <c r="BH1568" s="325">
        <f>IF(N1568="sníž. přenesená",J1568,0)</f>
        <v>0</v>
      </c>
      <c r="BI1568" s="325">
        <f>IF(N1568="nulová",J1568,0)</f>
        <v>0</v>
      </c>
      <c r="BJ1568" s="214" t="s">
        <v>81</v>
      </c>
      <c r="BK1568" s="325">
        <f>ROUND(I1568*H1568,2)</f>
        <v>0</v>
      </c>
      <c r="BL1568" s="214" t="s">
        <v>212</v>
      </c>
      <c r="BM1568" s="324" t="s">
        <v>1097</v>
      </c>
    </row>
    <row r="1569" spans="2:51" s="326" customFormat="1" ht="12">
      <c r="B1569" s="327"/>
      <c r="D1569" s="328" t="s">
        <v>155</v>
      </c>
      <c r="E1569" s="329" t="s">
        <v>1</v>
      </c>
      <c r="F1569" s="330" t="s">
        <v>3739</v>
      </c>
      <c r="H1569" s="469">
        <v>1</v>
      </c>
      <c r="I1569" s="497"/>
      <c r="L1569" s="331"/>
      <c r="M1569" s="332"/>
      <c r="N1569" s="333"/>
      <c r="O1569" s="333"/>
      <c r="P1569" s="333"/>
      <c r="Q1569" s="333"/>
      <c r="R1569" s="333"/>
      <c r="S1569" s="333"/>
      <c r="T1569" s="334"/>
      <c r="AT1569" s="329" t="s">
        <v>155</v>
      </c>
      <c r="AU1569" s="329" t="s">
        <v>83</v>
      </c>
      <c r="AV1569" s="326" t="s">
        <v>81</v>
      </c>
      <c r="AW1569" s="326" t="s">
        <v>34</v>
      </c>
      <c r="AX1569" s="326" t="s">
        <v>76</v>
      </c>
      <c r="AY1569" s="329" t="s">
        <v>146</v>
      </c>
    </row>
    <row r="1570" spans="1:65" s="225" customFormat="1" ht="64.5" customHeight="1">
      <c r="A1570" s="222"/>
      <c r="B1570" s="223"/>
      <c r="C1570" s="358">
        <v>299</v>
      </c>
      <c r="D1570" s="358" t="s">
        <v>208</v>
      </c>
      <c r="E1570" s="359" t="s">
        <v>1098</v>
      </c>
      <c r="F1570" s="364" t="s">
        <v>3726</v>
      </c>
      <c r="G1570" s="361" t="s">
        <v>301</v>
      </c>
      <c r="H1570" s="362">
        <f>H1571</f>
        <v>3</v>
      </c>
      <c r="I1570" s="80"/>
      <c r="J1570" s="363">
        <f>ROUND(I1570*H1570,2)</f>
        <v>0</v>
      </c>
      <c r="K1570" s="364"/>
      <c r="L1570" s="365"/>
      <c r="M1570" s="366" t="s">
        <v>1</v>
      </c>
      <c r="N1570" s="367" t="s">
        <v>42</v>
      </c>
      <c r="O1570" s="322">
        <v>0</v>
      </c>
      <c r="P1570" s="322">
        <f>O1570*H1570</f>
        <v>0</v>
      </c>
      <c r="Q1570" s="322">
        <v>0.021</v>
      </c>
      <c r="R1570" s="322">
        <f>Q1570*H1570</f>
        <v>0.063</v>
      </c>
      <c r="S1570" s="322">
        <v>0</v>
      </c>
      <c r="T1570" s="323">
        <f>S1570*H1570</f>
        <v>0</v>
      </c>
      <c r="U1570" s="222"/>
      <c r="V1570" s="222"/>
      <c r="W1570" s="222"/>
      <c r="X1570" s="222"/>
      <c r="Y1570" s="222"/>
      <c r="Z1570" s="222"/>
      <c r="AA1570" s="222"/>
      <c r="AB1570" s="222"/>
      <c r="AC1570" s="222"/>
      <c r="AD1570" s="222"/>
      <c r="AE1570" s="222"/>
      <c r="AR1570" s="324" t="s">
        <v>298</v>
      </c>
      <c r="AT1570" s="324" t="s">
        <v>208</v>
      </c>
      <c r="AU1570" s="324" t="s">
        <v>83</v>
      </c>
      <c r="AY1570" s="214" t="s">
        <v>146</v>
      </c>
      <c r="BE1570" s="325">
        <f>IF(N1570="základní",J1570,0)</f>
        <v>0</v>
      </c>
      <c r="BF1570" s="325">
        <f>IF(N1570="snížená",J1570,0)</f>
        <v>0</v>
      </c>
      <c r="BG1570" s="325">
        <f>IF(N1570="zákl. přenesená",J1570,0)</f>
        <v>0</v>
      </c>
      <c r="BH1570" s="325">
        <f>IF(N1570="sníž. přenesená",J1570,0)</f>
        <v>0</v>
      </c>
      <c r="BI1570" s="325">
        <f>IF(N1570="nulová",J1570,0)</f>
        <v>0</v>
      </c>
      <c r="BJ1570" s="214" t="s">
        <v>81</v>
      </c>
      <c r="BK1570" s="325">
        <f>ROUND(I1570*H1570,2)</f>
        <v>0</v>
      </c>
      <c r="BL1570" s="214" t="s">
        <v>212</v>
      </c>
      <c r="BM1570" s="324" t="s">
        <v>1099</v>
      </c>
    </row>
    <row r="1571" spans="2:51" s="326" customFormat="1" ht="12">
      <c r="B1571" s="327"/>
      <c r="D1571" s="328" t="s">
        <v>155</v>
      </c>
      <c r="E1571" s="329" t="s">
        <v>1</v>
      </c>
      <c r="F1571" s="330" t="s">
        <v>3740</v>
      </c>
      <c r="H1571" s="469">
        <v>3</v>
      </c>
      <c r="I1571" s="497"/>
      <c r="L1571" s="331"/>
      <c r="M1571" s="332"/>
      <c r="N1571" s="333"/>
      <c r="O1571" s="333"/>
      <c r="P1571" s="333"/>
      <c r="Q1571" s="333"/>
      <c r="R1571" s="333"/>
      <c r="S1571" s="333"/>
      <c r="T1571" s="334"/>
      <c r="AT1571" s="329" t="s">
        <v>155</v>
      </c>
      <c r="AU1571" s="329" t="s">
        <v>83</v>
      </c>
      <c r="AV1571" s="326" t="s">
        <v>81</v>
      </c>
      <c r="AW1571" s="326" t="s">
        <v>34</v>
      </c>
      <c r="AX1571" s="326" t="s">
        <v>76</v>
      </c>
      <c r="AY1571" s="329" t="s">
        <v>146</v>
      </c>
    </row>
    <row r="1572" spans="1:65" s="225" customFormat="1" ht="24.2" customHeight="1">
      <c r="A1572" s="222"/>
      <c r="B1572" s="223"/>
      <c r="C1572" s="314">
        <v>300</v>
      </c>
      <c r="D1572" s="314" t="s">
        <v>148</v>
      </c>
      <c r="E1572" s="315"/>
      <c r="F1572" s="316" t="s">
        <v>2903</v>
      </c>
      <c r="G1572" s="317" t="s">
        <v>301</v>
      </c>
      <c r="H1572" s="318">
        <f>H1573</f>
        <v>4</v>
      </c>
      <c r="I1572" s="79"/>
      <c r="J1572" s="319">
        <f>ROUND(I1572*H1572,2)</f>
        <v>0</v>
      </c>
      <c r="K1572" s="316"/>
      <c r="L1572" s="229"/>
      <c r="M1572" s="320" t="s">
        <v>1</v>
      </c>
      <c r="N1572" s="321" t="s">
        <v>42</v>
      </c>
      <c r="O1572" s="322">
        <v>3.527</v>
      </c>
      <c r="P1572" s="322">
        <f>O1572*H1572</f>
        <v>14.108</v>
      </c>
      <c r="Q1572" s="322">
        <v>0</v>
      </c>
      <c r="R1572" s="322">
        <f>Q1572*H1572</f>
        <v>0</v>
      </c>
      <c r="S1572" s="322">
        <v>0</v>
      </c>
      <c r="T1572" s="323">
        <f>S1572*H1572</f>
        <v>0</v>
      </c>
      <c r="U1572" s="222"/>
      <c r="V1572" s="222"/>
      <c r="W1572" s="222"/>
      <c r="X1572" s="222"/>
      <c r="Y1572" s="222"/>
      <c r="Z1572" s="222"/>
      <c r="AA1572" s="222"/>
      <c r="AB1572" s="222"/>
      <c r="AC1572" s="222"/>
      <c r="AD1572" s="222"/>
      <c r="AE1572" s="222"/>
      <c r="AR1572" s="324" t="s">
        <v>212</v>
      </c>
      <c r="AT1572" s="324" t="s">
        <v>148</v>
      </c>
      <c r="AU1572" s="324" t="s">
        <v>83</v>
      </c>
      <c r="AY1572" s="214" t="s">
        <v>146</v>
      </c>
      <c r="BE1572" s="325">
        <f>IF(N1572="základní",J1572,0)</f>
        <v>0</v>
      </c>
      <c r="BF1572" s="325">
        <f>IF(N1572="snížená",J1572,0)</f>
        <v>0</v>
      </c>
      <c r="BG1572" s="325">
        <f>IF(N1572="zákl. přenesená",J1572,0)</f>
        <v>0</v>
      </c>
      <c r="BH1572" s="325">
        <f>IF(N1572="sníž. přenesená",J1572,0)</f>
        <v>0</v>
      </c>
      <c r="BI1572" s="325">
        <f>IF(N1572="nulová",J1572,0)</f>
        <v>0</v>
      </c>
      <c r="BJ1572" s="214" t="s">
        <v>81</v>
      </c>
      <c r="BK1572" s="325">
        <f>ROUND(I1572*H1572,2)</f>
        <v>0</v>
      </c>
      <c r="BL1572" s="214" t="s">
        <v>212</v>
      </c>
      <c r="BM1572" s="324" t="s">
        <v>1108</v>
      </c>
    </row>
    <row r="1573" spans="2:51" s="326" customFormat="1" ht="12">
      <c r="B1573" s="327"/>
      <c r="D1573" s="328" t="s">
        <v>155</v>
      </c>
      <c r="E1573" s="329" t="s">
        <v>1</v>
      </c>
      <c r="F1573" s="330" t="s">
        <v>2907</v>
      </c>
      <c r="H1573" s="469">
        <v>4</v>
      </c>
      <c r="I1573" s="497"/>
      <c r="L1573" s="331"/>
      <c r="M1573" s="332"/>
      <c r="N1573" s="333"/>
      <c r="O1573" s="333"/>
      <c r="P1573" s="333"/>
      <c r="Q1573" s="333"/>
      <c r="R1573" s="333"/>
      <c r="S1573" s="333"/>
      <c r="T1573" s="334"/>
      <c r="AT1573" s="329" t="s">
        <v>155</v>
      </c>
      <c r="AU1573" s="329" t="s">
        <v>83</v>
      </c>
      <c r="AV1573" s="326" t="s">
        <v>81</v>
      </c>
      <c r="AW1573" s="326" t="s">
        <v>34</v>
      </c>
      <c r="AX1573" s="326" t="s">
        <v>76</v>
      </c>
      <c r="AY1573" s="329" t="s">
        <v>146</v>
      </c>
    </row>
    <row r="1574" spans="1:65" s="225" customFormat="1" ht="48.75" customHeight="1">
      <c r="A1574" s="222"/>
      <c r="B1574" s="223"/>
      <c r="C1574" s="358">
        <v>301</v>
      </c>
      <c r="D1574" s="358" t="s">
        <v>208</v>
      </c>
      <c r="E1574" s="359" t="s">
        <v>1096</v>
      </c>
      <c r="F1574" s="364" t="s">
        <v>3727</v>
      </c>
      <c r="G1574" s="361" t="s">
        <v>301</v>
      </c>
      <c r="H1574" s="362">
        <v>2</v>
      </c>
      <c r="I1574" s="80"/>
      <c r="J1574" s="363">
        <f>ROUND(I1574*H1574,2)</f>
        <v>0</v>
      </c>
      <c r="K1574" s="364"/>
      <c r="L1574" s="365"/>
      <c r="M1574" s="366" t="s">
        <v>1</v>
      </c>
      <c r="N1574" s="367" t="s">
        <v>42</v>
      </c>
      <c r="O1574" s="322">
        <v>0</v>
      </c>
      <c r="P1574" s="322">
        <f>O1574*H1574</f>
        <v>0</v>
      </c>
      <c r="Q1574" s="322">
        <v>0.025</v>
      </c>
      <c r="R1574" s="322">
        <f>Q1574*H1574</f>
        <v>0.05</v>
      </c>
      <c r="S1574" s="322">
        <v>0</v>
      </c>
      <c r="T1574" s="323">
        <f>S1574*H1574</f>
        <v>0</v>
      </c>
      <c r="U1574" s="222"/>
      <c r="V1574" s="222"/>
      <c r="W1574" s="222"/>
      <c r="X1574" s="222"/>
      <c r="Y1574" s="222"/>
      <c r="Z1574" s="222"/>
      <c r="AA1574" s="222"/>
      <c r="AB1574" s="222"/>
      <c r="AC1574" s="222"/>
      <c r="AD1574" s="222"/>
      <c r="AE1574" s="222"/>
      <c r="AR1574" s="324" t="s">
        <v>298</v>
      </c>
      <c r="AT1574" s="324" t="s">
        <v>208</v>
      </c>
      <c r="AU1574" s="324" t="s">
        <v>83</v>
      </c>
      <c r="AY1574" s="214" t="s">
        <v>146</v>
      </c>
      <c r="BE1574" s="325">
        <f>IF(N1574="základní",J1574,0)</f>
        <v>0</v>
      </c>
      <c r="BF1574" s="325">
        <f>IF(N1574="snížená",J1574,0)</f>
        <v>0</v>
      </c>
      <c r="BG1574" s="325">
        <f>IF(N1574="zákl. přenesená",J1574,0)</f>
        <v>0</v>
      </c>
      <c r="BH1574" s="325">
        <f>IF(N1574="sníž. přenesená",J1574,0)</f>
        <v>0</v>
      </c>
      <c r="BI1574" s="325">
        <f>IF(N1574="nulová",J1574,0)</f>
        <v>0</v>
      </c>
      <c r="BJ1574" s="214" t="s">
        <v>81</v>
      </c>
      <c r="BK1574" s="325">
        <f>ROUND(I1574*H1574,2)</f>
        <v>0</v>
      </c>
      <c r="BL1574" s="214" t="s">
        <v>212</v>
      </c>
      <c r="BM1574" s="324" t="s">
        <v>1097</v>
      </c>
    </row>
    <row r="1575" spans="2:51" s="326" customFormat="1" ht="12">
      <c r="B1575" s="327"/>
      <c r="D1575" s="328" t="s">
        <v>155</v>
      </c>
      <c r="E1575" s="329" t="s">
        <v>1</v>
      </c>
      <c r="F1575" s="330" t="s">
        <v>3742</v>
      </c>
      <c r="H1575" s="469">
        <v>2</v>
      </c>
      <c r="I1575" s="497"/>
      <c r="L1575" s="331"/>
      <c r="M1575" s="332"/>
      <c r="N1575" s="333"/>
      <c r="O1575" s="333"/>
      <c r="P1575" s="333"/>
      <c r="Q1575" s="333"/>
      <c r="R1575" s="333"/>
      <c r="S1575" s="333"/>
      <c r="T1575" s="334"/>
      <c r="AT1575" s="329" t="s">
        <v>155</v>
      </c>
      <c r="AU1575" s="329" t="s">
        <v>83</v>
      </c>
      <c r="AV1575" s="326" t="s">
        <v>81</v>
      </c>
      <c r="AW1575" s="326" t="s">
        <v>34</v>
      </c>
      <c r="AX1575" s="326" t="s">
        <v>76</v>
      </c>
      <c r="AY1575" s="329" t="s">
        <v>146</v>
      </c>
    </row>
    <row r="1576" spans="1:65" s="225" customFormat="1" ht="48.75" customHeight="1">
      <c r="A1576" s="222"/>
      <c r="B1576" s="223"/>
      <c r="C1576" s="358">
        <v>302</v>
      </c>
      <c r="D1576" s="358" t="s">
        <v>208</v>
      </c>
      <c r="E1576" s="359" t="s">
        <v>1096</v>
      </c>
      <c r="F1576" s="364" t="s">
        <v>3743</v>
      </c>
      <c r="G1576" s="361" t="s">
        <v>301</v>
      </c>
      <c r="H1576" s="362">
        <v>1</v>
      </c>
      <c r="I1576" s="80"/>
      <c r="J1576" s="363">
        <f>ROUND(I1576*H1576,2)</f>
        <v>0</v>
      </c>
      <c r="K1576" s="364"/>
      <c r="L1576" s="365"/>
      <c r="M1576" s="366" t="s">
        <v>1</v>
      </c>
      <c r="N1576" s="367" t="s">
        <v>42</v>
      </c>
      <c r="O1576" s="322">
        <v>0</v>
      </c>
      <c r="P1576" s="322">
        <f>O1576*H1576</f>
        <v>0</v>
      </c>
      <c r="Q1576" s="322">
        <v>0.025</v>
      </c>
      <c r="R1576" s="322">
        <f>Q1576*H1576</f>
        <v>0.025</v>
      </c>
      <c r="S1576" s="322">
        <v>0</v>
      </c>
      <c r="T1576" s="323">
        <f>S1576*H1576</f>
        <v>0</v>
      </c>
      <c r="U1576" s="222"/>
      <c r="V1576" s="222"/>
      <c r="W1576" s="222"/>
      <c r="X1576" s="222"/>
      <c r="Y1576" s="222"/>
      <c r="Z1576" s="222"/>
      <c r="AA1576" s="222"/>
      <c r="AB1576" s="222"/>
      <c r="AC1576" s="222"/>
      <c r="AD1576" s="222"/>
      <c r="AE1576" s="222"/>
      <c r="AR1576" s="324" t="s">
        <v>298</v>
      </c>
      <c r="AT1576" s="324" t="s">
        <v>208</v>
      </c>
      <c r="AU1576" s="324" t="s">
        <v>83</v>
      </c>
      <c r="AY1576" s="214" t="s">
        <v>146</v>
      </c>
      <c r="BE1576" s="325">
        <f>IF(N1576="základní",J1576,0)</f>
        <v>0</v>
      </c>
      <c r="BF1576" s="325">
        <f>IF(N1576="snížená",J1576,0)</f>
        <v>0</v>
      </c>
      <c r="BG1576" s="325">
        <f>IF(N1576="zákl. přenesená",J1576,0)</f>
        <v>0</v>
      </c>
      <c r="BH1576" s="325">
        <f>IF(N1576="sníž. přenesená",J1576,0)</f>
        <v>0</v>
      </c>
      <c r="BI1576" s="325">
        <f>IF(N1576="nulová",J1576,0)</f>
        <v>0</v>
      </c>
      <c r="BJ1576" s="214" t="s">
        <v>81</v>
      </c>
      <c r="BK1576" s="325">
        <f>ROUND(I1576*H1576,2)</f>
        <v>0</v>
      </c>
      <c r="BL1576" s="214" t="s">
        <v>212</v>
      </c>
      <c r="BM1576" s="324" t="s">
        <v>1097</v>
      </c>
    </row>
    <row r="1577" spans="2:51" s="326" customFormat="1" ht="12">
      <c r="B1577" s="327"/>
      <c r="D1577" s="328" t="s">
        <v>155</v>
      </c>
      <c r="E1577" s="329" t="s">
        <v>1</v>
      </c>
      <c r="F1577" s="330" t="s">
        <v>3744</v>
      </c>
      <c r="H1577" s="469">
        <v>1</v>
      </c>
      <c r="I1577" s="497"/>
      <c r="L1577" s="331"/>
      <c r="M1577" s="332"/>
      <c r="N1577" s="333"/>
      <c r="O1577" s="333"/>
      <c r="P1577" s="333"/>
      <c r="Q1577" s="333"/>
      <c r="R1577" s="333"/>
      <c r="S1577" s="333"/>
      <c r="T1577" s="334"/>
      <c r="AT1577" s="329" t="s">
        <v>155</v>
      </c>
      <c r="AU1577" s="329" t="s">
        <v>83</v>
      </c>
      <c r="AV1577" s="326" t="s">
        <v>81</v>
      </c>
      <c r="AW1577" s="326" t="s">
        <v>34</v>
      </c>
      <c r="AX1577" s="326" t="s">
        <v>76</v>
      </c>
      <c r="AY1577" s="329" t="s">
        <v>146</v>
      </c>
    </row>
    <row r="1578" spans="1:65" s="225" customFormat="1" ht="54" customHeight="1">
      <c r="A1578" s="222"/>
      <c r="B1578" s="223"/>
      <c r="C1578" s="358">
        <v>303</v>
      </c>
      <c r="D1578" s="358" t="s">
        <v>208</v>
      </c>
      <c r="E1578" s="359" t="s">
        <v>1096</v>
      </c>
      <c r="F1578" s="364" t="s">
        <v>3728</v>
      </c>
      <c r="G1578" s="361" t="s">
        <v>301</v>
      </c>
      <c r="H1578" s="362">
        <f>H1579</f>
        <v>1</v>
      </c>
      <c r="I1578" s="80"/>
      <c r="J1578" s="363">
        <f>ROUND(I1578*H1578,2)</f>
        <v>0</v>
      </c>
      <c r="K1578" s="364"/>
      <c r="L1578" s="365"/>
      <c r="M1578" s="366" t="s">
        <v>1</v>
      </c>
      <c r="N1578" s="367" t="s">
        <v>42</v>
      </c>
      <c r="O1578" s="322">
        <v>0</v>
      </c>
      <c r="P1578" s="322">
        <f>O1578*H1578</f>
        <v>0</v>
      </c>
      <c r="Q1578" s="322">
        <v>0.025</v>
      </c>
      <c r="R1578" s="322">
        <f>Q1578*H1578</f>
        <v>0.025</v>
      </c>
      <c r="S1578" s="322">
        <v>0</v>
      </c>
      <c r="T1578" s="323">
        <f>S1578*H1578</f>
        <v>0</v>
      </c>
      <c r="U1578" s="222"/>
      <c r="V1578" s="222"/>
      <c r="W1578" s="222"/>
      <c r="X1578" s="222"/>
      <c r="Y1578" s="222"/>
      <c r="Z1578" s="222"/>
      <c r="AA1578" s="222"/>
      <c r="AB1578" s="222"/>
      <c r="AC1578" s="222"/>
      <c r="AD1578" s="222"/>
      <c r="AE1578" s="222"/>
      <c r="AR1578" s="324" t="s">
        <v>298</v>
      </c>
      <c r="AT1578" s="324" t="s">
        <v>208</v>
      </c>
      <c r="AU1578" s="324" t="s">
        <v>83</v>
      </c>
      <c r="AY1578" s="214" t="s">
        <v>146</v>
      </c>
      <c r="BE1578" s="325">
        <f>IF(N1578="základní",J1578,0)</f>
        <v>0</v>
      </c>
      <c r="BF1578" s="325">
        <f>IF(N1578="snížená",J1578,0)</f>
        <v>0</v>
      </c>
      <c r="BG1578" s="325">
        <f>IF(N1578="zákl. přenesená",J1578,0)</f>
        <v>0</v>
      </c>
      <c r="BH1578" s="325">
        <f>IF(N1578="sníž. přenesená",J1578,0)</f>
        <v>0</v>
      </c>
      <c r="BI1578" s="325">
        <f>IF(N1578="nulová",J1578,0)</f>
        <v>0</v>
      </c>
      <c r="BJ1578" s="214" t="s">
        <v>81</v>
      </c>
      <c r="BK1578" s="325">
        <f>ROUND(I1578*H1578,2)</f>
        <v>0</v>
      </c>
      <c r="BL1578" s="214" t="s">
        <v>212</v>
      </c>
      <c r="BM1578" s="324" t="s">
        <v>1097</v>
      </c>
    </row>
    <row r="1579" spans="2:51" s="326" customFormat="1" ht="12">
      <c r="B1579" s="327"/>
      <c r="D1579" s="328" t="s">
        <v>155</v>
      </c>
      <c r="E1579" s="329" t="s">
        <v>1</v>
      </c>
      <c r="F1579" s="330" t="s">
        <v>2906</v>
      </c>
      <c r="H1579" s="469">
        <v>1</v>
      </c>
      <c r="I1579" s="497"/>
      <c r="L1579" s="331"/>
      <c r="M1579" s="332"/>
      <c r="N1579" s="333"/>
      <c r="O1579" s="333"/>
      <c r="P1579" s="333"/>
      <c r="Q1579" s="333"/>
      <c r="R1579" s="333"/>
      <c r="S1579" s="333"/>
      <c r="T1579" s="334"/>
      <c r="AT1579" s="329" t="s">
        <v>155</v>
      </c>
      <c r="AU1579" s="329" t="s">
        <v>83</v>
      </c>
      <c r="AV1579" s="326" t="s">
        <v>81</v>
      </c>
      <c r="AW1579" s="326" t="s">
        <v>34</v>
      </c>
      <c r="AX1579" s="326" t="s">
        <v>76</v>
      </c>
      <c r="AY1579" s="329" t="s">
        <v>146</v>
      </c>
    </row>
    <row r="1580" spans="1:65" s="225" customFormat="1" ht="24.2" customHeight="1">
      <c r="A1580" s="222"/>
      <c r="B1580" s="223"/>
      <c r="C1580" s="314">
        <v>304</v>
      </c>
      <c r="D1580" s="314" t="s">
        <v>148</v>
      </c>
      <c r="E1580" s="315" t="s">
        <v>1100</v>
      </c>
      <c r="F1580" s="316" t="s">
        <v>1101</v>
      </c>
      <c r="G1580" s="317" t="s">
        <v>301</v>
      </c>
      <c r="H1580" s="318">
        <f>H1581</f>
        <v>2</v>
      </c>
      <c r="I1580" s="79"/>
      <c r="J1580" s="319">
        <f>ROUND(I1580*H1580,2)</f>
        <v>0</v>
      </c>
      <c r="K1580" s="316"/>
      <c r="L1580" s="229"/>
      <c r="M1580" s="320" t="s">
        <v>1</v>
      </c>
      <c r="N1580" s="321" t="s">
        <v>42</v>
      </c>
      <c r="O1580" s="322">
        <v>1.915</v>
      </c>
      <c r="P1580" s="322">
        <f>O1580*H1580</f>
        <v>3.83</v>
      </c>
      <c r="Q1580" s="322">
        <v>0</v>
      </c>
      <c r="R1580" s="322">
        <f>Q1580*H1580</f>
        <v>0</v>
      </c>
      <c r="S1580" s="322">
        <v>0</v>
      </c>
      <c r="T1580" s="323">
        <f>S1580*H1580</f>
        <v>0</v>
      </c>
      <c r="U1580" s="222"/>
      <c r="V1580" s="222"/>
      <c r="W1580" s="222"/>
      <c r="X1580" s="222"/>
      <c r="Y1580" s="222"/>
      <c r="Z1580" s="222"/>
      <c r="AA1580" s="222"/>
      <c r="AB1580" s="222"/>
      <c r="AC1580" s="222"/>
      <c r="AD1580" s="222"/>
      <c r="AE1580" s="222"/>
      <c r="AR1580" s="324" t="s">
        <v>212</v>
      </c>
      <c r="AT1580" s="324" t="s">
        <v>148</v>
      </c>
      <c r="AU1580" s="324" t="s">
        <v>83</v>
      </c>
      <c r="AY1580" s="214" t="s">
        <v>146</v>
      </c>
      <c r="BE1580" s="325">
        <f>IF(N1580="základní",J1580,0)</f>
        <v>0</v>
      </c>
      <c r="BF1580" s="325">
        <f>IF(N1580="snížená",J1580,0)</f>
        <v>0</v>
      </c>
      <c r="BG1580" s="325">
        <f>IF(N1580="zákl. přenesená",J1580,0)</f>
        <v>0</v>
      </c>
      <c r="BH1580" s="325">
        <f>IF(N1580="sníž. přenesená",J1580,0)</f>
        <v>0</v>
      </c>
      <c r="BI1580" s="325">
        <f>IF(N1580="nulová",J1580,0)</f>
        <v>0</v>
      </c>
      <c r="BJ1580" s="214" t="s">
        <v>81</v>
      </c>
      <c r="BK1580" s="325">
        <f>ROUND(I1580*H1580,2)</f>
        <v>0</v>
      </c>
      <c r="BL1580" s="214" t="s">
        <v>212</v>
      </c>
      <c r="BM1580" s="324" t="s">
        <v>1102</v>
      </c>
    </row>
    <row r="1581" spans="2:51" s="326" customFormat="1" ht="12">
      <c r="B1581" s="327"/>
      <c r="D1581" s="328" t="s">
        <v>155</v>
      </c>
      <c r="E1581" s="329" t="s">
        <v>1</v>
      </c>
      <c r="F1581" s="330" t="s">
        <v>1103</v>
      </c>
      <c r="H1581" s="469">
        <v>2</v>
      </c>
      <c r="I1581" s="497"/>
      <c r="L1581" s="331"/>
      <c r="M1581" s="332"/>
      <c r="N1581" s="333"/>
      <c r="O1581" s="333"/>
      <c r="P1581" s="333"/>
      <c r="Q1581" s="333"/>
      <c r="R1581" s="333"/>
      <c r="S1581" s="333"/>
      <c r="T1581" s="334"/>
      <c r="AT1581" s="329" t="s">
        <v>155</v>
      </c>
      <c r="AU1581" s="329" t="s">
        <v>83</v>
      </c>
      <c r="AV1581" s="326" t="s">
        <v>81</v>
      </c>
      <c r="AW1581" s="326" t="s">
        <v>34</v>
      </c>
      <c r="AX1581" s="326" t="s">
        <v>76</v>
      </c>
      <c r="AY1581" s="329" t="s">
        <v>146</v>
      </c>
    </row>
    <row r="1582" spans="1:65" s="225" customFormat="1" ht="69" customHeight="1">
      <c r="A1582" s="222"/>
      <c r="B1582" s="223"/>
      <c r="C1582" s="358">
        <v>305</v>
      </c>
      <c r="D1582" s="358" t="s">
        <v>208</v>
      </c>
      <c r="E1582" s="359" t="s">
        <v>1104</v>
      </c>
      <c r="F1582" s="364" t="s">
        <v>3729</v>
      </c>
      <c r="G1582" s="361" t="s">
        <v>301</v>
      </c>
      <c r="H1582" s="362">
        <f>H1583</f>
        <v>2</v>
      </c>
      <c r="I1582" s="80"/>
      <c r="J1582" s="363">
        <f>ROUND(I1582*H1582,2)</f>
        <v>0</v>
      </c>
      <c r="K1582" s="364"/>
      <c r="L1582" s="365"/>
      <c r="M1582" s="366" t="s">
        <v>1</v>
      </c>
      <c r="N1582" s="367" t="s">
        <v>42</v>
      </c>
      <c r="O1582" s="322">
        <v>0</v>
      </c>
      <c r="P1582" s="322">
        <f>O1582*H1582</f>
        <v>0</v>
      </c>
      <c r="Q1582" s="322">
        <v>0.05</v>
      </c>
      <c r="R1582" s="322">
        <f>Q1582*H1582</f>
        <v>0.1</v>
      </c>
      <c r="S1582" s="322">
        <v>0</v>
      </c>
      <c r="T1582" s="323">
        <f>S1582*H1582</f>
        <v>0</v>
      </c>
      <c r="U1582" s="222"/>
      <c r="V1582" s="222"/>
      <c r="W1582" s="222"/>
      <c r="X1582" s="222"/>
      <c r="Y1582" s="222"/>
      <c r="Z1582" s="222"/>
      <c r="AA1582" s="222"/>
      <c r="AB1582" s="222"/>
      <c r="AC1582" s="222"/>
      <c r="AD1582" s="222"/>
      <c r="AE1582" s="222"/>
      <c r="AR1582" s="324" t="s">
        <v>298</v>
      </c>
      <c r="AT1582" s="324" t="s">
        <v>208</v>
      </c>
      <c r="AU1582" s="324" t="s">
        <v>83</v>
      </c>
      <c r="AY1582" s="214" t="s">
        <v>146</v>
      </c>
      <c r="BE1582" s="325">
        <f>IF(N1582="základní",J1582,0)</f>
        <v>0</v>
      </c>
      <c r="BF1582" s="325">
        <f>IF(N1582="snížená",J1582,0)</f>
        <v>0</v>
      </c>
      <c r="BG1582" s="325">
        <f>IF(N1582="zákl. přenesená",J1582,0)</f>
        <v>0</v>
      </c>
      <c r="BH1582" s="325">
        <f>IF(N1582="sníž. přenesená",J1582,0)</f>
        <v>0</v>
      </c>
      <c r="BI1582" s="325">
        <f>IF(N1582="nulová",J1582,0)</f>
        <v>0</v>
      </c>
      <c r="BJ1582" s="214" t="s">
        <v>81</v>
      </c>
      <c r="BK1582" s="325">
        <f>ROUND(I1582*H1582,2)</f>
        <v>0</v>
      </c>
      <c r="BL1582" s="214" t="s">
        <v>212</v>
      </c>
      <c r="BM1582" s="324" t="s">
        <v>1105</v>
      </c>
    </row>
    <row r="1583" spans="2:51" s="326" customFormat="1" ht="12">
      <c r="B1583" s="327"/>
      <c r="D1583" s="328" t="s">
        <v>155</v>
      </c>
      <c r="E1583" s="329" t="s">
        <v>1</v>
      </c>
      <c r="F1583" s="330" t="s">
        <v>1103</v>
      </c>
      <c r="H1583" s="469">
        <v>2</v>
      </c>
      <c r="I1583" s="497"/>
      <c r="L1583" s="331"/>
      <c r="M1583" s="332"/>
      <c r="N1583" s="333"/>
      <c r="O1583" s="333"/>
      <c r="P1583" s="333"/>
      <c r="Q1583" s="333"/>
      <c r="R1583" s="333"/>
      <c r="S1583" s="333"/>
      <c r="T1583" s="334"/>
      <c r="AT1583" s="329" t="s">
        <v>155</v>
      </c>
      <c r="AU1583" s="329" t="s">
        <v>83</v>
      </c>
      <c r="AV1583" s="326" t="s">
        <v>81</v>
      </c>
      <c r="AW1583" s="326" t="s">
        <v>34</v>
      </c>
      <c r="AX1583" s="326" t="s">
        <v>76</v>
      </c>
      <c r="AY1583" s="329" t="s">
        <v>146</v>
      </c>
    </row>
    <row r="1584" spans="1:65" s="225" customFormat="1" ht="24.2" customHeight="1">
      <c r="A1584" s="222"/>
      <c r="B1584" s="223"/>
      <c r="C1584" s="314">
        <v>306</v>
      </c>
      <c r="D1584" s="314" t="s">
        <v>148</v>
      </c>
      <c r="E1584" s="315" t="s">
        <v>1106</v>
      </c>
      <c r="F1584" s="316" t="s">
        <v>1107</v>
      </c>
      <c r="G1584" s="317" t="s">
        <v>301</v>
      </c>
      <c r="H1584" s="318">
        <f>H1585</f>
        <v>2</v>
      </c>
      <c r="I1584" s="79"/>
      <c r="J1584" s="319">
        <f>ROUND(I1584*H1584,2)</f>
        <v>0</v>
      </c>
      <c r="K1584" s="316"/>
      <c r="L1584" s="229"/>
      <c r="M1584" s="320" t="s">
        <v>1</v>
      </c>
      <c r="N1584" s="321" t="s">
        <v>42</v>
      </c>
      <c r="O1584" s="322">
        <v>3.527</v>
      </c>
      <c r="P1584" s="322">
        <f>O1584*H1584</f>
        <v>7.054</v>
      </c>
      <c r="Q1584" s="322">
        <v>0</v>
      </c>
      <c r="R1584" s="322">
        <f>Q1584*H1584</f>
        <v>0</v>
      </c>
      <c r="S1584" s="322">
        <v>0</v>
      </c>
      <c r="T1584" s="323">
        <f>S1584*H1584</f>
        <v>0</v>
      </c>
      <c r="U1584" s="222"/>
      <c r="V1584" s="222"/>
      <c r="W1584" s="222"/>
      <c r="X1584" s="222"/>
      <c r="Y1584" s="222"/>
      <c r="Z1584" s="222"/>
      <c r="AA1584" s="222"/>
      <c r="AB1584" s="222"/>
      <c r="AC1584" s="222"/>
      <c r="AD1584" s="222"/>
      <c r="AE1584" s="222"/>
      <c r="AR1584" s="324" t="s">
        <v>212</v>
      </c>
      <c r="AT1584" s="324" t="s">
        <v>148</v>
      </c>
      <c r="AU1584" s="324" t="s">
        <v>83</v>
      </c>
      <c r="AY1584" s="214" t="s">
        <v>146</v>
      </c>
      <c r="BE1584" s="325">
        <f>IF(N1584="základní",J1584,0)</f>
        <v>0</v>
      </c>
      <c r="BF1584" s="325">
        <f>IF(N1584="snížená",J1584,0)</f>
        <v>0</v>
      </c>
      <c r="BG1584" s="325">
        <f>IF(N1584="zákl. přenesená",J1584,0)</f>
        <v>0</v>
      </c>
      <c r="BH1584" s="325">
        <f>IF(N1584="sníž. přenesená",J1584,0)</f>
        <v>0</v>
      </c>
      <c r="BI1584" s="325">
        <f>IF(N1584="nulová",J1584,0)</f>
        <v>0</v>
      </c>
      <c r="BJ1584" s="214" t="s">
        <v>81</v>
      </c>
      <c r="BK1584" s="325">
        <f>ROUND(I1584*H1584,2)</f>
        <v>0</v>
      </c>
      <c r="BL1584" s="214" t="s">
        <v>212</v>
      </c>
      <c r="BM1584" s="324" t="s">
        <v>1108</v>
      </c>
    </row>
    <row r="1585" spans="2:51" s="326" customFormat="1" ht="12">
      <c r="B1585" s="327"/>
      <c r="D1585" s="328" t="s">
        <v>155</v>
      </c>
      <c r="E1585" s="329" t="s">
        <v>1</v>
      </c>
      <c r="F1585" s="330" t="s">
        <v>2905</v>
      </c>
      <c r="H1585" s="339">
        <v>2</v>
      </c>
      <c r="I1585" s="497"/>
      <c r="L1585" s="331"/>
      <c r="M1585" s="332"/>
      <c r="N1585" s="333"/>
      <c r="O1585" s="333"/>
      <c r="P1585" s="333"/>
      <c r="Q1585" s="333"/>
      <c r="R1585" s="333"/>
      <c r="S1585" s="333"/>
      <c r="T1585" s="334"/>
      <c r="AT1585" s="329" t="s">
        <v>155</v>
      </c>
      <c r="AU1585" s="329" t="s">
        <v>83</v>
      </c>
      <c r="AV1585" s="326" t="s">
        <v>81</v>
      </c>
      <c r="AW1585" s="326" t="s">
        <v>34</v>
      </c>
      <c r="AX1585" s="326" t="s">
        <v>76</v>
      </c>
      <c r="AY1585" s="329" t="s">
        <v>146</v>
      </c>
    </row>
    <row r="1586" spans="1:65" s="225" customFormat="1" ht="65.25" customHeight="1">
      <c r="A1586" s="222"/>
      <c r="B1586" s="223"/>
      <c r="C1586" s="358">
        <v>307</v>
      </c>
      <c r="D1586" s="358" t="s">
        <v>208</v>
      </c>
      <c r="E1586" s="359" t="s">
        <v>1109</v>
      </c>
      <c r="F1586" s="364" t="s">
        <v>3730</v>
      </c>
      <c r="G1586" s="361" t="s">
        <v>301</v>
      </c>
      <c r="H1586" s="362">
        <f>H1587</f>
        <v>2</v>
      </c>
      <c r="I1586" s="80"/>
      <c r="J1586" s="363">
        <f>ROUND(I1586*H1586,2)</f>
        <v>0</v>
      </c>
      <c r="K1586" s="364"/>
      <c r="L1586" s="365"/>
      <c r="M1586" s="366" t="s">
        <v>1</v>
      </c>
      <c r="N1586" s="367" t="s">
        <v>42</v>
      </c>
      <c r="O1586" s="322">
        <v>0</v>
      </c>
      <c r="P1586" s="322">
        <f>O1586*H1586</f>
        <v>0</v>
      </c>
      <c r="Q1586" s="322">
        <v>0.05</v>
      </c>
      <c r="R1586" s="322">
        <f>Q1586*H1586</f>
        <v>0.1</v>
      </c>
      <c r="S1586" s="322">
        <v>0</v>
      </c>
      <c r="T1586" s="323">
        <f>S1586*H1586</f>
        <v>0</v>
      </c>
      <c r="U1586" s="222"/>
      <c r="V1586" s="222"/>
      <c r="W1586" s="222"/>
      <c r="X1586" s="222"/>
      <c r="Y1586" s="222"/>
      <c r="Z1586" s="222"/>
      <c r="AA1586" s="222"/>
      <c r="AB1586" s="222"/>
      <c r="AC1586" s="222"/>
      <c r="AD1586" s="222"/>
      <c r="AE1586" s="222"/>
      <c r="AR1586" s="324" t="s">
        <v>298</v>
      </c>
      <c r="AT1586" s="324" t="s">
        <v>208</v>
      </c>
      <c r="AU1586" s="324" t="s">
        <v>83</v>
      </c>
      <c r="AY1586" s="214" t="s">
        <v>146</v>
      </c>
      <c r="BE1586" s="325">
        <f>IF(N1586="základní",J1586,0)</f>
        <v>0</v>
      </c>
      <c r="BF1586" s="325">
        <f>IF(N1586="snížená",J1586,0)</f>
        <v>0</v>
      </c>
      <c r="BG1586" s="325">
        <f>IF(N1586="zákl. přenesená",J1586,0)</f>
        <v>0</v>
      </c>
      <c r="BH1586" s="325">
        <f>IF(N1586="sníž. přenesená",J1586,0)</f>
        <v>0</v>
      </c>
      <c r="BI1586" s="325">
        <f>IF(N1586="nulová",J1586,0)</f>
        <v>0</v>
      </c>
      <c r="BJ1586" s="214" t="s">
        <v>81</v>
      </c>
      <c r="BK1586" s="325">
        <f>ROUND(I1586*H1586,2)</f>
        <v>0</v>
      </c>
      <c r="BL1586" s="214" t="s">
        <v>212</v>
      </c>
      <c r="BM1586" s="324" t="s">
        <v>1110</v>
      </c>
    </row>
    <row r="1587" spans="2:51" s="326" customFormat="1" ht="12">
      <c r="B1587" s="327"/>
      <c r="D1587" s="328" t="s">
        <v>155</v>
      </c>
      <c r="E1587" s="329" t="s">
        <v>1</v>
      </c>
      <c r="F1587" s="330" t="s">
        <v>2905</v>
      </c>
      <c r="H1587" s="339">
        <v>2</v>
      </c>
      <c r="I1587" s="497"/>
      <c r="L1587" s="331"/>
      <c r="M1587" s="332"/>
      <c r="N1587" s="333"/>
      <c r="O1587" s="333"/>
      <c r="P1587" s="333"/>
      <c r="Q1587" s="333"/>
      <c r="R1587" s="333"/>
      <c r="S1587" s="333"/>
      <c r="T1587" s="334"/>
      <c r="AT1587" s="329" t="s">
        <v>155</v>
      </c>
      <c r="AU1587" s="329" t="s">
        <v>83</v>
      </c>
      <c r="AV1587" s="326" t="s">
        <v>81</v>
      </c>
      <c r="AW1587" s="326" t="s">
        <v>34</v>
      </c>
      <c r="AX1587" s="326" t="s">
        <v>76</v>
      </c>
      <c r="AY1587" s="329" t="s">
        <v>146</v>
      </c>
    </row>
    <row r="1588" spans="1:65" s="225" customFormat="1" ht="24.2" customHeight="1">
      <c r="A1588" s="222"/>
      <c r="B1588" s="223"/>
      <c r="C1588" s="314">
        <v>308</v>
      </c>
      <c r="D1588" s="314" t="s">
        <v>148</v>
      </c>
      <c r="E1588" s="315" t="s">
        <v>1111</v>
      </c>
      <c r="F1588" s="316" t="s">
        <v>1112</v>
      </c>
      <c r="G1588" s="317" t="s">
        <v>301</v>
      </c>
      <c r="H1588" s="318">
        <v>19</v>
      </c>
      <c r="I1588" s="79"/>
      <c r="J1588" s="319">
        <f>ROUND(I1588*H1588,2)</f>
        <v>0</v>
      </c>
      <c r="K1588" s="316"/>
      <c r="L1588" s="229"/>
      <c r="M1588" s="320" t="s">
        <v>1</v>
      </c>
      <c r="N1588" s="321" t="s">
        <v>42</v>
      </c>
      <c r="O1588" s="322">
        <v>0.243</v>
      </c>
      <c r="P1588" s="322">
        <f>O1588*H1588</f>
        <v>4.617</v>
      </c>
      <c r="Q1588" s="322">
        <v>0</v>
      </c>
      <c r="R1588" s="322">
        <f>Q1588*H1588</f>
        <v>0</v>
      </c>
      <c r="S1588" s="322">
        <v>0</v>
      </c>
      <c r="T1588" s="323">
        <f>S1588*H1588</f>
        <v>0</v>
      </c>
      <c r="U1588" s="222"/>
      <c r="V1588" s="222"/>
      <c r="W1588" s="222"/>
      <c r="X1588" s="222"/>
      <c r="Y1588" s="222"/>
      <c r="Z1588" s="222"/>
      <c r="AA1588" s="222"/>
      <c r="AB1588" s="222"/>
      <c r="AC1588" s="222"/>
      <c r="AD1588" s="222"/>
      <c r="AE1588" s="222"/>
      <c r="AR1588" s="324" t="s">
        <v>212</v>
      </c>
      <c r="AT1588" s="324" t="s">
        <v>148</v>
      </c>
      <c r="AU1588" s="324" t="s">
        <v>83</v>
      </c>
      <c r="AY1588" s="214" t="s">
        <v>146</v>
      </c>
      <c r="BE1588" s="325">
        <f>IF(N1588="základní",J1588,0)</f>
        <v>0</v>
      </c>
      <c r="BF1588" s="325">
        <f>IF(N1588="snížená",J1588,0)</f>
        <v>0</v>
      </c>
      <c r="BG1588" s="325">
        <f>IF(N1588="zákl. přenesená",J1588,0)</f>
        <v>0</v>
      </c>
      <c r="BH1588" s="325">
        <f>IF(N1588="sníž. přenesená",J1588,0)</f>
        <v>0</v>
      </c>
      <c r="BI1588" s="325">
        <f>IF(N1588="nulová",J1588,0)</f>
        <v>0</v>
      </c>
      <c r="BJ1588" s="214" t="s">
        <v>81</v>
      </c>
      <c r="BK1588" s="325">
        <f>ROUND(I1588*H1588,2)</f>
        <v>0</v>
      </c>
      <c r="BL1588" s="214" t="s">
        <v>212</v>
      </c>
      <c r="BM1588" s="324" t="s">
        <v>1113</v>
      </c>
    </row>
    <row r="1589" spans="2:51" s="326" customFormat="1" ht="12">
      <c r="B1589" s="327"/>
      <c r="D1589" s="328" t="s">
        <v>155</v>
      </c>
      <c r="E1589" s="329" t="s">
        <v>1</v>
      </c>
      <c r="F1589" s="330" t="s">
        <v>1114</v>
      </c>
      <c r="H1589" s="329" t="s">
        <v>1</v>
      </c>
      <c r="I1589" s="497"/>
      <c r="L1589" s="331"/>
      <c r="M1589" s="332"/>
      <c r="N1589" s="333"/>
      <c r="O1589" s="333"/>
      <c r="P1589" s="333"/>
      <c r="Q1589" s="333"/>
      <c r="R1589" s="333"/>
      <c r="S1589" s="333"/>
      <c r="T1589" s="334"/>
      <c r="AT1589" s="329" t="s">
        <v>155</v>
      </c>
      <c r="AU1589" s="329" t="s">
        <v>83</v>
      </c>
      <c r="AV1589" s="326" t="s">
        <v>81</v>
      </c>
      <c r="AW1589" s="326" t="s">
        <v>34</v>
      </c>
      <c r="AX1589" s="326" t="s">
        <v>76</v>
      </c>
      <c r="AY1589" s="329" t="s">
        <v>146</v>
      </c>
    </row>
    <row r="1590" spans="2:51" s="335" customFormat="1" ht="12">
      <c r="B1590" s="336"/>
      <c r="D1590" s="328" t="s">
        <v>155</v>
      </c>
      <c r="E1590" s="337" t="s">
        <v>1</v>
      </c>
      <c r="F1590" s="338" t="s">
        <v>1115</v>
      </c>
      <c r="H1590" s="339">
        <v>19</v>
      </c>
      <c r="I1590" s="498"/>
      <c r="L1590" s="340"/>
      <c r="M1590" s="341"/>
      <c r="N1590" s="342"/>
      <c r="O1590" s="342"/>
      <c r="P1590" s="342"/>
      <c r="Q1590" s="342"/>
      <c r="R1590" s="342"/>
      <c r="S1590" s="342"/>
      <c r="T1590" s="343"/>
      <c r="AT1590" s="337" t="s">
        <v>155</v>
      </c>
      <c r="AU1590" s="337" t="s">
        <v>83</v>
      </c>
      <c r="AV1590" s="335" t="s">
        <v>83</v>
      </c>
      <c r="AW1590" s="335" t="s">
        <v>34</v>
      </c>
      <c r="AX1590" s="335" t="s">
        <v>76</v>
      </c>
      <c r="AY1590" s="337" t="s">
        <v>146</v>
      </c>
    </row>
    <row r="1591" spans="2:51" s="347" customFormat="1" ht="12">
      <c r="B1591" s="348"/>
      <c r="D1591" s="328" t="s">
        <v>155</v>
      </c>
      <c r="E1591" s="349" t="s">
        <v>1</v>
      </c>
      <c r="F1591" s="356" t="s">
        <v>157</v>
      </c>
      <c r="H1591" s="351">
        <v>19</v>
      </c>
      <c r="I1591" s="499"/>
      <c r="L1591" s="352"/>
      <c r="M1591" s="353"/>
      <c r="N1591" s="354"/>
      <c r="O1591" s="354"/>
      <c r="P1591" s="354"/>
      <c r="Q1591" s="354"/>
      <c r="R1591" s="354"/>
      <c r="S1591" s="354"/>
      <c r="T1591" s="355"/>
      <c r="AT1591" s="349" t="s">
        <v>155</v>
      </c>
      <c r="AU1591" s="349" t="s">
        <v>83</v>
      </c>
      <c r="AV1591" s="347" t="s">
        <v>153</v>
      </c>
      <c r="AW1591" s="347" t="s">
        <v>34</v>
      </c>
      <c r="AX1591" s="347" t="s">
        <v>81</v>
      </c>
      <c r="AY1591" s="349" t="s">
        <v>146</v>
      </c>
    </row>
    <row r="1592" spans="1:65" s="225" customFormat="1" ht="24.2" customHeight="1">
      <c r="A1592" s="222"/>
      <c r="B1592" s="223"/>
      <c r="C1592" s="358">
        <v>309</v>
      </c>
      <c r="D1592" s="358" t="s">
        <v>208</v>
      </c>
      <c r="E1592" s="359" t="s">
        <v>1116</v>
      </c>
      <c r="F1592" s="364" t="s">
        <v>3731</v>
      </c>
      <c r="G1592" s="361" t="s">
        <v>301</v>
      </c>
      <c r="H1592" s="362">
        <v>14</v>
      </c>
      <c r="I1592" s="80"/>
      <c r="J1592" s="363">
        <f>ROUND(I1592*H1592,2)</f>
        <v>0</v>
      </c>
      <c r="K1592" s="364"/>
      <c r="L1592" s="365"/>
      <c r="M1592" s="366" t="s">
        <v>1</v>
      </c>
      <c r="N1592" s="367" t="s">
        <v>42</v>
      </c>
      <c r="O1592" s="322">
        <v>0</v>
      </c>
      <c r="P1592" s="322">
        <f>O1592*H1592</f>
        <v>0</v>
      </c>
      <c r="Q1592" s="322">
        <v>0.00123</v>
      </c>
      <c r="R1592" s="322">
        <f>Q1592*H1592</f>
        <v>0.01722</v>
      </c>
      <c r="S1592" s="322">
        <v>0</v>
      </c>
      <c r="T1592" s="323">
        <f>S1592*H1592</f>
        <v>0</v>
      </c>
      <c r="U1592" s="222"/>
      <c r="V1592" s="222"/>
      <c r="W1592" s="222"/>
      <c r="X1592" s="222"/>
      <c r="Y1592" s="222"/>
      <c r="Z1592" s="222"/>
      <c r="AA1592" s="222"/>
      <c r="AB1592" s="222"/>
      <c r="AC1592" s="222"/>
      <c r="AD1592" s="222"/>
      <c r="AE1592" s="222"/>
      <c r="AR1592" s="324" t="s">
        <v>298</v>
      </c>
      <c r="AT1592" s="324" t="s">
        <v>208</v>
      </c>
      <c r="AU1592" s="324" t="s">
        <v>83</v>
      </c>
      <c r="AY1592" s="214" t="s">
        <v>146</v>
      </c>
      <c r="BE1592" s="325">
        <f>IF(N1592="základní",J1592,0)</f>
        <v>0</v>
      </c>
      <c r="BF1592" s="325">
        <f>IF(N1592="snížená",J1592,0)</f>
        <v>0</v>
      </c>
      <c r="BG1592" s="325">
        <f>IF(N1592="zákl. přenesená",J1592,0)</f>
        <v>0</v>
      </c>
      <c r="BH1592" s="325">
        <f>IF(N1592="sníž. přenesená",J1592,0)</f>
        <v>0</v>
      </c>
      <c r="BI1592" s="325">
        <f>IF(N1592="nulová",J1592,0)</f>
        <v>0</v>
      </c>
      <c r="BJ1592" s="214" t="s">
        <v>81</v>
      </c>
      <c r="BK1592" s="325">
        <f>ROUND(I1592*H1592,2)</f>
        <v>0</v>
      </c>
      <c r="BL1592" s="214" t="s">
        <v>212</v>
      </c>
      <c r="BM1592" s="324" t="s">
        <v>1117</v>
      </c>
    </row>
    <row r="1593" spans="2:51" s="326" customFormat="1" ht="12">
      <c r="B1593" s="327"/>
      <c r="D1593" s="328" t="s">
        <v>155</v>
      </c>
      <c r="E1593" s="329" t="s">
        <v>1</v>
      </c>
      <c r="F1593" s="330" t="s">
        <v>1118</v>
      </c>
      <c r="H1593" s="329" t="s">
        <v>1</v>
      </c>
      <c r="I1593" s="497"/>
      <c r="L1593" s="331"/>
      <c r="M1593" s="332"/>
      <c r="N1593" s="333"/>
      <c r="O1593" s="333"/>
      <c r="P1593" s="333"/>
      <c r="Q1593" s="333"/>
      <c r="R1593" s="333"/>
      <c r="S1593" s="333"/>
      <c r="T1593" s="334"/>
      <c r="AT1593" s="329" t="s">
        <v>155</v>
      </c>
      <c r="AU1593" s="329" t="s">
        <v>83</v>
      </c>
      <c r="AV1593" s="326" t="s">
        <v>81</v>
      </c>
      <c r="AW1593" s="326" t="s">
        <v>34</v>
      </c>
      <c r="AX1593" s="326" t="s">
        <v>76</v>
      </c>
      <c r="AY1593" s="329" t="s">
        <v>146</v>
      </c>
    </row>
    <row r="1594" spans="2:51" s="335" customFormat="1" ht="12">
      <c r="B1594" s="336"/>
      <c r="D1594" s="328" t="s">
        <v>155</v>
      </c>
      <c r="E1594" s="337" t="s">
        <v>1</v>
      </c>
      <c r="F1594" s="338" t="s">
        <v>209</v>
      </c>
      <c r="H1594" s="339">
        <v>14</v>
      </c>
      <c r="I1594" s="498"/>
      <c r="L1594" s="340"/>
      <c r="M1594" s="341"/>
      <c r="N1594" s="342"/>
      <c r="O1594" s="342"/>
      <c r="P1594" s="342"/>
      <c r="Q1594" s="342"/>
      <c r="R1594" s="342"/>
      <c r="S1594" s="342"/>
      <c r="T1594" s="343"/>
      <c r="AT1594" s="337" t="s">
        <v>155</v>
      </c>
      <c r="AU1594" s="337" t="s">
        <v>83</v>
      </c>
      <c r="AV1594" s="335" t="s">
        <v>83</v>
      </c>
      <c r="AW1594" s="335" t="s">
        <v>34</v>
      </c>
      <c r="AX1594" s="335" t="s">
        <v>81</v>
      </c>
      <c r="AY1594" s="337" t="s">
        <v>146</v>
      </c>
    </row>
    <row r="1595" spans="1:65" s="225" customFormat="1" ht="24.2" customHeight="1">
      <c r="A1595" s="222"/>
      <c r="B1595" s="223"/>
      <c r="C1595" s="358">
        <v>310</v>
      </c>
      <c r="D1595" s="358" t="s">
        <v>208</v>
      </c>
      <c r="E1595" s="359" t="s">
        <v>1119</v>
      </c>
      <c r="F1595" s="364" t="s">
        <v>3732</v>
      </c>
      <c r="G1595" s="361" t="s">
        <v>301</v>
      </c>
      <c r="H1595" s="362">
        <v>5</v>
      </c>
      <c r="I1595" s="80"/>
      <c r="J1595" s="363">
        <f>ROUND(I1595*H1595,2)</f>
        <v>0</v>
      </c>
      <c r="K1595" s="364"/>
      <c r="L1595" s="365"/>
      <c r="M1595" s="366" t="s">
        <v>1</v>
      </c>
      <c r="N1595" s="367" t="s">
        <v>42</v>
      </c>
      <c r="O1595" s="322">
        <v>0</v>
      </c>
      <c r="P1595" s="322">
        <f>O1595*H1595</f>
        <v>0</v>
      </c>
      <c r="Q1595" s="322">
        <v>0.00108</v>
      </c>
      <c r="R1595" s="322">
        <f>Q1595*H1595</f>
        <v>0.0054</v>
      </c>
      <c r="S1595" s="322">
        <v>0</v>
      </c>
      <c r="T1595" s="323">
        <f>S1595*H1595</f>
        <v>0</v>
      </c>
      <c r="U1595" s="222"/>
      <c r="V1595" s="222"/>
      <c r="W1595" s="222"/>
      <c r="X1595" s="222"/>
      <c r="Y1595" s="222"/>
      <c r="Z1595" s="222"/>
      <c r="AA1595" s="222"/>
      <c r="AB1595" s="222"/>
      <c r="AC1595" s="222"/>
      <c r="AD1595" s="222"/>
      <c r="AE1595" s="222"/>
      <c r="AR1595" s="324" t="s">
        <v>298</v>
      </c>
      <c r="AT1595" s="324" t="s">
        <v>208</v>
      </c>
      <c r="AU1595" s="324" t="s">
        <v>83</v>
      </c>
      <c r="AY1595" s="214" t="s">
        <v>146</v>
      </c>
      <c r="BE1595" s="325">
        <f>IF(N1595="základní",J1595,0)</f>
        <v>0</v>
      </c>
      <c r="BF1595" s="325">
        <f>IF(N1595="snížená",J1595,0)</f>
        <v>0</v>
      </c>
      <c r="BG1595" s="325">
        <f>IF(N1595="zákl. přenesená",J1595,0)</f>
        <v>0</v>
      </c>
      <c r="BH1595" s="325">
        <f>IF(N1595="sníž. přenesená",J1595,0)</f>
        <v>0</v>
      </c>
      <c r="BI1595" s="325">
        <f>IF(N1595="nulová",J1595,0)</f>
        <v>0</v>
      </c>
      <c r="BJ1595" s="214" t="s">
        <v>81</v>
      </c>
      <c r="BK1595" s="325">
        <f>ROUND(I1595*H1595,2)</f>
        <v>0</v>
      </c>
      <c r="BL1595" s="214" t="s">
        <v>212</v>
      </c>
      <c r="BM1595" s="324" t="s">
        <v>1120</v>
      </c>
    </row>
    <row r="1596" spans="2:51" s="326" customFormat="1" ht="12">
      <c r="B1596" s="327"/>
      <c r="D1596" s="328" t="s">
        <v>155</v>
      </c>
      <c r="E1596" s="329" t="s">
        <v>1</v>
      </c>
      <c r="F1596" s="330" t="s">
        <v>1121</v>
      </c>
      <c r="H1596" s="329" t="s">
        <v>1</v>
      </c>
      <c r="I1596" s="497"/>
      <c r="L1596" s="331"/>
      <c r="M1596" s="332"/>
      <c r="N1596" s="333"/>
      <c r="O1596" s="333"/>
      <c r="P1596" s="333"/>
      <c r="Q1596" s="333"/>
      <c r="R1596" s="333"/>
      <c r="S1596" s="333"/>
      <c r="T1596" s="334"/>
      <c r="AT1596" s="329" t="s">
        <v>155</v>
      </c>
      <c r="AU1596" s="329" t="s">
        <v>83</v>
      </c>
      <c r="AV1596" s="326" t="s">
        <v>81</v>
      </c>
      <c r="AW1596" s="326" t="s">
        <v>34</v>
      </c>
      <c r="AX1596" s="326" t="s">
        <v>76</v>
      </c>
      <c r="AY1596" s="329" t="s">
        <v>146</v>
      </c>
    </row>
    <row r="1597" spans="2:51" s="335" customFormat="1" ht="12">
      <c r="B1597" s="336"/>
      <c r="D1597" s="328" t="s">
        <v>155</v>
      </c>
      <c r="E1597" s="337" t="s">
        <v>1</v>
      </c>
      <c r="F1597" s="338" t="s">
        <v>177</v>
      </c>
      <c r="H1597" s="339">
        <v>5</v>
      </c>
      <c r="I1597" s="498"/>
      <c r="L1597" s="340"/>
      <c r="M1597" s="341"/>
      <c r="N1597" s="342"/>
      <c r="O1597" s="342"/>
      <c r="P1597" s="342"/>
      <c r="Q1597" s="342"/>
      <c r="R1597" s="342"/>
      <c r="S1597" s="342"/>
      <c r="T1597" s="343"/>
      <c r="AT1597" s="337" t="s">
        <v>155</v>
      </c>
      <c r="AU1597" s="337" t="s">
        <v>83</v>
      </c>
      <c r="AV1597" s="335" t="s">
        <v>83</v>
      </c>
      <c r="AW1597" s="335" t="s">
        <v>34</v>
      </c>
      <c r="AX1597" s="335" t="s">
        <v>81</v>
      </c>
      <c r="AY1597" s="337" t="s">
        <v>146</v>
      </c>
    </row>
    <row r="1598" spans="1:65" s="225" customFormat="1" ht="24.2" customHeight="1">
      <c r="A1598" s="222"/>
      <c r="B1598" s="223"/>
      <c r="C1598" s="314">
        <v>311</v>
      </c>
      <c r="D1598" s="314" t="s">
        <v>148</v>
      </c>
      <c r="E1598" s="315" t="s">
        <v>1122</v>
      </c>
      <c r="F1598" s="316" t="s">
        <v>1123</v>
      </c>
      <c r="G1598" s="317" t="s">
        <v>301</v>
      </c>
      <c r="H1598" s="318">
        <v>3</v>
      </c>
      <c r="I1598" s="79"/>
      <c r="J1598" s="319">
        <f>ROUND(I1598*H1598,2)</f>
        <v>0</v>
      </c>
      <c r="K1598" s="316"/>
      <c r="L1598" s="229"/>
      <c r="M1598" s="320" t="s">
        <v>1</v>
      </c>
      <c r="N1598" s="321" t="s">
        <v>42</v>
      </c>
      <c r="O1598" s="322">
        <v>0.95</v>
      </c>
      <c r="P1598" s="322">
        <f>O1598*H1598</f>
        <v>2.8499999999999996</v>
      </c>
      <c r="Q1598" s="322">
        <v>0</v>
      </c>
      <c r="R1598" s="322">
        <f>Q1598*H1598</f>
        <v>0</v>
      </c>
      <c r="S1598" s="322">
        <v>0.174</v>
      </c>
      <c r="T1598" s="425">
        <f>S1598*H1598</f>
        <v>0.522</v>
      </c>
      <c r="U1598" s="222"/>
      <c r="V1598" s="222"/>
      <c r="W1598" s="222"/>
      <c r="X1598" s="222"/>
      <c r="Y1598" s="222"/>
      <c r="Z1598" s="222"/>
      <c r="AA1598" s="222"/>
      <c r="AB1598" s="222"/>
      <c r="AC1598" s="222"/>
      <c r="AD1598" s="222"/>
      <c r="AE1598" s="222"/>
      <c r="AR1598" s="324" t="s">
        <v>212</v>
      </c>
      <c r="AT1598" s="324" t="s">
        <v>148</v>
      </c>
      <c r="AU1598" s="324" t="s">
        <v>83</v>
      </c>
      <c r="AY1598" s="214" t="s">
        <v>146</v>
      </c>
      <c r="BE1598" s="325">
        <f>IF(N1598="základní",J1598,0)</f>
        <v>0</v>
      </c>
      <c r="BF1598" s="325">
        <f>IF(N1598="snížená",J1598,0)</f>
        <v>0</v>
      </c>
      <c r="BG1598" s="325">
        <f>IF(N1598="zákl. přenesená",J1598,0)</f>
        <v>0</v>
      </c>
      <c r="BH1598" s="325">
        <f>IF(N1598="sníž. přenesená",J1598,0)</f>
        <v>0</v>
      </c>
      <c r="BI1598" s="325">
        <f>IF(N1598="nulová",J1598,0)</f>
        <v>0</v>
      </c>
      <c r="BJ1598" s="214" t="s">
        <v>81</v>
      </c>
      <c r="BK1598" s="325">
        <f>ROUND(I1598*H1598,2)</f>
        <v>0</v>
      </c>
      <c r="BL1598" s="214" t="s">
        <v>212</v>
      </c>
      <c r="BM1598" s="324" t="s">
        <v>1124</v>
      </c>
    </row>
    <row r="1599" spans="2:51" s="326" customFormat="1" ht="12">
      <c r="B1599" s="327"/>
      <c r="D1599" s="328" t="s">
        <v>155</v>
      </c>
      <c r="E1599" s="329" t="s">
        <v>1</v>
      </c>
      <c r="F1599" s="330" t="s">
        <v>1125</v>
      </c>
      <c r="H1599" s="329" t="s">
        <v>1</v>
      </c>
      <c r="I1599" s="497"/>
      <c r="L1599" s="331"/>
      <c r="M1599" s="332"/>
      <c r="N1599" s="333"/>
      <c r="O1599" s="333"/>
      <c r="P1599" s="333"/>
      <c r="Q1599" s="333"/>
      <c r="R1599" s="333"/>
      <c r="S1599" s="333"/>
      <c r="T1599" s="334"/>
      <c r="AT1599" s="329" t="s">
        <v>155</v>
      </c>
      <c r="AU1599" s="329" t="s">
        <v>83</v>
      </c>
      <c r="AV1599" s="326" t="s">
        <v>81</v>
      </c>
      <c r="AW1599" s="326" t="s">
        <v>34</v>
      </c>
      <c r="AX1599" s="326" t="s">
        <v>76</v>
      </c>
      <c r="AY1599" s="329" t="s">
        <v>146</v>
      </c>
    </row>
    <row r="1600" spans="2:51" s="335" customFormat="1" ht="12">
      <c r="B1600" s="336"/>
      <c r="D1600" s="328" t="s">
        <v>155</v>
      </c>
      <c r="E1600" s="337" t="s">
        <v>1</v>
      </c>
      <c r="F1600" s="338" t="s">
        <v>83</v>
      </c>
      <c r="H1600" s="339">
        <v>2</v>
      </c>
      <c r="I1600" s="498"/>
      <c r="L1600" s="340"/>
      <c r="M1600" s="341"/>
      <c r="N1600" s="342"/>
      <c r="O1600" s="342"/>
      <c r="P1600" s="342"/>
      <c r="Q1600" s="342"/>
      <c r="R1600" s="342"/>
      <c r="S1600" s="342"/>
      <c r="T1600" s="343"/>
      <c r="AT1600" s="337" t="s">
        <v>155</v>
      </c>
      <c r="AU1600" s="337" t="s">
        <v>83</v>
      </c>
      <c r="AV1600" s="335" t="s">
        <v>83</v>
      </c>
      <c r="AW1600" s="335" t="s">
        <v>34</v>
      </c>
      <c r="AX1600" s="335" t="s">
        <v>76</v>
      </c>
      <c r="AY1600" s="337" t="s">
        <v>146</v>
      </c>
    </row>
    <row r="1601" spans="2:51" s="326" customFormat="1" ht="12">
      <c r="B1601" s="327"/>
      <c r="D1601" s="328" t="s">
        <v>155</v>
      </c>
      <c r="E1601" s="329" t="s">
        <v>1</v>
      </c>
      <c r="F1601" s="330" t="s">
        <v>640</v>
      </c>
      <c r="H1601" s="329" t="s">
        <v>1</v>
      </c>
      <c r="I1601" s="497"/>
      <c r="L1601" s="331"/>
      <c r="M1601" s="332"/>
      <c r="N1601" s="333"/>
      <c r="O1601" s="333"/>
      <c r="P1601" s="333"/>
      <c r="Q1601" s="333"/>
      <c r="R1601" s="333"/>
      <c r="S1601" s="333"/>
      <c r="T1601" s="334"/>
      <c r="AT1601" s="329" t="s">
        <v>155</v>
      </c>
      <c r="AU1601" s="329" t="s">
        <v>83</v>
      </c>
      <c r="AV1601" s="326" t="s">
        <v>81</v>
      </c>
      <c r="AW1601" s="326" t="s">
        <v>34</v>
      </c>
      <c r="AX1601" s="326" t="s">
        <v>76</v>
      </c>
      <c r="AY1601" s="329" t="s">
        <v>146</v>
      </c>
    </row>
    <row r="1602" spans="2:51" s="335" customFormat="1" ht="12">
      <c r="B1602" s="336"/>
      <c r="D1602" s="328" t="s">
        <v>155</v>
      </c>
      <c r="E1602" s="337" t="s">
        <v>1</v>
      </c>
      <c r="F1602" s="338" t="s">
        <v>81</v>
      </c>
      <c r="H1602" s="339">
        <v>1</v>
      </c>
      <c r="I1602" s="498"/>
      <c r="L1602" s="340"/>
      <c r="M1602" s="341"/>
      <c r="N1602" s="342"/>
      <c r="O1602" s="342"/>
      <c r="P1602" s="342"/>
      <c r="Q1602" s="342"/>
      <c r="R1602" s="342"/>
      <c r="S1602" s="342"/>
      <c r="T1602" s="343"/>
      <c r="AT1602" s="337" t="s">
        <v>155</v>
      </c>
      <c r="AU1602" s="337" t="s">
        <v>83</v>
      </c>
      <c r="AV1602" s="335" t="s">
        <v>83</v>
      </c>
      <c r="AW1602" s="335" t="s">
        <v>34</v>
      </c>
      <c r="AX1602" s="335" t="s">
        <v>76</v>
      </c>
      <c r="AY1602" s="337" t="s">
        <v>146</v>
      </c>
    </row>
    <row r="1603" spans="2:51" s="347" customFormat="1" ht="12">
      <c r="B1603" s="348"/>
      <c r="D1603" s="328" t="s">
        <v>155</v>
      </c>
      <c r="E1603" s="349" t="s">
        <v>1</v>
      </c>
      <c r="F1603" s="356" t="s">
        <v>157</v>
      </c>
      <c r="H1603" s="351">
        <v>3</v>
      </c>
      <c r="I1603" s="499"/>
      <c r="L1603" s="352"/>
      <c r="M1603" s="353"/>
      <c r="N1603" s="354"/>
      <c r="O1603" s="354"/>
      <c r="P1603" s="354"/>
      <c r="Q1603" s="354"/>
      <c r="R1603" s="354"/>
      <c r="S1603" s="354"/>
      <c r="T1603" s="355"/>
      <c r="AT1603" s="349" t="s">
        <v>155</v>
      </c>
      <c r="AU1603" s="349" t="s">
        <v>83</v>
      </c>
      <c r="AV1603" s="347" t="s">
        <v>153</v>
      </c>
      <c r="AW1603" s="347" t="s">
        <v>34</v>
      </c>
      <c r="AX1603" s="347" t="s">
        <v>81</v>
      </c>
      <c r="AY1603" s="349" t="s">
        <v>146</v>
      </c>
    </row>
    <row r="1604" spans="1:65" s="225" customFormat="1" ht="24.2" customHeight="1">
      <c r="A1604" s="222"/>
      <c r="B1604" s="223"/>
      <c r="C1604" s="314">
        <v>312</v>
      </c>
      <c r="D1604" s="314" t="s">
        <v>148</v>
      </c>
      <c r="E1604" s="315" t="s">
        <v>1126</v>
      </c>
      <c r="F1604" s="316" t="s">
        <v>2908</v>
      </c>
      <c r="G1604" s="317" t="s">
        <v>194</v>
      </c>
      <c r="H1604" s="318">
        <f>R1551</f>
        <v>7.12529832</v>
      </c>
      <c r="I1604" s="79"/>
      <c r="J1604" s="319">
        <f>ROUND(I1604*H1604,2)</f>
        <v>0</v>
      </c>
      <c r="K1604" s="316"/>
      <c r="L1604" s="229"/>
      <c r="M1604" s="320" t="s">
        <v>1</v>
      </c>
      <c r="N1604" s="321" t="s">
        <v>42</v>
      </c>
      <c r="O1604" s="322">
        <v>0</v>
      </c>
      <c r="P1604" s="322">
        <f>O1604*H1604</f>
        <v>0</v>
      </c>
      <c r="Q1604" s="322"/>
      <c r="R1604" s="322"/>
      <c r="S1604" s="322"/>
      <c r="T1604" s="323"/>
      <c r="U1604" s="222"/>
      <c r="V1604" s="222"/>
      <c r="W1604" s="222"/>
      <c r="X1604" s="222"/>
      <c r="Y1604" s="222"/>
      <c r="Z1604" s="222"/>
      <c r="AA1604" s="222"/>
      <c r="AB1604" s="222"/>
      <c r="AC1604" s="222"/>
      <c r="AD1604" s="222"/>
      <c r="AE1604" s="222"/>
      <c r="AR1604" s="324" t="s">
        <v>212</v>
      </c>
      <c r="AT1604" s="324" t="s">
        <v>148</v>
      </c>
      <c r="AU1604" s="324" t="s">
        <v>83</v>
      </c>
      <c r="AY1604" s="214" t="s">
        <v>146</v>
      </c>
      <c r="BE1604" s="325">
        <f>IF(N1604="základní",J1604,0)</f>
        <v>0</v>
      </c>
      <c r="BF1604" s="325">
        <f>IF(N1604="snížená",J1604,0)</f>
        <v>0</v>
      </c>
      <c r="BG1604" s="325">
        <f>IF(N1604="zákl. přenesená",J1604,0)</f>
        <v>0</v>
      </c>
      <c r="BH1604" s="325">
        <f>IF(N1604="sníž. přenesená",J1604,0)</f>
        <v>0</v>
      </c>
      <c r="BI1604" s="325">
        <f>IF(N1604="nulová",J1604,0)</f>
        <v>0</v>
      </c>
      <c r="BJ1604" s="214" t="s">
        <v>81</v>
      </c>
      <c r="BK1604" s="325">
        <f>ROUND(I1604*H1604,2)</f>
        <v>0</v>
      </c>
      <c r="BL1604" s="214" t="s">
        <v>212</v>
      </c>
      <c r="BM1604" s="324" t="s">
        <v>1127</v>
      </c>
    </row>
    <row r="1605" spans="2:63" s="297" customFormat="1" ht="22.9" customHeight="1">
      <c r="B1605" s="298"/>
      <c r="D1605" s="299" t="s">
        <v>75</v>
      </c>
      <c r="E1605" s="310" t="s">
        <v>1128</v>
      </c>
      <c r="F1605" s="310" t="s">
        <v>1129</v>
      </c>
      <c r="I1605" s="501"/>
      <c r="J1605" s="311">
        <f>SUM(J1606:J1672)</f>
        <v>0</v>
      </c>
      <c r="L1605" s="302"/>
      <c r="M1605" s="303"/>
      <c r="N1605" s="304"/>
      <c r="O1605" s="304"/>
      <c r="P1605" s="305">
        <f>SUM(P1606:P1672)</f>
        <v>2.7912039999999996</v>
      </c>
      <c r="Q1605" s="304"/>
      <c r="R1605" s="305">
        <f>SUM(R1606:R1670)</f>
        <v>5.193374159999999</v>
      </c>
      <c r="S1605" s="304"/>
      <c r="T1605" s="313">
        <f>SUM(T1606:T1670)</f>
        <v>0</v>
      </c>
      <c r="AR1605" s="299" t="s">
        <v>83</v>
      </c>
      <c r="AT1605" s="308" t="s">
        <v>75</v>
      </c>
      <c r="AU1605" s="308" t="s">
        <v>81</v>
      </c>
      <c r="AY1605" s="299" t="s">
        <v>146</v>
      </c>
      <c r="BK1605" s="309">
        <f>SUM(BK1606:BK1672)</f>
        <v>0</v>
      </c>
    </row>
    <row r="1606" spans="1:65" s="225" customFormat="1" ht="24.2" customHeight="1">
      <c r="A1606" s="222"/>
      <c r="B1606" s="223"/>
      <c r="C1606" s="314">
        <v>313</v>
      </c>
      <c r="D1606" s="314" t="s">
        <v>148</v>
      </c>
      <c r="E1606" s="315" t="s">
        <v>1130</v>
      </c>
      <c r="F1606" s="316" t="s">
        <v>1131</v>
      </c>
      <c r="G1606" s="317" t="s">
        <v>194</v>
      </c>
      <c r="H1606" s="318">
        <f>H1608</f>
        <v>0.988</v>
      </c>
      <c r="I1606" s="79"/>
      <c r="J1606" s="319">
        <f>ROUND(I1606*H1606,2)</f>
        <v>0</v>
      </c>
      <c r="K1606" s="316"/>
      <c r="L1606" s="229"/>
      <c r="M1606" s="320" t="s">
        <v>1</v>
      </c>
      <c r="N1606" s="321" t="s">
        <v>42</v>
      </c>
      <c r="O1606" s="322">
        <v>0.058</v>
      </c>
      <c r="P1606" s="322">
        <f>O1606*H1606</f>
        <v>0.057304</v>
      </c>
      <c r="Q1606" s="322">
        <v>5E-05</v>
      </c>
      <c r="R1606" s="322">
        <f>Q1606*H1606</f>
        <v>4.94E-05</v>
      </c>
      <c r="S1606" s="322">
        <v>0</v>
      </c>
      <c r="T1606" s="323">
        <f>S1606*H1606</f>
        <v>0</v>
      </c>
      <c r="U1606" s="222"/>
      <c r="V1606" s="222"/>
      <c r="W1606" s="222"/>
      <c r="X1606" s="222"/>
      <c r="Y1606" s="222"/>
      <c r="Z1606" s="222"/>
      <c r="AA1606" s="222"/>
      <c r="AB1606" s="222"/>
      <c r="AC1606" s="222"/>
      <c r="AD1606" s="222"/>
      <c r="AE1606" s="222"/>
      <c r="AR1606" s="324" t="s">
        <v>212</v>
      </c>
      <c r="AT1606" s="324" t="s">
        <v>148</v>
      </c>
      <c r="AU1606" s="324" t="s">
        <v>83</v>
      </c>
      <c r="AY1606" s="214" t="s">
        <v>146</v>
      </c>
      <c r="BE1606" s="325">
        <f>IF(N1606="základní",J1606,0)</f>
        <v>0</v>
      </c>
      <c r="BF1606" s="325">
        <f>IF(N1606="snížená",J1606,0)</f>
        <v>0</v>
      </c>
      <c r="BG1606" s="325">
        <f>IF(N1606="zákl. přenesená",J1606,0)</f>
        <v>0</v>
      </c>
      <c r="BH1606" s="325">
        <f>IF(N1606="sníž. přenesená",J1606,0)</f>
        <v>0</v>
      </c>
      <c r="BI1606" s="325">
        <f>IF(N1606="nulová",J1606,0)</f>
        <v>0</v>
      </c>
      <c r="BJ1606" s="214" t="s">
        <v>81</v>
      </c>
      <c r="BK1606" s="325">
        <f>ROUND(I1606*H1606,2)</f>
        <v>0</v>
      </c>
      <c r="BL1606" s="214" t="s">
        <v>212</v>
      </c>
      <c r="BM1606" s="324" t="s">
        <v>1132</v>
      </c>
    </row>
    <row r="1607" spans="2:51" s="326" customFormat="1" ht="22.5">
      <c r="B1607" s="327"/>
      <c r="D1607" s="328" t="s">
        <v>155</v>
      </c>
      <c r="E1607" s="329" t="s">
        <v>1</v>
      </c>
      <c r="F1607" s="330" t="s">
        <v>2934</v>
      </c>
      <c r="H1607" s="329" t="s">
        <v>1</v>
      </c>
      <c r="I1607" s="497"/>
      <c r="L1607" s="331"/>
      <c r="M1607" s="332"/>
      <c r="N1607" s="333"/>
      <c r="O1607" s="333"/>
      <c r="P1607" s="333"/>
      <c r="Q1607" s="333"/>
      <c r="R1607" s="333"/>
      <c r="S1607" s="333"/>
      <c r="T1607" s="334"/>
      <c r="AT1607" s="329" t="s">
        <v>155</v>
      </c>
      <c r="AU1607" s="329" t="s">
        <v>83</v>
      </c>
      <c r="AV1607" s="326" t="s">
        <v>81</v>
      </c>
      <c r="AW1607" s="326" t="s">
        <v>34</v>
      </c>
      <c r="AX1607" s="326" t="s">
        <v>76</v>
      </c>
      <c r="AY1607" s="329" t="s">
        <v>146</v>
      </c>
    </row>
    <row r="1608" spans="2:51" s="326" customFormat="1" ht="12">
      <c r="B1608" s="327"/>
      <c r="D1608" s="328"/>
      <c r="E1608" s="329"/>
      <c r="F1608" s="330" t="s">
        <v>2931</v>
      </c>
      <c r="H1608" s="469">
        <f>0.734+0.151+0.103</f>
        <v>0.988</v>
      </c>
      <c r="I1608" s="497"/>
      <c r="L1608" s="331"/>
      <c r="M1608" s="332"/>
      <c r="N1608" s="333"/>
      <c r="O1608" s="333"/>
      <c r="P1608" s="333"/>
      <c r="Q1608" s="333"/>
      <c r="R1608" s="333"/>
      <c r="S1608" s="333"/>
      <c r="T1608" s="334"/>
      <c r="AT1608" s="329"/>
      <c r="AU1608" s="329"/>
      <c r="AY1608" s="329"/>
    </row>
    <row r="1609" spans="1:65" s="225" customFormat="1" ht="24.75" customHeight="1">
      <c r="A1609" s="222"/>
      <c r="B1609" s="223"/>
      <c r="C1609" s="358">
        <v>314</v>
      </c>
      <c r="D1609" s="358" t="s">
        <v>208</v>
      </c>
      <c r="E1609" s="359"/>
      <c r="F1609" s="364" t="s">
        <v>2925</v>
      </c>
      <c r="G1609" s="361" t="s">
        <v>194</v>
      </c>
      <c r="H1609" s="362">
        <f>H1616</f>
        <v>0.73363476</v>
      </c>
      <c r="I1609" s="80"/>
      <c r="J1609" s="363">
        <f>ROUND(I1609*H1609,2)</f>
        <v>0</v>
      </c>
      <c r="K1609" s="364"/>
      <c r="L1609" s="365"/>
      <c r="M1609" s="366" t="s">
        <v>1</v>
      </c>
      <c r="N1609" s="367" t="s">
        <v>42</v>
      </c>
      <c r="O1609" s="322">
        <v>0</v>
      </c>
      <c r="P1609" s="322">
        <f>O1609*H1609</f>
        <v>0</v>
      </c>
      <c r="Q1609" s="322">
        <v>1</v>
      </c>
      <c r="R1609" s="322">
        <f>Q1609*H1609</f>
        <v>0.73363476</v>
      </c>
      <c r="S1609" s="322">
        <v>0</v>
      </c>
      <c r="T1609" s="323">
        <f>S1609*H1609</f>
        <v>0</v>
      </c>
      <c r="U1609" s="222"/>
      <c r="V1609" s="222"/>
      <c r="W1609" s="222"/>
      <c r="X1609" s="222"/>
      <c r="Y1609" s="222"/>
      <c r="Z1609" s="222"/>
      <c r="AA1609" s="222"/>
      <c r="AB1609" s="222"/>
      <c r="AC1609" s="222"/>
      <c r="AD1609" s="222"/>
      <c r="AE1609" s="222"/>
      <c r="AR1609" s="324" t="s">
        <v>298</v>
      </c>
      <c r="AT1609" s="324" t="s">
        <v>208</v>
      </c>
      <c r="AU1609" s="324" t="s">
        <v>83</v>
      </c>
      <c r="AY1609" s="214" t="s">
        <v>146</v>
      </c>
      <c r="BE1609" s="325">
        <f>IF(N1609="základní",J1609,0)</f>
        <v>0</v>
      </c>
      <c r="BF1609" s="325">
        <f>IF(N1609="snížená",J1609,0)</f>
        <v>0</v>
      </c>
      <c r="BG1609" s="325">
        <f>IF(N1609="zákl. přenesená",J1609,0)</f>
        <v>0</v>
      </c>
      <c r="BH1609" s="325">
        <f>IF(N1609="sníž. přenesená",J1609,0)</f>
        <v>0</v>
      </c>
      <c r="BI1609" s="325">
        <f>IF(N1609="nulová",J1609,0)</f>
        <v>0</v>
      </c>
      <c r="BJ1609" s="214" t="s">
        <v>81</v>
      </c>
      <c r="BK1609" s="325">
        <f>ROUND(I1609*H1609,2)</f>
        <v>0</v>
      </c>
      <c r="BL1609" s="214" t="s">
        <v>212</v>
      </c>
      <c r="BM1609" s="324" t="s">
        <v>1133</v>
      </c>
    </row>
    <row r="1610" spans="2:51" s="326" customFormat="1" ht="12">
      <c r="B1610" s="327"/>
      <c r="D1610" s="328" t="s">
        <v>155</v>
      </c>
      <c r="E1610" s="329" t="s">
        <v>1</v>
      </c>
      <c r="F1610" s="330" t="s">
        <v>2916</v>
      </c>
      <c r="H1610" s="329" t="s">
        <v>1</v>
      </c>
      <c r="I1610" s="497"/>
      <c r="L1610" s="331"/>
      <c r="M1610" s="332"/>
      <c r="N1610" s="333"/>
      <c r="O1610" s="333"/>
      <c r="P1610" s="333"/>
      <c r="Q1610" s="333"/>
      <c r="R1610" s="333"/>
      <c r="S1610" s="333"/>
      <c r="T1610" s="334"/>
      <c r="AT1610" s="329" t="s">
        <v>155</v>
      </c>
      <c r="AU1610" s="329" t="s">
        <v>83</v>
      </c>
      <c r="AV1610" s="326" t="s">
        <v>81</v>
      </c>
      <c r="AW1610" s="326" t="s">
        <v>34</v>
      </c>
      <c r="AX1610" s="326" t="s">
        <v>76</v>
      </c>
      <c r="AY1610" s="329" t="s">
        <v>146</v>
      </c>
    </row>
    <row r="1611" spans="2:51" s="335" customFormat="1" ht="12">
      <c r="B1611" s="336"/>
      <c r="D1611" s="328" t="s">
        <v>155</v>
      </c>
      <c r="E1611" s="337" t="s">
        <v>1</v>
      </c>
      <c r="F1611" s="338" t="s">
        <v>2921</v>
      </c>
      <c r="H1611" s="339">
        <f>(4.4*2+3.8*4)*8.211/1000</f>
        <v>0.19706400000000002</v>
      </c>
      <c r="I1611" s="498"/>
      <c r="L1611" s="340"/>
      <c r="M1611" s="341"/>
      <c r="N1611" s="342"/>
      <c r="O1611" s="342"/>
      <c r="P1611" s="342"/>
      <c r="Q1611" s="342"/>
      <c r="R1611" s="342"/>
      <c r="S1611" s="342"/>
      <c r="T1611" s="343"/>
      <c r="AT1611" s="337" t="s">
        <v>155</v>
      </c>
      <c r="AU1611" s="337" t="s">
        <v>83</v>
      </c>
      <c r="AV1611" s="335" t="s">
        <v>83</v>
      </c>
      <c r="AW1611" s="335" t="s">
        <v>34</v>
      </c>
      <c r="AX1611" s="335" t="s">
        <v>76</v>
      </c>
      <c r="AY1611" s="337" t="s">
        <v>146</v>
      </c>
    </row>
    <row r="1612" spans="2:51" s="326" customFormat="1" ht="12">
      <c r="B1612" s="327"/>
      <c r="D1612" s="328" t="s">
        <v>155</v>
      </c>
      <c r="E1612" s="329" t="s">
        <v>1</v>
      </c>
      <c r="F1612" s="330" t="s">
        <v>2917</v>
      </c>
      <c r="H1612" s="329" t="s">
        <v>1</v>
      </c>
      <c r="I1612" s="497"/>
      <c r="L1612" s="331"/>
      <c r="M1612" s="332"/>
      <c r="N1612" s="333"/>
      <c r="O1612" s="333"/>
      <c r="P1612" s="333"/>
      <c r="Q1612" s="333"/>
      <c r="R1612" s="333"/>
      <c r="S1612" s="333"/>
      <c r="T1612" s="334"/>
      <c r="AT1612" s="329" t="s">
        <v>155</v>
      </c>
      <c r="AU1612" s="329" t="s">
        <v>83</v>
      </c>
      <c r="AV1612" s="326" t="s">
        <v>81</v>
      </c>
      <c r="AW1612" s="326" t="s">
        <v>34</v>
      </c>
      <c r="AX1612" s="326" t="s">
        <v>76</v>
      </c>
      <c r="AY1612" s="329" t="s">
        <v>146</v>
      </c>
    </row>
    <row r="1613" spans="2:51" s="335" customFormat="1" ht="12">
      <c r="B1613" s="336"/>
      <c r="D1613" s="328" t="s">
        <v>155</v>
      </c>
      <c r="E1613" s="337" t="s">
        <v>1</v>
      </c>
      <c r="F1613" s="338" t="s">
        <v>2922</v>
      </c>
      <c r="H1613" s="339">
        <f>(5.33*6+3.6+3*2)*9.222/1000</f>
        <v>0.38345075999999995</v>
      </c>
      <c r="I1613" s="498"/>
      <c r="L1613" s="340"/>
      <c r="M1613" s="341"/>
      <c r="N1613" s="342"/>
      <c r="O1613" s="342"/>
      <c r="P1613" s="342"/>
      <c r="Q1613" s="342"/>
      <c r="R1613" s="342"/>
      <c r="S1613" s="342"/>
      <c r="T1613" s="343"/>
      <c r="AT1613" s="337" t="s">
        <v>155</v>
      </c>
      <c r="AU1613" s="337" t="s">
        <v>83</v>
      </c>
      <c r="AV1613" s="335" t="s">
        <v>83</v>
      </c>
      <c r="AW1613" s="335" t="s">
        <v>34</v>
      </c>
      <c r="AX1613" s="335" t="s">
        <v>76</v>
      </c>
      <c r="AY1613" s="337" t="s">
        <v>146</v>
      </c>
    </row>
    <row r="1614" spans="2:51" s="326" customFormat="1" ht="12">
      <c r="B1614" s="327"/>
      <c r="D1614" s="328" t="s">
        <v>155</v>
      </c>
      <c r="E1614" s="329" t="s">
        <v>1</v>
      </c>
      <c r="F1614" s="330" t="s">
        <v>2926</v>
      </c>
      <c r="H1614" s="329" t="s">
        <v>1</v>
      </c>
      <c r="I1614" s="497"/>
      <c r="L1614" s="331"/>
      <c r="M1614" s="332"/>
      <c r="N1614" s="333"/>
      <c r="O1614" s="333"/>
      <c r="P1614" s="333"/>
      <c r="Q1614" s="333"/>
      <c r="R1614" s="333"/>
      <c r="S1614" s="333"/>
      <c r="T1614" s="334"/>
      <c r="AT1614" s="329" t="s">
        <v>155</v>
      </c>
      <c r="AU1614" s="329" t="s">
        <v>83</v>
      </c>
      <c r="AV1614" s="326" t="s">
        <v>81</v>
      </c>
      <c r="AW1614" s="326" t="s">
        <v>34</v>
      </c>
      <c r="AX1614" s="326" t="s">
        <v>76</v>
      </c>
      <c r="AY1614" s="329" t="s">
        <v>146</v>
      </c>
    </row>
    <row r="1615" spans="2:51" s="335" customFormat="1" ht="12">
      <c r="B1615" s="336"/>
      <c r="D1615" s="328" t="s">
        <v>155</v>
      </c>
      <c r="E1615" s="337" t="s">
        <v>1</v>
      </c>
      <c r="F1615" s="338" t="s">
        <v>2927</v>
      </c>
      <c r="H1615" s="339">
        <f>3.19*4*12/1000</f>
        <v>0.15312</v>
      </c>
      <c r="I1615" s="498"/>
      <c r="L1615" s="340"/>
      <c r="M1615" s="341"/>
      <c r="N1615" s="342"/>
      <c r="O1615" s="342"/>
      <c r="P1615" s="342"/>
      <c r="Q1615" s="342"/>
      <c r="R1615" s="342"/>
      <c r="S1615" s="342"/>
      <c r="T1615" s="343"/>
      <c r="AT1615" s="337" t="s">
        <v>155</v>
      </c>
      <c r="AU1615" s="337" t="s">
        <v>83</v>
      </c>
      <c r="AV1615" s="335" t="s">
        <v>83</v>
      </c>
      <c r="AW1615" s="335" t="s">
        <v>34</v>
      </c>
      <c r="AX1615" s="335" t="s">
        <v>76</v>
      </c>
      <c r="AY1615" s="337" t="s">
        <v>146</v>
      </c>
    </row>
    <row r="1616" spans="2:51" s="347" customFormat="1" ht="12">
      <c r="B1616" s="348"/>
      <c r="D1616" s="328" t="s">
        <v>155</v>
      </c>
      <c r="E1616" s="349" t="s">
        <v>1</v>
      </c>
      <c r="F1616" s="356" t="s">
        <v>157</v>
      </c>
      <c r="H1616" s="351">
        <f>SUM(H1611:H1615)</f>
        <v>0.73363476</v>
      </c>
      <c r="I1616" s="499"/>
      <c r="L1616" s="352"/>
      <c r="M1616" s="353"/>
      <c r="N1616" s="354"/>
      <c r="O1616" s="354"/>
      <c r="P1616" s="354"/>
      <c r="Q1616" s="354"/>
      <c r="R1616" s="354"/>
      <c r="S1616" s="354"/>
      <c r="T1616" s="355"/>
      <c r="AT1616" s="349" t="s">
        <v>155</v>
      </c>
      <c r="AU1616" s="349" t="s">
        <v>83</v>
      </c>
      <c r="AV1616" s="347" t="s">
        <v>153</v>
      </c>
      <c r="AW1616" s="347" t="s">
        <v>34</v>
      </c>
      <c r="AX1616" s="347" t="s">
        <v>81</v>
      </c>
      <c r="AY1616" s="349" t="s">
        <v>146</v>
      </c>
    </row>
    <row r="1617" spans="1:65" s="225" customFormat="1" ht="24.2" customHeight="1">
      <c r="A1617" s="222"/>
      <c r="B1617" s="223"/>
      <c r="C1617" s="358">
        <v>315</v>
      </c>
      <c r="D1617" s="358" t="s">
        <v>208</v>
      </c>
      <c r="E1617" s="359" t="s">
        <v>1134</v>
      </c>
      <c r="F1617" s="364" t="s">
        <v>2920</v>
      </c>
      <c r="G1617" s="361" t="s">
        <v>194</v>
      </c>
      <c r="H1617" s="362">
        <f>H1622</f>
        <v>0.15083999999999997</v>
      </c>
      <c r="I1617" s="80"/>
      <c r="J1617" s="363">
        <f>ROUND(I1617*H1617,2)</f>
        <v>0</v>
      </c>
      <c r="K1617" s="364"/>
      <c r="L1617" s="365"/>
      <c r="M1617" s="366" t="s">
        <v>1</v>
      </c>
      <c r="N1617" s="367" t="s">
        <v>42</v>
      </c>
      <c r="O1617" s="322">
        <v>0</v>
      </c>
      <c r="P1617" s="322">
        <f>O1617*H1617</f>
        <v>0</v>
      </c>
      <c r="Q1617" s="322">
        <v>1</v>
      </c>
      <c r="R1617" s="322">
        <f>Q1617*H1617</f>
        <v>0.15083999999999997</v>
      </c>
      <c r="S1617" s="322">
        <v>0</v>
      </c>
      <c r="T1617" s="323">
        <f>S1617*H1617</f>
        <v>0</v>
      </c>
      <c r="U1617" s="222"/>
      <c r="V1617" s="222"/>
      <c r="W1617" s="222"/>
      <c r="X1617" s="222"/>
      <c r="Y1617" s="222"/>
      <c r="Z1617" s="222"/>
      <c r="AA1617" s="222"/>
      <c r="AB1617" s="222"/>
      <c r="AC1617" s="222"/>
      <c r="AD1617" s="222"/>
      <c r="AE1617" s="222"/>
      <c r="AR1617" s="324" t="s">
        <v>298</v>
      </c>
      <c r="AT1617" s="324" t="s">
        <v>208</v>
      </c>
      <c r="AU1617" s="324" t="s">
        <v>83</v>
      </c>
      <c r="AY1617" s="214" t="s">
        <v>146</v>
      </c>
      <c r="BE1617" s="325">
        <f>IF(N1617="základní",J1617,0)</f>
        <v>0</v>
      </c>
      <c r="BF1617" s="325">
        <f>IF(N1617="snížená",J1617,0)</f>
        <v>0</v>
      </c>
      <c r="BG1617" s="325">
        <f>IF(N1617="zákl. přenesená",J1617,0)</f>
        <v>0</v>
      </c>
      <c r="BH1617" s="325">
        <f>IF(N1617="sníž. přenesená",J1617,0)</f>
        <v>0</v>
      </c>
      <c r="BI1617" s="325">
        <f>IF(N1617="nulová",J1617,0)</f>
        <v>0</v>
      </c>
      <c r="BJ1617" s="214" t="s">
        <v>81</v>
      </c>
      <c r="BK1617" s="325">
        <f>ROUND(I1617*H1617,2)</f>
        <v>0</v>
      </c>
      <c r="BL1617" s="214" t="s">
        <v>212</v>
      </c>
      <c r="BM1617" s="324" t="s">
        <v>1135</v>
      </c>
    </row>
    <row r="1618" spans="2:51" s="326" customFormat="1" ht="12">
      <c r="B1618" s="327"/>
      <c r="D1618" s="328" t="s">
        <v>155</v>
      </c>
      <c r="E1618" s="329" t="s">
        <v>1</v>
      </c>
      <c r="F1618" s="330" t="s">
        <v>2918</v>
      </c>
      <c r="H1618" s="329" t="s">
        <v>1</v>
      </c>
      <c r="I1618" s="497"/>
      <c r="L1618" s="331"/>
      <c r="M1618" s="332"/>
      <c r="N1618" s="333"/>
      <c r="O1618" s="333"/>
      <c r="P1618" s="333"/>
      <c r="Q1618" s="333"/>
      <c r="R1618" s="333"/>
      <c r="S1618" s="333"/>
      <c r="T1618" s="334"/>
      <c r="AT1618" s="329" t="s">
        <v>155</v>
      </c>
      <c r="AU1618" s="329" t="s">
        <v>83</v>
      </c>
      <c r="AV1618" s="326" t="s">
        <v>81</v>
      </c>
      <c r="AW1618" s="326" t="s">
        <v>34</v>
      </c>
      <c r="AX1618" s="326" t="s">
        <v>76</v>
      </c>
      <c r="AY1618" s="329" t="s">
        <v>146</v>
      </c>
    </row>
    <row r="1619" spans="2:51" s="335" customFormat="1" ht="12">
      <c r="B1619" s="336"/>
      <c r="D1619" s="328" t="s">
        <v>155</v>
      </c>
      <c r="E1619" s="337" t="s">
        <v>1</v>
      </c>
      <c r="F1619" s="338" t="s">
        <v>2923</v>
      </c>
      <c r="H1619" s="339">
        <f>3.9*16/1000</f>
        <v>0.0624</v>
      </c>
      <c r="I1619" s="498"/>
      <c r="L1619" s="340"/>
      <c r="M1619" s="341"/>
      <c r="N1619" s="342"/>
      <c r="O1619" s="342"/>
      <c r="P1619" s="342"/>
      <c r="Q1619" s="342"/>
      <c r="R1619" s="342"/>
      <c r="S1619" s="342"/>
      <c r="T1619" s="343"/>
      <c r="AT1619" s="337" t="s">
        <v>155</v>
      </c>
      <c r="AU1619" s="337" t="s">
        <v>83</v>
      </c>
      <c r="AV1619" s="335" t="s">
        <v>83</v>
      </c>
      <c r="AW1619" s="335" t="s">
        <v>34</v>
      </c>
      <c r="AX1619" s="335" t="s">
        <v>76</v>
      </c>
      <c r="AY1619" s="337" t="s">
        <v>146</v>
      </c>
    </row>
    <row r="1620" spans="2:51" s="326" customFormat="1" ht="12">
      <c r="B1620" s="327"/>
      <c r="D1620" s="328" t="s">
        <v>155</v>
      </c>
      <c r="E1620" s="329" t="s">
        <v>1</v>
      </c>
      <c r="F1620" s="330" t="s">
        <v>2919</v>
      </c>
      <c r="H1620" s="329" t="s">
        <v>1</v>
      </c>
      <c r="I1620" s="497"/>
      <c r="L1620" s="331"/>
      <c r="M1620" s="332"/>
      <c r="N1620" s="333"/>
      <c r="O1620" s="333"/>
      <c r="P1620" s="333"/>
      <c r="Q1620" s="333"/>
      <c r="R1620" s="333"/>
      <c r="S1620" s="333"/>
      <c r="T1620" s="334"/>
      <c r="AT1620" s="329" t="s">
        <v>155</v>
      </c>
      <c r="AU1620" s="329" t="s">
        <v>83</v>
      </c>
      <c r="AV1620" s="326" t="s">
        <v>81</v>
      </c>
      <c r="AW1620" s="326" t="s">
        <v>34</v>
      </c>
      <c r="AX1620" s="326" t="s">
        <v>76</v>
      </c>
      <c r="AY1620" s="329" t="s">
        <v>146</v>
      </c>
    </row>
    <row r="1621" spans="2:51" s="335" customFormat="1" ht="12">
      <c r="B1621" s="336"/>
      <c r="D1621" s="328" t="s">
        <v>155</v>
      </c>
      <c r="E1621" s="337" t="s">
        <v>1</v>
      </c>
      <c r="F1621" s="338" t="s">
        <v>2924</v>
      </c>
      <c r="H1621" s="339">
        <f>3.3*2*13.4/1000</f>
        <v>0.08843999999999999</v>
      </c>
      <c r="I1621" s="498"/>
      <c r="L1621" s="340"/>
      <c r="M1621" s="341"/>
      <c r="N1621" s="342"/>
      <c r="O1621" s="342"/>
      <c r="P1621" s="342"/>
      <c r="Q1621" s="342"/>
      <c r="R1621" s="342"/>
      <c r="S1621" s="342"/>
      <c r="T1621" s="343"/>
      <c r="AT1621" s="337" t="s">
        <v>155</v>
      </c>
      <c r="AU1621" s="337" t="s">
        <v>83</v>
      </c>
      <c r="AV1621" s="335" t="s">
        <v>83</v>
      </c>
      <c r="AW1621" s="335" t="s">
        <v>34</v>
      </c>
      <c r="AX1621" s="335" t="s">
        <v>76</v>
      </c>
      <c r="AY1621" s="337" t="s">
        <v>146</v>
      </c>
    </row>
    <row r="1622" spans="2:51" s="347" customFormat="1" ht="12">
      <c r="B1622" s="348"/>
      <c r="D1622" s="328" t="s">
        <v>155</v>
      </c>
      <c r="E1622" s="349" t="s">
        <v>1</v>
      </c>
      <c r="F1622" s="356" t="s">
        <v>157</v>
      </c>
      <c r="H1622" s="351">
        <f>SUM(H1619:H1621)</f>
        <v>0.15083999999999997</v>
      </c>
      <c r="I1622" s="499"/>
      <c r="L1622" s="352"/>
      <c r="M1622" s="353"/>
      <c r="N1622" s="354"/>
      <c r="O1622" s="354"/>
      <c r="P1622" s="354"/>
      <c r="Q1622" s="354"/>
      <c r="R1622" s="354"/>
      <c r="S1622" s="354"/>
      <c r="T1622" s="355"/>
      <c r="AT1622" s="349" t="s">
        <v>155</v>
      </c>
      <c r="AU1622" s="349" t="s">
        <v>83</v>
      </c>
      <c r="AV1622" s="347" t="s">
        <v>153</v>
      </c>
      <c r="AW1622" s="347" t="s">
        <v>34</v>
      </c>
      <c r="AX1622" s="347" t="s">
        <v>81</v>
      </c>
      <c r="AY1622" s="349" t="s">
        <v>146</v>
      </c>
    </row>
    <row r="1623" spans="1:65" s="225" customFormat="1" ht="24.2" customHeight="1">
      <c r="A1623" s="222"/>
      <c r="B1623" s="223"/>
      <c r="C1623" s="358">
        <v>316</v>
      </c>
      <c r="D1623" s="358" t="s">
        <v>208</v>
      </c>
      <c r="E1623" s="359"/>
      <c r="F1623" s="364" t="s">
        <v>2928</v>
      </c>
      <c r="G1623" s="361" t="s">
        <v>194</v>
      </c>
      <c r="H1623" s="362">
        <f>H1626</f>
        <v>0.10278</v>
      </c>
      <c r="I1623" s="80"/>
      <c r="J1623" s="363">
        <f>ROUND(I1623*H1623,2)</f>
        <v>0</v>
      </c>
      <c r="K1623" s="364"/>
      <c r="L1623" s="365"/>
      <c r="M1623" s="366" t="s">
        <v>1</v>
      </c>
      <c r="N1623" s="367" t="s">
        <v>42</v>
      </c>
      <c r="O1623" s="322">
        <v>0</v>
      </c>
      <c r="P1623" s="322">
        <f>O1623*H1623</f>
        <v>0</v>
      </c>
      <c r="Q1623" s="322">
        <v>1</v>
      </c>
      <c r="R1623" s="322">
        <f>Q1623*H1623</f>
        <v>0.10278</v>
      </c>
      <c r="S1623" s="322">
        <v>0</v>
      </c>
      <c r="T1623" s="323">
        <f>S1623*H1623</f>
        <v>0</v>
      </c>
      <c r="U1623" s="222"/>
      <c r="V1623" s="222"/>
      <c r="W1623" s="222"/>
      <c r="X1623" s="222"/>
      <c r="Y1623" s="222"/>
      <c r="Z1623" s="222"/>
      <c r="AA1623" s="222"/>
      <c r="AB1623" s="222"/>
      <c r="AC1623" s="222"/>
      <c r="AD1623" s="222"/>
      <c r="AE1623" s="222"/>
      <c r="AR1623" s="324" t="s">
        <v>298</v>
      </c>
      <c r="AT1623" s="324" t="s">
        <v>208</v>
      </c>
      <c r="AU1623" s="324" t="s">
        <v>83</v>
      </c>
      <c r="AY1623" s="214" t="s">
        <v>146</v>
      </c>
      <c r="BE1623" s="325">
        <f>IF(N1623="základní",J1623,0)</f>
        <v>0</v>
      </c>
      <c r="BF1623" s="325">
        <f>IF(N1623="snížená",J1623,0)</f>
        <v>0</v>
      </c>
      <c r="BG1623" s="325">
        <f>IF(N1623="zákl. přenesená",J1623,0)</f>
        <v>0</v>
      </c>
      <c r="BH1623" s="325">
        <f>IF(N1623="sníž. přenesená",J1623,0)</f>
        <v>0</v>
      </c>
      <c r="BI1623" s="325">
        <f>IF(N1623="nulová",J1623,0)</f>
        <v>0</v>
      </c>
      <c r="BJ1623" s="214" t="s">
        <v>81</v>
      </c>
      <c r="BK1623" s="325">
        <f>ROUND(I1623*H1623,2)</f>
        <v>0</v>
      </c>
      <c r="BL1623" s="214" t="s">
        <v>212</v>
      </c>
      <c r="BM1623" s="324" t="s">
        <v>1135</v>
      </c>
    </row>
    <row r="1624" spans="2:51" s="326" customFormat="1" ht="12">
      <c r="B1624" s="327"/>
      <c r="D1624" s="328"/>
      <c r="E1624" s="329"/>
      <c r="F1624" s="330" t="s">
        <v>2929</v>
      </c>
      <c r="H1624" s="469">
        <f>(0.3*0.2+0.15*0.275)*8*0.118</f>
        <v>0.09558</v>
      </c>
      <c r="I1624" s="497"/>
      <c r="L1624" s="331"/>
      <c r="M1624" s="332"/>
      <c r="N1624" s="333"/>
      <c r="O1624" s="333"/>
      <c r="P1624" s="333"/>
      <c r="Q1624" s="333"/>
      <c r="R1624" s="333"/>
      <c r="S1624" s="333"/>
      <c r="T1624" s="334"/>
      <c r="AT1624" s="329"/>
      <c r="AU1624" s="329"/>
      <c r="AY1624" s="329"/>
    </row>
    <row r="1625" spans="2:51" s="326" customFormat="1" ht="12">
      <c r="B1625" s="327"/>
      <c r="D1625" s="328"/>
      <c r="E1625" s="329"/>
      <c r="F1625" s="330" t="s">
        <v>2930</v>
      </c>
      <c r="H1625" s="469">
        <f>(0.15*0.15/2)*8*0.08</f>
        <v>0.0072</v>
      </c>
      <c r="I1625" s="497"/>
      <c r="L1625" s="331"/>
      <c r="M1625" s="332"/>
      <c r="N1625" s="333"/>
      <c r="O1625" s="333"/>
      <c r="P1625" s="333"/>
      <c r="Q1625" s="333"/>
      <c r="R1625" s="333"/>
      <c r="S1625" s="333"/>
      <c r="T1625" s="334"/>
      <c r="AT1625" s="329"/>
      <c r="AU1625" s="329"/>
      <c r="AY1625" s="329"/>
    </row>
    <row r="1626" spans="2:51" s="347" customFormat="1" ht="12">
      <c r="B1626" s="348"/>
      <c r="D1626" s="328" t="s">
        <v>155</v>
      </c>
      <c r="E1626" s="349" t="s">
        <v>1</v>
      </c>
      <c r="F1626" s="356" t="s">
        <v>157</v>
      </c>
      <c r="H1626" s="351">
        <f>SUM(H1624:H1625)</f>
        <v>0.10278</v>
      </c>
      <c r="I1626" s="499"/>
      <c r="L1626" s="352"/>
      <c r="M1626" s="353"/>
      <c r="N1626" s="354"/>
      <c r="O1626" s="354"/>
      <c r="P1626" s="354"/>
      <c r="Q1626" s="354"/>
      <c r="R1626" s="354"/>
      <c r="S1626" s="354"/>
      <c r="T1626" s="355"/>
      <c r="AT1626" s="349" t="s">
        <v>155</v>
      </c>
      <c r="AU1626" s="349" t="s">
        <v>83</v>
      </c>
      <c r="AV1626" s="347" t="s">
        <v>153</v>
      </c>
      <c r="AW1626" s="347" t="s">
        <v>34</v>
      </c>
      <c r="AX1626" s="347" t="s">
        <v>81</v>
      </c>
      <c r="AY1626" s="349" t="s">
        <v>146</v>
      </c>
    </row>
    <row r="1627" spans="1:65" s="225" customFormat="1" ht="182.25" customHeight="1">
      <c r="A1627" s="222"/>
      <c r="B1627" s="223"/>
      <c r="C1627" s="314">
        <v>317</v>
      </c>
      <c r="D1627" s="314" t="s">
        <v>148</v>
      </c>
      <c r="E1627" s="315" t="s">
        <v>1136</v>
      </c>
      <c r="F1627" s="316" t="s">
        <v>3745</v>
      </c>
      <c r="G1627" s="317" t="s">
        <v>301</v>
      </c>
      <c r="H1627" s="318">
        <v>1</v>
      </c>
      <c r="I1627" s="79"/>
      <c r="J1627" s="319">
        <f>ROUND(I1627*H1627,2)</f>
        <v>0</v>
      </c>
      <c r="K1627" s="316"/>
      <c r="L1627" s="229"/>
      <c r="M1627" s="320" t="s">
        <v>1</v>
      </c>
      <c r="N1627" s="321" t="s">
        <v>42</v>
      </c>
      <c r="O1627" s="322">
        <v>0</v>
      </c>
      <c r="P1627" s="322">
        <f>O1627*H1627</f>
        <v>0</v>
      </c>
      <c r="Q1627" s="322">
        <v>0.4</v>
      </c>
      <c r="R1627" s="322">
        <f>Q1627*H1627</f>
        <v>0.4</v>
      </c>
      <c r="S1627" s="322">
        <v>0</v>
      </c>
      <c r="T1627" s="323">
        <f>S1627*H1627</f>
        <v>0</v>
      </c>
      <c r="U1627" s="222"/>
      <c r="V1627" s="222"/>
      <c r="W1627" s="222"/>
      <c r="X1627" s="222"/>
      <c r="Y1627" s="222"/>
      <c r="Z1627" s="222"/>
      <c r="AA1627" s="222"/>
      <c r="AB1627" s="222"/>
      <c r="AC1627" s="222"/>
      <c r="AD1627" s="222"/>
      <c r="AE1627" s="222"/>
      <c r="AR1627" s="324" t="s">
        <v>212</v>
      </c>
      <c r="AT1627" s="324" t="s">
        <v>148</v>
      </c>
      <c r="AU1627" s="324" t="s">
        <v>83</v>
      </c>
      <c r="AY1627" s="214" t="s">
        <v>146</v>
      </c>
      <c r="BE1627" s="325">
        <f>IF(N1627="základní",J1627,0)</f>
        <v>0</v>
      </c>
      <c r="BF1627" s="325">
        <f>IF(N1627="snížená",J1627,0)</f>
        <v>0</v>
      </c>
      <c r="BG1627" s="325">
        <f>IF(N1627="zákl. přenesená",J1627,0)</f>
        <v>0</v>
      </c>
      <c r="BH1627" s="325">
        <f>IF(N1627="sníž. přenesená",J1627,0)</f>
        <v>0</v>
      </c>
      <c r="BI1627" s="325">
        <f>IF(N1627="nulová",J1627,0)</f>
        <v>0</v>
      </c>
      <c r="BJ1627" s="214" t="s">
        <v>81</v>
      </c>
      <c r="BK1627" s="325">
        <f>ROUND(I1627*H1627,2)</f>
        <v>0</v>
      </c>
      <c r="BL1627" s="214" t="s">
        <v>212</v>
      </c>
      <c r="BM1627" s="324" t="s">
        <v>1137</v>
      </c>
    </row>
    <row r="1628" spans="2:51" s="326" customFormat="1" ht="12">
      <c r="B1628" s="327"/>
      <c r="D1628" s="328" t="s">
        <v>155</v>
      </c>
      <c r="E1628" s="329" t="s">
        <v>1</v>
      </c>
      <c r="F1628" s="330" t="s">
        <v>2935</v>
      </c>
      <c r="H1628" s="329" t="s">
        <v>1</v>
      </c>
      <c r="I1628" s="497"/>
      <c r="L1628" s="331"/>
      <c r="M1628" s="332"/>
      <c r="N1628" s="333"/>
      <c r="O1628" s="333"/>
      <c r="P1628" s="333"/>
      <c r="Q1628" s="333"/>
      <c r="R1628" s="333"/>
      <c r="S1628" s="333"/>
      <c r="T1628" s="334"/>
      <c r="AT1628" s="329" t="s">
        <v>155</v>
      </c>
      <c r="AU1628" s="329" t="s">
        <v>83</v>
      </c>
      <c r="AV1628" s="326" t="s">
        <v>81</v>
      </c>
      <c r="AW1628" s="326" t="s">
        <v>34</v>
      </c>
      <c r="AX1628" s="326" t="s">
        <v>76</v>
      </c>
      <c r="AY1628" s="329" t="s">
        <v>146</v>
      </c>
    </row>
    <row r="1629" spans="1:65" s="225" customFormat="1" ht="189.75" customHeight="1">
      <c r="A1629" s="222"/>
      <c r="B1629" s="223"/>
      <c r="C1629" s="314">
        <v>318</v>
      </c>
      <c r="D1629" s="314" t="s">
        <v>148</v>
      </c>
      <c r="E1629" s="315" t="s">
        <v>3747</v>
      </c>
      <c r="F1629" s="316" t="s">
        <v>3746</v>
      </c>
      <c r="G1629" s="317" t="s">
        <v>301</v>
      </c>
      <c r="H1629" s="318">
        <v>2</v>
      </c>
      <c r="I1629" s="79"/>
      <c r="J1629" s="319">
        <f>ROUND(I1629*H1629,2)</f>
        <v>0</v>
      </c>
      <c r="K1629" s="316"/>
      <c r="L1629" s="229"/>
      <c r="M1629" s="320" t="s">
        <v>1</v>
      </c>
      <c r="N1629" s="321" t="s">
        <v>42</v>
      </c>
      <c r="O1629" s="322">
        <v>0</v>
      </c>
      <c r="P1629" s="322">
        <f>O1629*H1629</f>
        <v>0</v>
      </c>
      <c r="Q1629" s="322">
        <v>0.4</v>
      </c>
      <c r="R1629" s="322">
        <f>Q1629*H1629</f>
        <v>0.8</v>
      </c>
      <c r="S1629" s="322">
        <v>0</v>
      </c>
      <c r="T1629" s="323">
        <f>S1629*H1629</f>
        <v>0</v>
      </c>
      <c r="U1629" s="222"/>
      <c r="V1629" s="222"/>
      <c r="W1629" s="222"/>
      <c r="X1629" s="222"/>
      <c r="Y1629" s="222"/>
      <c r="Z1629" s="222"/>
      <c r="AA1629" s="222"/>
      <c r="AB1629" s="222"/>
      <c r="AC1629" s="222"/>
      <c r="AD1629" s="222"/>
      <c r="AE1629" s="222"/>
      <c r="AR1629" s="324" t="s">
        <v>212</v>
      </c>
      <c r="AT1629" s="324" t="s">
        <v>148</v>
      </c>
      <c r="AU1629" s="324" t="s">
        <v>83</v>
      </c>
      <c r="AY1629" s="214" t="s">
        <v>146</v>
      </c>
      <c r="BE1629" s="325">
        <f>IF(N1629="základní",J1629,0)</f>
        <v>0</v>
      </c>
      <c r="BF1629" s="325">
        <f>IF(N1629="snížená",J1629,0)</f>
        <v>0</v>
      </c>
      <c r="BG1629" s="325">
        <f>IF(N1629="zákl. přenesená",J1629,0)</f>
        <v>0</v>
      </c>
      <c r="BH1629" s="325">
        <f>IF(N1629="sníž. přenesená",J1629,0)</f>
        <v>0</v>
      </c>
      <c r="BI1629" s="325">
        <f>IF(N1629="nulová",J1629,0)</f>
        <v>0</v>
      </c>
      <c r="BJ1629" s="214" t="s">
        <v>81</v>
      </c>
      <c r="BK1629" s="325">
        <f>ROUND(I1629*H1629,2)</f>
        <v>0</v>
      </c>
      <c r="BL1629" s="214" t="s">
        <v>212</v>
      </c>
      <c r="BM1629" s="324" t="s">
        <v>1139</v>
      </c>
    </row>
    <row r="1630" spans="2:51" s="326" customFormat="1" ht="12">
      <c r="B1630" s="327"/>
      <c r="D1630" s="328" t="s">
        <v>155</v>
      </c>
      <c r="E1630" s="329" t="s">
        <v>1</v>
      </c>
      <c r="F1630" s="330" t="s">
        <v>3748</v>
      </c>
      <c r="H1630" s="329" t="s">
        <v>1</v>
      </c>
      <c r="I1630" s="497"/>
      <c r="L1630" s="331"/>
      <c r="M1630" s="332"/>
      <c r="N1630" s="333"/>
      <c r="O1630" s="333"/>
      <c r="P1630" s="333"/>
      <c r="Q1630" s="333"/>
      <c r="R1630" s="333"/>
      <c r="S1630" s="333"/>
      <c r="T1630" s="334"/>
      <c r="AT1630" s="329" t="s">
        <v>155</v>
      </c>
      <c r="AU1630" s="329" t="s">
        <v>83</v>
      </c>
      <c r="AV1630" s="326" t="s">
        <v>81</v>
      </c>
      <c r="AW1630" s="326" t="s">
        <v>34</v>
      </c>
      <c r="AX1630" s="326" t="s">
        <v>76</v>
      </c>
      <c r="AY1630" s="329" t="s">
        <v>146</v>
      </c>
    </row>
    <row r="1631" spans="1:65" s="225" customFormat="1" ht="119.25" customHeight="1">
      <c r="A1631" s="222"/>
      <c r="B1631" s="223"/>
      <c r="C1631" s="314">
        <v>319</v>
      </c>
      <c r="D1631" s="314" t="s">
        <v>148</v>
      </c>
      <c r="E1631" s="315" t="s">
        <v>1140</v>
      </c>
      <c r="F1631" s="316" t="s">
        <v>2939</v>
      </c>
      <c r="G1631" s="317" t="s">
        <v>301</v>
      </c>
      <c r="H1631" s="318">
        <v>5</v>
      </c>
      <c r="I1631" s="79"/>
      <c r="J1631" s="319">
        <f>ROUND(I1631*H1631,2)</f>
        <v>0</v>
      </c>
      <c r="K1631" s="316"/>
      <c r="L1631" s="229"/>
      <c r="M1631" s="320" t="s">
        <v>1</v>
      </c>
      <c r="N1631" s="321" t="s">
        <v>42</v>
      </c>
      <c r="O1631" s="322">
        <v>0</v>
      </c>
      <c r="P1631" s="322">
        <f>O1631*H1631</f>
        <v>0</v>
      </c>
      <c r="Q1631" s="322">
        <v>0.1</v>
      </c>
      <c r="R1631" s="322">
        <f>Q1631*H1631</f>
        <v>0.5</v>
      </c>
      <c r="S1631" s="322">
        <v>0</v>
      </c>
      <c r="T1631" s="323">
        <f>S1631*H1631</f>
        <v>0</v>
      </c>
      <c r="U1631" s="222"/>
      <c r="V1631" s="222"/>
      <c r="W1631" s="222"/>
      <c r="X1631" s="222"/>
      <c r="Y1631" s="222"/>
      <c r="Z1631" s="222"/>
      <c r="AA1631" s="222"/>
      <c r="AB1631" s="222"/>
      <c r="AC1631" s="222"/>
      <c r="AD1631" s="222"/>
      <c r="AE1631" s="222"/>
      <c r="AR1631" s="324" t="s">
        <v>212</v>
      </c>
      <c r="AT1631" s="324" t="s">
        <v>148</v>
      </c>
      <c r="AU1631" s="324" t="s">
        <v>83</v>
      </c>
      <c r="AY1631" s="214" t="s">
        <v>146</v>
      </c>
      <c r="BE1631" s="325">
        <f>IF(N1631="základní",J1631,0)</f>
        <v>0</v>
      </c>
      <c r="BF1631" s="325">
        <f>IF(N1631="snížená",J1631,0)</f>
        <v>0</v>
      </c>
      <c r="BG1631" s="325">
        <f>IF(N1631="zákl. přenesená",J1631,0)</f>
        <v>0</v>
      </c>
      <c r="BH1631" s="325">
        <f>IF(N1631="sníž. přenesená",J1631,0)</f>
        <v>0</v>
      </c>
      <c r="BI1631" s="325">
        <f>IF(N1631="nulová",J1631,0)</f>
        <v>0</v>
      </c>
      <c r="BJ1631" s="214" t="s">
        <v>81</v>
      </c>
      <c r="BK1631" s="325">
        <f>ROUND(I1631*H1631,2)</f>
        <v>0</v>
      </c>
      <c r="BL1631" s="214" t="s">
        <v>212</v>
      </c>
      <c r="BM1631" s="324" t="s">
        <v>1141</v>
      </c>
    </row>
    <row r="1632" spans="2:51" s="326" customFormat="1" ht="22.5">
      <c r="B1632" s="327"/>
      <c r="D1632" s="328" t="s">
        <v>155</v>
      </c>
      <c r="E1632" s="329" t="s">
        <v>1</v>
      </c>
      <c r="F1632" s="330" t="s">
        <v>1142</v>
      </c>
      <c r="H1632" s="329" t="s">
        <v>1</v>
      </c>
      <c r="I1632" s="497"/>
      <c r="L1632" s="331"/>
      <c r="M1632" s="332"/>
      <c r="N1632" s="333"/>
      <c r="O1632" s="333"/>
      <c r="P1632" s="333"/>
      <c r="Q1632" s="333"/>
      <c r="R1632" s="333"/>
      <c r="S1632" s="333"/>
      <c r="T1632" s="334"/>
      <c r="AT1632" s="329" t="s">
        <v>155</v>
      </c>
      <c r="AU1632" s="329" t="s">
        <v>83</v>
      </c>
      <c r="AV1632" s="326" t="s">
        <v>81</v>
      </c>
      <c r="AW1632" s="326" t="s">
        <v>34</v>
      </c>
      <c r="AX1632" s="326" t="s">
        <v>76</v>
      </c>
      <c r="AY1632" s="329" t="s">
        <v>146</v>
      </c>
    </row>
    <row r="1633" spans="1:65" s="225" customFormat="1" ht="55.5" customHeight="1">
      <c r="A1633" s="222"/>
      <c r="B1633" s="223"/>
      <c r="C1633" s="314">
        <v>320</v>
      </c>
      <c r="D1633" s="314" t="s">
        <v>148</v>
      </c>
      <c r="E1633" s="315" t="s">
        <v>1143</v>
      </c>
      <c r="F1633" s="316" t="s">
        <v>2936</v>
      </c>
      <c r="G1633" s="317" t="s">
        <v>1361</v>
      </c>
      <c r="H1633" s="318">
        <v>5</v>
      </c>
      <c r="I1633" s="79"/>
      <c r="J1633" s="319">
        <f>ROUND(I1633*H1633,2)</f>
        <v>0</v>
      </c>
      <c r="K1633" s="316"/>
      <c r="L1633" s="229"/>
      <c r="M1633" s="320" t="s">
        <v>1</v>
      </c>
      <c r="N1633" s="321" t="s">
        <v>42</v>
      </c>
      <c r="O1633" s="322">
        <v>0</v>
      </c>
      <c r="P1633" s="322">
        <f>O1633*H1633</f>
        <v>0</v>
      </c>
      <c r="Q1633" s="322">
        <v>0.07</v>
      </c>
      <c r="R1633" s="322">
        <f>Q1633*H1633</f>
        <v>0.35000000000000003</v>
      </c>
      <c r="S1633" s="322">
        <v>0</v>
      </c>
      <c r="T1633" s="323">
        <f>S1633*H1633</f>
        <v>0</v>
      </c>
      <c r="U1633" s="222"/>
      <c r="V1633" s="222"/>
      <c r="W1633" s="222"/>
      <c r="X1633" s="222"/>
      <c r="Y1633" s="222"/>
      <c r="Z1633" s="222"/>
      <c r="AA1633" s="222"/>
      <c r="AB1633" s="222"/>
      <c r="AC1633" s="222"/>
      <c r="AD1633" s="222"/>
      <c r="AE1633" s="222"/>
      <c r="AR1633" s="324" t="s">
        <v>212</v>
      </c>
      <c r="AT1633" s="324" t="s">
        <v>148</v>
      </c>
      <c r="AU1633" s="324" t="s">
        <v>83</v>
      </c>
      <c r="AY1633" s="214" t="s">
        <v>146</v>
      </c>
      <c r="BE1633" s="325">
        <f>IF(N1633="základní",J1633,0)</f>
        <v>0</v>
      </c>
      <c r="BF1633" s="325">
        <f>IF(N1633="snížená",J1633,0)</f>
        <v>0</v>
      </c>
      <c r="BG1633" s="325">
        <f>IF(N1633="zákl. přenesená",J1633,0)</f>
        <v>0</v>
      </c>
      <c r="BH1633" s="325">
        <f>IF(N1633="sníž. přenesená",J1633,0)</f>
        <v>0</v>
      </c>
      <c r="BI1633" s="325">
        <f>IF(N1633="nulová",J1633,0)</f>
        <v>0</v>
      </c>
      <c r="BJ1633" s="214" t="s">
        <v>81</v>
      </c>
      <c r="BK1633" s="325">
        <f>ROUND(I1633*H1633,2)</f>
        <v>0</v>
      </c>
      <c r="BL1633" s="214" t="s">
        <v>212</v>
      </c>
      <c r="BM1633" s="324" t="s">
        <v>1144</v>
      </c>
    </row>
    <row r="1634" spans="2:51" s="326" customFormat="1" ht="12">
      <c r="B1634" s="327"/>
      <c r="D1634" s="328" t="s">
        <v>155</v>
      </c>
      <c r="E1634" s="329" t="s">
        <v>1</v>
      </c>
      <c r="F1634" s="330" t="s">
        <v>1143</v>
      </c>
      <c r="H1634" s="329" t="s">
        <v>1</v>
      </c>
      <c r="I1634" s="497"/>
      <c r="L1634" s="331"/>
      <c r="M1634" s="332"/>
      <c r="N1634" s="333"/>
      <c r="O1634" s="333"/>
      <c r="P1634" s="333"/>
      <c r="Q1634" s="333"/>
      <c r="R1634" s="333"/>
      <c r="S1634" s="333"/>
      <c r="T1634" s="334"/>
      <c r="AT1634" s="329" t="s">
        <v>155</v>
      </c>
      <c r="AU1634" s="329" t="s">
        <v>83</v>
      </c>
      <c r="AV1634" s="326" t="s">
        <v>81</v>
      </c>
      <c r="AW1634" s="326" t="s">
        <v>34</v>
      </c>
      <c r="AX1634" s="326" t="s">
        <v>76</v>
      </c>
      <c r="AY1634" s="329" t="s">
        <v>146</v>
      </c>
    </row>
    <row r="1635" spans="1:65" s="225" customFormat="1" ht="49.15" customHeight="1">
      <c r="A1635" s="222"/>
      <c r="B1635" s="223"/>
      <c r="C1635" s="314">
        <v>321</v>
      </c>
      <c r="D1635" s="314" t="s">
        <v>148</v>
      </c>
      <c r="E1635" s="315" t="s">
        <v>1145</v>
      </c>
      <c r="F1635" s="316" t="s">
        <v>2937</v>
      </c>
      <c r="G1635" s="317" t="s">
        <v>1361</v>
      </c>
      <c r="H1635" s="318">
        <v>4</v>
      </c>
      <c r="I1635" s="79"/>
      <c r="J1635" s="319">
        <f>ROUND(I1635*H1635,2)</f>
        <v>0</v>
      </c>
      <c r="K1635" s="316"/>
      <c r="L1635" s="229"/>
      <c r="M1635" s="320" t="s">
        <v>1</v>
      </c>
      <c r="N1635" s="321" t="s">
        <v>42</v>
      </c>
      <c r="O1635" s="322">
        <v>0</v>
      </c>
      <c r="P1635" s="322">
        <f>O1635*H1635</f>
        <v>0</v>
      </c>
      <c r="Q1635" s="322">
        <v>0.09</v>
      </c>
      <c r="R1635" s="322">
        <f>Q1635*H1635</f>
        <v>0.36</v>
      </c>
      <c r="S1635" s="322">
        <v>0</v>
      </c>
      <c r="T1635" s="323">
        <f>S1635*H1635</f>
        <v>0</v>
      </c>
      <c r="U1635" s="222"/>
      <c r="V1635" s="222"/>
      <c r="W1635" s="222"/>
      <c r="X1635" s="222"/>
      <c r="Y1635" s="222"/>
      <c r="Z1635" s="222"/>
      <c r="AA1635" s="222"/>
      <c r="AB1635" s="222"/>
      <c r="AC1635" s="222"/>
      <c r="AD1635" s="222"/>
      <c r="AE1635" s="222"/>
      <c r="AR1635" s="324" t="s">
        <v>212</v>
      </c>
      <c r="AT1635" s="324" t="s">
        <v>148</v>
      </c>
      <c r="AU1635" s="324" t="s">
        <v>83</v>
      </c>
      <c r="AY1635" s="214" t="s">
        <v>146</v>
      </c>
      <c r="BE1635" s="325">
        <f>IF(N1635="základní",J1635,0)</f>
        <v>0</v>
      </c>
      <c r="BF1635" s="325">
        <f>IF(N1635="snížená",J1635,0)</f>
        <v>0</v>
      </c>
      <c r="BG1635" s="325">
        <f>IF(N1635="zákl. přenesená",J1635,0)</f>
        <v>0</v>
      </c>
      <c r="BH1635" s="325">
        <f>IF(N1635="sníž. přenesená",J1635,0)</f>
        <v>0</v>
      </c>
      <c r="BI1635" s="325">
        <f>IF(N1635="nulová",J1635,0)</f>
        <v>0</v>
      </c>
      <c r="BJ1635" s="214" t="s">
        <v>81</v>
      </c>
      <c r="BK1635" s="325">
        <f>ROUND(I1635*H1635,2)</f>
        <v>0</v>
      </c>
      <c r="BL1635" s="214" t="s">
        <v>212</v>
      </c>
      <c r="BM1635" s="324" t="s">
        <v>1146</v>
      </c>
    </row>
    <row r="1636" spans="2:51" s="326" customFormat="1" ht="12">
      <c r="B1636" s="327"/>
      <c r="D1636" s="328" t="s">
        <v>155</v>
      </c>
      <c r="E1636" s="329" t="s">
        <v>1</v>
      </c>
      <c r="F1636" s="330" t="s">
        <v>1145</v>
      </c>
      <c r="H1636" s="329" t="s">
        <v>1</v>
      </c>
      <c r="I1636" s="497"/>
      <c r="L1636" s="331"/>
      <c r="M1636" s="332"/>
      <c r="N1636" s="333"/>
      <c r="O1636" s="333"/>
      <c r="P1636" s="333"/>
      <c r="Q1636" s="333"/>
      <c r="R1636" s="333"/>
      <c r="S1636" s="333"/>
      <c r="T1636" s="334"/>
      <c r="AT1636" s="329" t="s">
        <v>155</v>
      </c>
      <c r="AU1636" s="329" t="s">
        <v>83</v>
      </c>
      <c r="AV1636" s="326" t="s">
        <v>81</v>
      </c>
      <c r="AW1636" s="326" t="s">
        <v>34</v>
      </c>
      <c r="AX1636" s="326" t="s">
        <v>76</v>
      </c>
      <c r="AY1636" s="329" t="s">
        <v>146</v>
      </c>
    </row>
    <row r="1637" spans="1:65" s="225" customFormat="1" ht="49.15" customHeight="1">
      <c r="A1637" s="222"/>
      <c r="B1637" s="223"/>
      <c r="C1637" s="314">
        <v>322</v>
      </c>
      <c r="D1637" s="314" t="s">
        <v>148</v>
      </c>
      <c r="E1637" s="315" t="s">
        <v>1147</v>
      </c>
      <c r="F1637" s="316" t="s">
        <v>2938</v>
      </c>
      <c r="G1637" s="317" t="s">
        <v>1361</v>
      </c>
      <c r="H1637" s="318">
        <v>1</v>
      </c>
      <c r="I1637" s="79"/>
      <c r="J1637" s="319">
        <f>ROUND(I1637*H1637,2)</f>
        <v>0</v>
      </c>
      <c r="K1637" s="316"/>
      <c r="L1637" s="229"/>
      <c r="M1637" s="320" t="s">
        <v>1</v>
      </c>
      <c r="N1637" s="321" t="s">
        <v>42</v>
      </c>
      <c r="O1637" s="322">
        <v>0</v>
      </c>
      <c r="P1637" s="322">
        <f>O1637*H1637</f>
        <v>0</v>
      </c>
      <c r="Q1637" s="322">
        <v>0.03</v>
      </c>
      <c r="R1637" s="322">
        <f>Q1637*H1637</f>
        <v>0.03</v>
      </c>
      <c r="S1637" s="322">
        <v>0</v>
      </c>
      <c r="T1637" s="323">
        <f>S1637*H1637</f>
        <v>0</v>
      </c>
      <c r="U1637" s="222"/>
      <c r="V1637" s="222"/>
      <c r="W1637" s="222"/>
      <c r="X1637" s="222"/>
      <c r="Y1637" s="222"/>
      <c r="Z1637" s="222"/>
      <c r="AA1637" s="222"/>
      <c r="AB1637" s="222"/>
      <c r="AC1637" s="222"/>
      <c r="AD1637" s="222"/>
      <c r="AE1637" s="222"/>
      <c r="AR1637" s="324" t="s">
        <v>212</v>
      </c>
      <c r="AT1637" s="324" t="s">
        <v>148</v>
      </c>
      <c r="AU1637" s="324" t="s">
        <v>83</v>
      </c>
      <c r="AY1637" s="214" t="s">
        <v>146</v>
      </c>
      <c r="BE1637" s="325">
        <f>IF(N1637="základní",J1637,0)</f>
        <v>0</v>
      </c>
      <c r="BF1637" s="325">
        <f>IF(N1637="snížená",J1637,0)</f>
        <v>0</v>
      </c>
      <c r="BG1637" s="325">
        <f>IF(N1637="zákl. přenesená",J1637,0)</f>
        <v>0</v>
      </c>
      <c r="BH1637" s="325">
        <f>IF(N1637="sníž. přenesená",J1637,0)</f>
        <v>0</v>
      </c>
      <c r="BI1637" s="325">
        <f>IF(N1637="nulová",J1637,0)</f>
        <v>0</v>
      </c>
      <c r="BJ1637" s="214" t="s">
        <v>81</v>
      </c>
      <c r="BK1637" s="325">
        <f>ROUND(I1637*H1637,2)</f>
        <v>0</v>
      </c>
      <c r="BL1637" s="214" t="s">
        <v>212</v>
      </c>
      <c r="BM1637" s="324" t="s">
        <v>1148</v>
      </c>
    </row>
    <row r="1638" spans="2:51" s="326" customFormat="1" ht="12">
      <c r="B1638" s="327"/>
      <c r="D1638" s="328" t="s">
        <v>155</v>
      </c>
      <c r="E1638" s="329" t="s">
        <v>1</v>
      </c>
      <c r="F1638" s="330" t="s">
        <v>1147</v>
      </c>
      <c r="H1638" s="329" t="s">
        <v>1</v>
      </c>
      <c r="I1638" s="497"/>
      <c r="L1638" s="331"/>
      <c r="M1638" s="332"/>
      <c r="N1638" s="333"/>
      <c r="O1638" s="333"/>
      <c r="P1638" s="333"/>
      <c r="Q1638" s="333"/>
      <c r="R1638" s="333"/>
      <c r="S1638" s="333"/>
      <c r="T1638" s="334"/>
      <c r="AT1638" s="329" t="s">
        <v>155</v>
      </c>
      <c r="AU1638" s="329" t="s">
        <v>83</v>
      </c>
      <c r="AV1638" s="326" t="s">
        <v>81</v>
      </c>
      <c r="AW1638" s="326" t="s">
        <v>34</v>
      </c>
      <c r="AX1638" s="326" t="s">
        <v>76</v>
      </c>
      <c r="AY1638" s="329" t="s">
        <v>146</v>
      </c>
    </row>
    <row r="1639" spans="1:65" s="225" customFormat="1" ht="89.25" customHeight="1">
      <c r="A1639" s="222"/>
      <c r="B1639" s="223"/>
      <c r="C1639" s="314">
        <v>323</v>
      </c>
      <c r="D1639" s="314" t="s">
        <v>148</v>
      </c>
      <c r="E1639" s="315" t="s">
        <v>1149</v>
      </c>
      <c r="F1639" s="316" t="s">
        <v>3751</v>
      </c>
      <c r="G1639" s="317" t="s">
        <v>1361</v>
      </c>
      <c r="H1639" s="318">
        <v>1</v>
      </c>
      <c r="I1639" s="79"/>
      <c r="J1639" s="319">
        <f>ROUND(I1639*H1639,2)</f>
        <v>0</v>
      </c>
      <c r="K1639" s="316"/>
      <c r="L1639" s="229"/>
      <c r="M1639" s="320" t="s">
        <v>1</v>
      </c>
      <c r="N1639" s="321" t="s">
        <v>42</v>
      </c>
      <c r="O1639" s="322">
        <v>0</v>
      </c>
      <c r="P1639" s="322">
        <f>O1639*H1639</f>
        <v>0</v>
      </c>
      <c r="Q1639" s="322">
        <v>0.5</v>
      </c>
      <c r="R1639" s="322">
        <f>Q1639*H1639</f>
        <v>0.5</v>
      </c>
      <c r="S1639" s="322">
        <v>0</v>
      </c>
      <c r="T1639" s="323">
        <f>S1639*H1639</f>
        <v>0</v>
      </c>
      <c r="U1639" s="222"/>
      <c r="V1639" s="222"/>
      <c r="W1639" s="222"/>
      <c r="X1639" s="222"/>
      <c r="Y1639" s="222"/>
      <c r="Z1639" s="222"/>
      <c r="AA1639" s="222"/>
      <c r="AB1639" s="222"/>
      <c r="AC1639" s="222"/>
      <c r="AD1639" s="222"/>
      <c r="AE1639" s="222"/>
      <c r="AR1639" s="324" t="s">
        <v>212</v>
      </c>
      <c r="AT1639" s="324" t="s">
        <v>148</v>
      </c>
      <c r="AU1639" s="324" t="s">
        <v>83</v>
      </c>
      <c r="AY1639" s="214" t="s">
        <v>146</v>
      </c>
      <c r="BE1639" s="325">
        <f>IF(N1639="základní",J1639,0)</f>
        <v>0</v>
      </c>
      <c r="BF1639" s="325">
        <f>IF(N1639="snížená",J1639,0)</f>
        <v>0</v>
      </c>
      <c r="BG1639" s="325">
        <f>IF(N1639="zákl. přenesená",J1639,0)</f>
        <v>0</v>
      </c>
      <c r="BH1639" s="325">
        <f>IF(N1639="sníž. přenesená",J1639,0)</f>
        <v>0</v>
      </c>
      <c r="BI1639" s="325">
        <f>IF(N1639="nulová",J1639,0)</f>
        <v>0</v>
      </c>
      <c r="BJ1639" s="214" t="s">
        <v>81</v>
      </c>
      <c r="BK1639" s="325">
        <f>ROUND(I1639*H1639,2)</f>
        <v>0</v>
      </c>
      <c r="BL1639" s="214" t="s">
        <v>212</v>
      </c>
      <c r="BM1639" s="324" t="s">
        <v>1150</v>
      </c>
    </row>
    <row r="1640" spans="2:51" s="326" customFormat="1" ht="12">
      <c r="B1640" s="327"/>
      <c r="D1640" s="328" t="s">
        <v>155</v>
      </c>
      <c r="E1640" s="329" t="s">
        <v>1</v>
      </c>
      <c r="F1640" s="330" t="s">
        <v>1149</v>
      </c>
      <c r="H1640" s="329" t="s">
        <v>1</v>
      </c>
      <c r="I1640" s="497"/>
      <c r="L1640" s="331"/>
      <c r="M1640" s="332"/>
      <c r="N1640" s="333"/>
      <c r="O1640" s="333"/>
      <c r="P1640" s="333"/>
      <c r="Q1640" s="333"/>
      <c r="R1640" s="333"/>
      <c r="S1640" s="333"/>
      <c r="T1640" s="334"/>
      <c r="AT1640" s="329" t="s">
        <v>155</v>
      </c>
      <c r="AU1640" s="329" t="s">
        <v>83</v>
      </c>
      <c r="AV1640" s="326" t="s">
        <v>81</v>
      </c>
      <c r="AW1640" s="326" t="s">
        <v>34</v>
      </c>
      <c r="AX1640" s="326" t="s">
        <v>76</v>
      </c>
      <c r="AY1640" s="329" t="s">
        <v>146</v>
      </c>
    </row>
    <row r="1641" spans="2:51" s="326" customFormat="1" ht="12">
      <c r="B1641" s="327"/>
      <c r="D1641" s="328" t="s">
        <v>155</v>
      </c>
      <c r="E1641" s="329" t="s">
        <v>1</v>
      </c>
      <c r="F1641" s="330" t="s">
        <v>1138</v>
      </c>
      <c r="H1641" s="329" t="s">
        <v>1</v>
      </c>
      <c r="I1641" s="497"/>
      <c r="L1641" s="331"/>
      <c r="M1641" s="332"/>
      <c r="N1641" s="333"/>
      <c r="O1641" s="333"/>
      <c r="P1641" s="333"/>
      <c r="Q1641" s="333"/>
      <c r="R1641" s="333"/>
      <c r="S1641" s="333"/>
      <c r="T1641" s="334"/>
      <c r="AT1641" s="329" t="s">
        <v>155</v>
      </c>
      <c r="AU1641" s="329" t="s">
        <v>83</v>
      </c>
      <c r="AV1641" s="326" t="s">
        <v>81</v>
      </c>
      <c r="AW1641" s="326" t="s">
        <v>34</v>
      </c>
      <c r="AX1641" s="326" t="s">
        <v>76</v>
      </c>
      <c r="AY1641" s="329" t="s">
        <v>146</v>
      </c>
    </row>
    <row r="1642" spans="1:65" s="225" customFormat="1" ht="75" customHeight="1">
      <c r="A1642" s="222"/>
      <c r="B1642" s="223"/>
      <c r="C1642" s="314">
        <v>324</v>
      </c>
      <c r="D1642" s="314" t="s">
        <v>148</v>
      </c>
      <c r="E1642" s="315" t="s">
        <v>3749</v>
      </c>
      <c r="F1642" s="316" t="s">
        <v>3750</v>
      </c>
      <c r="G1642" s="317" t="s">
        <v>1361</v>
      </c>
      <c r="H1642" s="318">
        <v>1</v>
      </c>
      <c r="I1642" s="79"/>
      <c r="J1642" s="319">
        <f>ROUND(I1642*H1642,2)</f>
        <v>0</v>
      </c>
      <c r="K1642" s="316"/>
      <c r="L1642" s="229"/>
      <c r="M1642" s="320" t="s">
        <v>1</v>
      </c>
      <c r="N1642" s="321" t="s">
        <v>42</v>
      </c>
      <c r="O1642" s="322">
        <v>0</v>
      </c>
      <c r="P1642" s="322">
        <f>O1642*H1642</f>
        <v>0</v>
      </c>
      <c r="Q1642" s="322">
        <v>0.5</v>
      </c>
      <c r="R1642" s="322">
        <f>Q1642*H1642</f>
        <v>0.5</v>
      </c>
      <c r="S1642" s="322">
        <v>0</v>
      </c>
      <c r="T1642" s="323">
        <f>S1642*H1642</f>
        <v>0</v>
      </c>
      <c r="U1642" s="222"/>
      <c r="V1642" s="222"/>
      <c r="W1642" s="222"/>
      <c r="X1642" s="222"/>
      <c r="Y1642" s="222"/>
      <c r="Z1642" s="222"/>
      <c r="AA1642" s="222"/>
      <c r="AB1642" s="222"/>
      <c r="AC1642" s="222"/>
      <c r="AD1642" s="222"/>
      <c r="AE1642" s="222"/>
      <c r="AR1642" s="324" t="s">
        <v>212</v>
      </c>
      <c r="AT1642" s="324" t="s">
        <v>148</v>
      </c>
      <c r="AU1642" s="324" t="s">
        <v>83</v>
      </c>
      <c r="AY1642" s="214" t="s">
        <v>146</v>
      </c>
      <c r="BE1642" s="325">
        <f>IF(N1642="základní",J1642,0)</f>
        <v>0</v>
      </c>
      <c r="BF1642" s="325">
        <f>IF(N1642="snížená",J1642,0)</f>
        <v>0</v>
      </c>
      <c r="BG1642" s="325">
        <f>IF(N1642="zákl. přenesená",J1642,0)</f>
        <v>0</v>
      </c>
      <c r="BH1642" s="325">
        <f>IF(N1642="sníž. přenesená",J1642,0)</f>
        <v>0</v>
      </c>
      <c r="BI1642" s="325">
        <f>IF(N1642="nulová",J1642,0)</f>
        <v>0</v>
      </c>
      <c r="BJ1642" s="214" t="s">
        <v>81</v>
      </c>
      <c r="BK1642" s="325">
        <f>ROUND(I1642*H1642,2)</f>
        <v>0</v>
      </c>
      <c r="BL1642" s="214" t="s">
        <v>212</v>
      </c>
      <c r="BM1642" s="324" t="s">
        <v>1150</v>
      </c>
    </row>
    <row r="1643" spans="2:51" s="326" customFormat="1" ht="12">
      <c r="B1643" s="327"/>
      <c r="D1643" s="328" t="s">
        <v>155</v>
      </c>
      <c r="E1643" s="329" t="s">
        <v>1</v>
      </c>
      <c r="F1643" s="330" t="s">
        <v>3749</v>
      </c>
      <c r="H1643" s="329" t="s">
        <v>1</v>
      </c>
      <c r="I1643" s="497"/>
      <c r="L1643" s="331"/>
      <c r="M1643" s="332"/>
      <c r="N1643" s="333"/>
      <c r="O1643" s="333"/>
      <c r="P1643" s="333"/>
      <c r="Q1643" s="333"/>
      <c r="R1643" s="333"/>
      <c r="S1643" s="333"/>
      <c r="T1643" s="334"/>
      <c r="AT1643" s="329" t="s">
        <v>155</v>
      </c>
      <c r="AU1643" s="329" t="s">
        <v>83</v>
      </c>
      <c r="AV1643" s="326" t="s">
        <v>81</v>
      </c>
      <c r="AW1643" s="326" t="s">
        <v>34</v>
      </c>
      <c r="AX1643" s="326" t="s">
        <v>76</v>
      </c>
      <c r="AY1643" s="329" t="s">
        <v>146</v>
      </c>
    </row>
    <row r="1644" spans="1:65" s="225" customFormat="1" ht="24.2" customHeight="1">
      <c r="A1644" s="222"/>
      <c r="B1644" s="223"/>
      <c r="C1644" s="314">
        <v>325</v>
      </c>
      <c r="D1644" s="314" t="s">
        <v>148</v>
      </c>
      <c r="E1644" s="315" t="s">
        <v>1151</v>
      </c>
      <c r="F1644" s="316" t="s">
        <v>2932</v>
      </c>
      <c r="G1644" s="317" t="s">
        <v>301</v>
      </c>
      <c r="H1644" s="318">
        <v>1</v>
      </c>
      <c r="I1644" s="79"/>
      <c r="J1644" s="319">
        <f aca="true" t="shared" si="20" ref="J1644:J1646">ROUND(I1644*H1644,2)</f>
        <v>0</v>
      </c>
      <c r="K1644" s="316"/>
      <c r="L1644" s="229"/>
      <c r="M1644" s="320" t="s">
        <v>1</v>
      </c>
      <c r="N1644" s="321" t="s">
        <v>42</v>
      </c>
      <c r="O1644" s="322">
        <v>0</v>
      </c>
      <c r="P1644" s="322">
        <f aca="true" t="shared" si="21" ref="P1644:P1646">O1644*H1644</f>
        <v>0</v>
      </c>
      <c r="Q1644" s="322">
        <v>0.03</v>
      </c>
      <c r="R1644" s="322">
        <f aca="true" t="shared" si="22" ref="R1644:R1646">Q1644*H1644</f>
        <v>0.03</v>
      </c>
      <c r="S1644" s="322">
        <v>0</v>
      </c>
      <c r="T1644" s="323">
        <f aca="true" t="shared" si="23" ref="T1644:T1646">S1644*H1644</f>
        <v>0</v>
      </c>
      <c r="U1644" s="222"/>
      <c r="V1644" s="222"/>
      <c r="W1644" s="222"/>
      <c r="X1644" s="222"/>
      <c r="Y1644" s="222"/>
      <c r="Z1644" s="222"/>
      <c r="AA1644" s="222"/>
      <c r="AB1644" s="222"/>
      <c r="AC1644" s="222"/>
      <c r="AD1644" s="222"/>
      <c r="AE1644" s="222"/>
      <c r="AR1644" s="324" t="s">
        <v>212</v>
      </c>
      <c r="AT1644" s="324" t="s">
        <v>148</v>
      </c>
      <c r="AU1644" s="324" t="s">
        <v>83</v>
      </c>
      <c r="AY1644" s="214" t="s">
        <v>146</v>
      </c>
      <c r="BE1644" s="325">
        <f aca="true" t="shared" si="24" ref="BE1644:BE1646">IF(N1644="základní",J1644,0)</f>
        <v>0</v>
      </c>
      <c r="BF1644" s="325">
        <f aca="true" t="shared" si="25" ref="BF1644:BF1646">IF(N1644="snížená",J1644,0)</f>
        <v>0</v>
      </c>
      <c r="BG1644" s="325">
        <f aca="true" t="shared" si="26" ref="BG1644:BG1646">IF(N1644="zákl. přenesená",J1644,0)</f>
        <v>0</v>
      </c>
      <c r="BH1644" s="325">
        <f aca="true" t="shared" si="27" ref="BH1644:BH1646">IF(N1644="sníž. přenesená",J1644,0)</f>
        <v>0</v>
      </c>
      <c r="BI1644" s="325">
        <f aca="true" t="shared" si="28" ref="BI1644:BI1646">IF(N1644="nulová",J1644,0)</f>
        <v>0</v>
      </c>
      <c r="BJ1644" s="214" t="s">
        <v>81</v>
      </c>
      <c r="BK1644" s="325">
        <f aca="true" t="shared" si="29" ref="BK1644:BK1646">ROUND(I1644*H1644,2)</f>
        <v>0</v>
      </c>
      <c r="BL1644" s="214" t="s">
        <v>212</v>
      </c>
      <c r="BM1644" s="324" t="s">
        <v>1152</v>
      </c>
    </row>
    <row r="1645" spans="1:65" s="225" customFormat="1" ht="24.2" customHeight="1">
      <c r="A1645" s="222"/>
      <c r="B1645" s="223"/>
      <c r="C1645" s="314">
        <v>326</v>
      </c>
      <c r="D1645" s="314" t="s">
        <v>148</v>
      </c>
      <c r="E1645" s="315" t="s">
        <v>1153</v>
      </c>
      <c r="F1645" s="316" t="s">
        <v>2933</v>
      </c>
      <c r="G1645" s="317" t="s">
        <v>301</v>
      </c>
      <c r="H1645" s="318">
        <v>3</v>
      </c>
      <c r="I1645" s="79"/>
      <c r="J1645" s="319">
        <f t="shared" si="20"/>
        <v>0</v>
      </c>
      <c r="K1645" s="316"/>
      <c r="L1645" s="229"/>
      <c r="M1645" s="320" t="s">
        <v>1</v>
      </c>
      <c r="N1645" s="321" t="s">
        <v>42</v>
      </c>
      <c r="O1645" s="322">
        <v>0</v>
      </c>
      <c r="P1645" s="322">
        <f t="shared" si="21"/>
        <v>0</v>
      </c>
      <c r="Q1645" s="322">
        <v>0.03</v>
      </c>
      <c r="R1645" s="322">
        <f t="shared" si="22"/>
        <v>0.09</v>
      </c>
      <c r="S1645" s="322">
        <v>0</v>
      </c>
      <c r="T1645" s="323">
        <f t="shared" si="23"/>
        <v>0</v>
      </c>
      <c r="U1645" s="222"/>
      <c r="V1645" s="222"/>
      <c r="W1645" s="222"/>
      <c r="X1645" s="222"/>
      <c r="Y1645" s="222"/>
      <c r="Z1645" s="222"/>
      <c r="AA1645" s="222"/>
      <c r="AB1645" s="222"/>
      <c r="AC1645" s="222"/>
      <c r="AD1645" s="222"/>
      <c r="AE1645" s="222"/>
      <c r="AR1645" s="324" t="s">
        <v>212</v>
      </c>
      <c r="AT1645" s="324" t="s">
        <v>148</v>
      </c>
      <c r="AU1645" s="324" t="s">
        <v>83</v>
      </c>
      <c r="AY1645" s="214" t="s">
        <v>146</v>
      </c>
      <c r="BE1645" s="325">
        <f t="shared" si="24"/>
        <v>0</v>
      </c>
      <c r="BF1645" s="325">
        <f t="shared" si="25"/>
        <v>0</v>
      </c>
      <c r="BG1645" s="325">
        <f t="shared" si="26"/>
        <v>0</v>
      </c>
      <c r="BH1645" s="325">
        <f t="shared" si="27"/>
        <v>0</v>
      </c>
      <c r="BI1645" s="325">
        <f t="shared" si="28"/>
        <v>0</v>
      </c>
      <c r="BJ1645" s="214" t="s">
        <v>81</v>
      </c>
      <c r="BK1645" s="325">
        <f t="shared" si="29"/>
        <v>0</v>
      </c>
      <c r="BL1645" s="214" t="s">
        <v>212</v>
      </c>
      <c r="BM1645" s="324" t="s">
        <v>1154</v>
      </c>
    </row>
    <row r="1646" spans="1:65" s="225" customFormat="1" ht="49.15" customHeight="1">
      <c r="A1646" s="222"/>
      <c r="B1646" s="223"/>
      <c r="C1646" s="314">
        <v>327</v>
      </c>
      <c r="D1646" s="314" t="s">
        <v>148</v>
      </c>
      <c r="E1646" s="315" t="s">
        <v>1155</v>
      </c>
      <c r="F1646" s="316" t="s">
        <v>3752</v>
      </c>
      <c r="G1646" s="317" t="s">
        <v>1361</v>
      </c>
      <c r="H1646" s="318">
        <v>6</v>
      </c>
      <c r="I1646" s="79"/>
      <c r="J1646" s="319">
        <f t="shared" si="20"/>
        <v>0</v>
      </c>
      <c r="K1646" s="316"/>
      <c r="L1646" s="229"/>
      <c r="M1646" s="320" t="s">
        <v>1</v>
      </c>
      <c r="N1646" s="321" t="s">
        <v>42</v>
      </c>
      <c r="O1646" s="322">
        <v>0</v>
      </c>
      <c r="P1646" s="322">
        <f t="shared" si="21"/>
        <v>0</v>
      </c>
      <c r="Q1646" s="322">
        <v>0.01</v>
      </c>
      <c r="R1646" s="322">
        <f t="shared" si="22"/>
        <v>0.06</v>
      </c>
      <c r="S1646" s="322">
        <v>0</v>
      </c>
      <c r="T1646" s="323">
        <f t="shared" si="23"/>
        <v>0</v>
      </c>
      <c r="U1646" s="222"/>
      <c r="V1646" s="222"/>
      <c r="W1646" s="222"/>
      <c r="X1646" s="222"/>
      <c r="Y1646" s="222"/>
      <c r="Z1646" s="222"/>
      <c r="AA1646" s="222"/>
      <c r="AB1646" s="222"/>
      <c r="AC1646" s="222"/>
      <c r="AD1646" s="222"/>
      <c r="AE1646" s="222"/>
      <c r="AR1646" s="324" t="s">
        <v>212</v>
      </c>
      <c r="AT1646" s="324" t="s">
        <v>148</v>
      </c>
      <c r="AU1646" s="324" t="s">
        <v>83</v>
      </c>
      <c r="AY1646" s="214" t="s">
        <v>146</v>
      </c>
      <c r="BE1646" s="325">
        <f t="shared" si="24"/>
        <v>0</v>
      </c>
      <c r="BF1646" s="325">
        <f t="shared" si="25"/>
        <v>0</v>
      </c>
      <c r="BG1646" s="325">
        <f t="shared" si="26"/>
        <v>0</v>
      </c>
      <c r="BH1646" s="325">
        <f t="shared" si="27"/>
        <v>0</v>
      </c>
      <c r="BI1646" s="325">
        <f t="shared" si="28"/>
        <v>0</v>
      </c>
      <c r="BJ1646" s="214" t="s">
        <v>81</v>
      </c>
      <c r="BK1646" s="325">
        <f t="shared" si="29"/>
        <v>0</v>
      </c>
      <c r="BL1646" s="214" t="s">
        <v>212</v>
      </c>
      <c r="BM1646" s="324" t="s">
        <v>1156</v>
      </c>
    </row>
    <row r="1647" spans="2:51" s="426" customFormat="1" ht="12">
      <c r="B1647" s="474"/>
      <c r="D1647" s="376" t="s">
        <v>155</v>
      </c>
      <c r="E1647" s="427" t="s">
        <v>1</v>
      </c>
      <c r="F1647" s="345" t="s">
        <v>1155</v>
      </c>
      <c r="H1647" s="427" t="s">
        <v>1</v>
      </c>
      <c r="I1647" s="505"/>
      <c r="L1647" s="475"/>
      <c r="M1647" s="476"/>
      <c r="N1647" s="477"/>
      <c r="O1647" s="477"/>
      <c r="P1647" s="477"/>
      <c r="Q1647" s="477"/>
      <c r="R1647" s="477"/>
      <c r="S1647" s="477"/>
      <c r="T1647" s="478"/>
      <c r="AT1647" s="427" t="s">
        <v>155</v>
      </c>
      <c r="AU1647" s="427" t="s">
        <v>83</v>
      </c>
      <c r="AV1647" s="426" t="s">
        <v>81</v>
      </c>
      <c r="AW1647" s="426" t="s">
        <v>34</v>
      </c>
      <c r="AX1647" s="426" t="s">
        <v>76</v>
      </c>
      <c r="AY1647" s="427" t="s">
        <v>146</v>
      </c>
    </row>
    <row r="1648" spans="1:65" s="225" customFormat="1" ht="108.75" customHeight="1">
      <c r="A1648" s="222"/>
      <c r="B1648" s="223"/>
      <c r="C1648" s="314">
        <v>328</v>
      </c>
      <c r="D1648" s="314" t="s">
        <v>148</v>
      </c>
      <c r="E1648" s="315" t="s">
        <v>1169</v>
      </c>
      <c r="F1648" s="316" t="s">
        <v>3753</v>
      </c>
      <c r="G1648" s="317" t="s">
        <v>301</v>
      </c>
      <c r="H1648" s="318">
        <v>1</v>
      </c>
      <c r="I1648" s="79"/>
      <c r="J1648" s="319">
        <f>ROUND(I1648*H1648,2)</f>
        <v>0</v>
      </c>
      <c r="K1648" s="316"/>
      <c r="L1648" s="229"/>
      <c r="M1648" s="320" t="s">
        <v>1</v>
      </c>
      <c r="N1648" s="321" t="s">
        <v>42</v>
      </c>
      <c r="O1648" s="322">
        <v>0</v>
      </c>
      <c r="P1648" s="322">
        <f>O1648*H1648</f>
        <v>0</v>
      </c>
      <c r="Q1648" s="322">
        <v>0.3</v>
      </c>
      <c r="R1648" s="322">
        <f>Q1648*H1648</f>
        <v>0.3</v>
      </c>
      <c r="S1648" s="322">
        <v>0</v>
      </c>
      <c r="T1648" s="323">
        <f>S1648*H1648</f>
        <v>0</v>
      </c>
      <c r="U1648" s="222"/>
      <c r="V1648" s="222"/>
      <c r="W1648" s="222"/>
      <c r="X1648" s="222"/>
      <c r="Y1648" s="222"/>
      <c r="Z1648" s="222"/>
      <c r="AA1648" s="222"/>
      <c r="AB1648" s="222"/>
      <c r="AC1648" s="222"/>
      <c r="AD1648" s="222"/>
      <c r="AE1648" s="222"/>
      <c r="AR1648" s="324" t="s">
        <v>212</v>
      </c>
      <c r="AT1648" s="324" t="s">
        <v>148</v>
      </c>
      <c r="AU1648" s="324" t="s">
        <v>83</v>
      </c>
      <c r="AY1648" s="214" t="s">
        <v>146</v>
      </c>
      <c r="BE1648" s="325">
        <f>IF(N1648="základní",J1648,0)</f>
        <v>0</v>
      </c>
      <c r="BF1648" s="325">
        <f>IF(N1648="snížená",J1648,0)</f>
        <v>0</v>
      </c>
      <c r="BG1648" s="325">
        <f>IF(N1648="zákl. přenesená",J1648,0)</f>
        <v>0</v>
      </c>
      <c r="BH1648" s="325">
        <f>IF(N1648="sníž. přenesená",J1648,0)</f>
        <v>0</v>
      </c>
      <c r="BI1648" s="325">
        <f>IF(N1648="nulová",J1648,0)</f>
        <v>0</v>
      </c>
      <c r="BJ1648" s="214" t="s">
        <v>81</v>
      </c>
      <c r="BK1648" s="325">
        <f>ROUND(I1648*H1648,2)</f>
        <v>0</v>
      </c>
      <c r="BL1648" s="214" t="s">
        <v>212</v>
      </c>
      <c r="BM1648" s="324" t="s">
        <v>1170</v>
      </c>
    </row>
    <row r="1649" spans="2:51" s="326" customFormat="1" ht="12">
      <c r="B1649" s="327"/>
      <c r="D1649" s="328" t="s">
        <v>155</v>
      </c>
      <c r="E1649" s="329" t="s">
        <v>1</v>
      </c>
      <c r="F1649" s="330" t="s">
        <v>1169</v>
      </c>
      <c r="H1649" s="329" t="s">
        <v>1</v>
      </c>
      <c r="I1649" s="497"/>
      <c r="L1649" s="331"/>
      <c r="M1649" s="332"/>
      <c r="N1649" s="333"/>
      <c r="O1649" s="333"/>
      <c r="P1649" s="333"/>
      <c r="Q1649" s="333"/>
      <c r="R1649" s="333"/>
      <c r="S1649" s="333"/>
      <c r="T1649" s="334"/>
      <c r="AT1649" s="329" t="s">
        <v>155</v>
      </c>
      <c r="AU1649" s="329" t="s">
        <v>83</v>
      </c>
      <c r="AV1649" s="326" t="s">
        <v>81</v>
      </c>
      <c r="AW1649" s="326" t="s">
        <v>34</v>
      </c>
      <c r="AX1649" s="326" t="s">
        <v>76</v>
      </c>
      <c r="AY1649" s="329" t="s">
        <v>146</v>
      </c>
    </row>
    <row r="1650" spans="1:65" s="225" customFormat="1" ht="54" customHeight="1">
      <c r="A1650" s="222"/>
      <c r="B1650" s="223"/>
      <c r="C1650" s="314">
        <v>329</v>
      </c>
      <c r="D1650" s="314" t="s">
        <v>148</v>
      </c>
      <c r="E1650" s="315" t="s">
        <v>1171</v>
      </c>
      <c r="F1650" s="316" t="s">
        <v>2940</v>
      </c>
      <c r="G1650" s="317" t="s">
        <v>301</v>
      </c>
      <c r="H1650" s="318">
        <v>2</v>
      </c>
      <c r="I1650" s="79"/>
      <c r="J1650" s="319">
        <f>ROUND(I1650*H1650,2)</f>
        <v>0</v>
      </c>
      <c r="K1650" s="316"/>
      <c r="L1650" s="229"/>
      <c r="M1650" s="320" t="s">
        <v>1</v>
      </c>
      <c r="N1650" s="321" t="s">
        <v>42</v>
      </c>
      <c r="O1650" s="322">
        <v>0</v>
      </c>
      <c r="P1650" s="322">
        <f>O1650*H1650</f>
        <v>0</v>
      </c>
      <c r="Q1650" s="322">
        <v>0.01</v>
      </c>
      <c r="R1650" s="322">
        <f>Q1650*H1650</f>
        <v>0.02</v>
      </c>
      <c r="S1650" s="322">
        <v>0</v>
      </c>
      <c r="T1650" s="323">
        <f>S1650*H1650</f>
        <v>0</v>
      </c>
      <c r="U1650" s="222"/>
      <c r="V1650" s="222"/>
      <c r="W1650" s="222"/>
      <c r="X1650" s="222"/>
      <c r="Y1650" s="222"/>
      <c r="Z1650" s="222"/>
      <c r="AA1650" s="222"/>
      <c r="AB1650" s="222"/>
      <c r="AC1650" s="222"/>
      <c r="AD1650" s="222"/>
      <c r="AE1650" s="222"/>
      <c r="AR1650" s="324" t="s">
        <v>212</v>
      </c>
      <c r="AT1650" s="324" t="s">
        <v>148</v>
      </c>
      <c r="AU1650" s="324" t="s">
        <v>83</v>
      </c>
      <c r="AY1650" s="214" t="s">
        <v>146</v>
      </c>
      <c r="BE1650" s="325">
        <f>IF(N1650="základní",J1650,0)</f>
        <v>0</v>
      </c>
      <c r="BF1650" s="325">
        <f>IF(N1650="snížená",J1650,0)</f>
        <v>0</v>
      </c>
      <c r="BG1650" s="325">
        <f>IF(N1650="zákl. přenesená",J1650,0)</f>
        <v>0</v>
      </c>
      <c r="BH1650" s="325">
        <f>IF(N1650="sníž. přenesená",J1650,0)</f>
        <v>0</v>
      </c>
      <c r="BI1650" s="325">
        <f>IF(N1650="nulová",J1650,0)</f>
        <v>0</v>
      </c>
      <c r="BJ1650" s="214" t="s">
        <v>81</v>
      </c>
      <c r="BK1650" s="325">
        <f>ROUND(I1650*H1650,2)</f>
        <v>0</v>
      </c>
      <c r="BL1650" s="214" t="s">
        <v>212</v>
      </c>
      <c r="BM1650" s="324" t="s">
        <v>1172</v>
      </c>
    </row>
    <row r="1651" spans="2:51" s="326" customFormat="1" ht="12">
      <c r="B1651" s="327"/>
      <c r="D1651" s="328" t="s">
        <v>155</v>
      </c>
      <c r="E1651" s="329" t="s">
        <v>1</v>
      </c>
      <c r="F1651" s="330" t="s">
        <v>1171</v>
      </c>
      <c r="H1651" s="329" t="s">
        <v>1</v>
      </c>
      <c r="I1651" s="497"/>
      <c r="L1651" s="331"/>
      <c r="M1651" s="332"/>
      <c r="N1651" s="333"/>
      <c r="O1651" s="333"/>
      <c r="P1651" s="333"/>
      <c r="Q1651" s="333"/>
      <c r="R1651" s="333"/>
      <c r="S1651" s="333"/>
      <c r="T1651" s="334"/>
      <c r="AT1651" s="329" t="s">
        <v>155</v>
      </c>
      <c r="AU1651" s="329" t="s">
        <v>83</v>
      </c>
      <c r="AV1651" s="326" t="s">
        <v>81</v>
      </c>
      <c r="AW1651" s="326" t="s">
        <v>34</v>
      </c>
      <c r="AX1651" s="326" t="s">
        <v>76</v>
      </c>
      <c r="AY1651" s="329" t="s">
        <v>146</v>
      </c>
    </row>
    <row r="1652" spans="1:65" s="225" customFormat="1" ht="16.5" customHeight="1">
      <c r="A1652" s="222"/>
      <c r="B1652" s="223"/>
      <c r="C1652" s="314">
        <v>330</v>
      </c>
      <c r="D1652" s="314" t="s">
        <v>148</v>
      </c>
      <c r="E1652" s="315" t="s">
        <v>1173</v>
      </c>
      <c r="F1652" s="344" t="s">
        <v>3663</v>
      </c>
      <c r="G1652" s="317" t="s">
        <v>301</v>
      </c>
      <c r="H1652" s="318">
        <v>20</v>
      </c>
      <c r="I1652" s="79"/>
      <c r="J1652" s="319">
        <f>ROUND(I1652*H1652,2)</f>
        <v>0</v>
      </c>
      <c r="K1652" s="316"/>
      <c r="L1652" s="373"/>
      <c r="M1652" s="320" t="s">
        <v>1</v>
      </c>
      <c r="N1652" s="321" t="s">
        <v>42</v>
      </c>
      <c r="O1652" s="322">
        <v>0</v>
      </c>
      <c r="P1652" s="322">
        <f>O1652*H1652</f>
        <v>0</v>
      </c>
      <c r="Q1652" s="322">
        <v>0</v>
      </c>
      <c r="R1652" s="322">
        <f>Q1652*H1652</f>
        <v>0</v>
      </c>
      <c r="S1652" s="322">
        <v>0</v>
      </c>
      <c r="T1652" s="323">
        <f>S1652*H1652</f>
        <v>0</v>
      </c>
      <c r="U1652" s="222"/>
      <c r="V1652" s="222"/>
      <c r="W1652" s="222"/>
      <c r="X1652" s="222"/>
      <c r="Y1652" s="222"/>
      <c r="Z1652" s="222"/>
      <c r="AA1652" s="222"/>
      <c r="AB1652" s="222"/>
      <c r="AC1652" s="222"/>
      <c r="AD1652" s="222"/>
      <c r="AE1652" s="222"/>
      <c r="AR1652" s="324" t="s">
        <v>212</v>
      </c>
      <c r="AT1652" s="324" t="s">
        <v>148</v>
      </c>
      <c r="AU1652" s="324" t="s">
        <v>83</v>
      </c>
      <c r="AY1652" s="214" t="s">
        <v>146</v>
      </c>
      <c r="BE1652" s="325">
        <f>IF(N1652="základní",J1652,0)</f>
        <v>0</v>
      </c>
      <c r="BF1652" s="325">
        <f>IF(N1652="snížená",J1652,0)</f>
        <v>0</v>
      </c>
      <c r="BG1652" s="325">
        <f>IF(N1652="zákl. přenesená",J1652,0)</f>
        <v>0</v>
      </c>
      <c r="BH1652" s="325">
        <f>IF(N1652="sníž. přenesená",J1652,0)</f>
        <v>0</v>
      </c>
      <c r="BI1652" s="325">
        <f>IF(N1652="nulová",J1652,0)</f>
        <v>0</v>
      </c>
      <c r="BJ1652" s="214" t="s">
        <v>81</v>
      </c>
      <c r="BK1652" s="325">
        <f>ROUND(I1652*H1652,2)</f>
        <v>0</v>
      </c>
      <c r="BL1652" s="214" t="s">
        <v>212</v>
      </c>
      <c r="BM1652" s="324" t="s">
        <v>1174</v>
      </c>
    </row>
    <row r="1653" spans="2:51" s="326" customFormat="1" ht="33.75">
      <c r="B1653" s="327"/>
      <c r="D1653" s="328" t="s">
        <v>155</v>
      </c>
      <c r="E1653" s="329" t="s">
        <v>1</v>
      </c>
      <c r="F1653" s="345" t="s">
        <v>3665</v>
      </c>
      <c r="H1653" s="329" t="s">
        <v>1</v>
      </c>
      <c r="I1653" s="497"/>
      <c r="L1653" s="475"/>
      <c r="M1653" s="332"/>
      <c r="N1653" s="333"/>
      <c r="O1653" s="333"/>
      <c r="P1653" s="333"/>
      <c r="Q1653" s="333"/>
      <c r="R1653" s="333"/>
      <c r="S1653" s="333"/>
      <c r="T1653" s="334"/>
      <c r="AT1653" s="329" t="s">
        <v>155</v>
      </c>
      <c r="AU1653" s="329" t="s">
        <v>83</v>
      </c>
      <c r="AV1653" s="326" t="s">
        <v>81</v>
      </c>
      <c r="AW1653" s="326" t="s">
        <v>34</v>
      </c>
      <c r="AX1653" s="326" t="s">
        <v>76</v>
      </c>
      <c r="AY1653" s="329" t="s">
        <v>146</v>
      </c>
    </row>
    <row r="1654" spans="1:65" s="225" customFormat="1" ht="24.75" customHeight="1">
      <c r="A1654" s="222"/>
      <c r="B1654" s="223"/>
      <c r="C1654" s="314">
        <v>331</v>
      </c>
      <c r="D1654" s="314" t="s">
        <v>148</v>
      </c>
      <c r="E1654" s="315" t="s">
        <v>1173</v>
      </c>
      <c r="F1654" s="344" t="s">
        <v>3664</v>
      </c>
      <c r="G1654" s="317" t="s">
        <v>301</v>
      </c>
      <c r="H1654" s="318">
        <v>3</v>
      </c>
      <c r="I1654" s="79"/>
      <c r="J1654" s="319">
        <f>ROUND(I1654*H1654,2)</f>
        <v>0</v>
      </c>
      <c r="K1654" s="316"/>
      <c r="L1654" s="373"/>
      <c r="M1654" s="320" t="s">
        <v>1</v>
      </c>
      <c r="N1654" s="321" t="s">
        <v>42</v>
      </c>
      <c r="O1654" s="322">
        <v>0</v>
      </c>
      <c r="P1654" s="322">
        <f>O1654*H1654</f>
        <v>0</v>
      </c>
      <c r="Q1654" s="322">
        <v>0</v>
      </c>
      <c r="R1654" s="322">
        <f>Q1654*H1654</f>
        <v>0</v>
      </c>
      <c r="S1654" s="322">
        <v>0</v>
      </c>
      <c r="T1654" s="323">
        <f>S1654*H1654</f>
        <v>0</v>
      </c>
      <c r="U1654" s="222"/>
      <c r="V1654" s="222"/>
      <c r="W1654" s="222"/>
      <c r="X1654" s="222"/>
      <c r="Y1654" s="222"/>
      <c r="Z1654" s="222"/>
      <c r="AA1654" s="222"/>
      <c r="AB1654" s="222"/>
      <c r="AC1654" s="222"/>
      <c r="AD1654" s="222"/>
      <c r="AE1654" s="222"/>
      <c r="AR1654" s="324" t="s">
        <v>212</v>
      </c>
      <c r="AT1654" s="324" t="s">
        <v>148</v>
      </c>
      <c r="AU1654" s="324" t="s">
        <v>83</v>
      </c>
      <c r="AY1654" s="214" t="s">
        <v>146</v>
      </c>
      <c r="BE1654" s="325">
        <f>IF(N1654="základní",J1654,0)</f>
        <v>0</v>
      </c>
      <c r="BF1654" s="325">
        <f>IF(N1654="snížená",J1654,0)</f>
        <v>0</v>
      </c>
      <c r="BG1654" s="325">
        <f>IF(N1654="zákl. přenesená",J1654,0)</f>
        <v>0</v>
      </c>
      <c r="BH1654" s="325">
        <f>IF(N1654="sníž. přenesená",J1654,0)</f>
        <v>0</v>
      </c>
      <c r="BI1654" s="325">
        <f>IF(N1654="nulová",J1654,0)</f>
        <v>0</v>
      </c>
      <c r="BJ1654" s="214" t="s">
        <v>81</v>
      </c>
      <c r="BK1654" s="325">
        <f>ROUND(I1654*H1654,2)</f>
        <v>0</v>
      </c>
      <c r="BL1654" s="214" t="s">
        <v>212</v>
      </c>
      <c r="BM1654" s="324" t="s">
        <v>1174</v>
      </c>
    </row>
    <row r="1655" spans="2:51" s="326" customFormat="1" ht="45">
      <c r="B1655" s="327"/>
      <c r="D1655" s="328" t="s">
        <v>155</v>
      </c>
      <c r="E1655" s="329" t="s">
        <v>1</v>
      </c>
      <c r="F1655" s="345" t="s">
        <v>3660</v>
      </c>
      <c r="H1655" s="329" t="s">
        <v>1</v>
      </c>
      <c r="I1655" s="497"/>
      <c r="L1655" s="475"/>
      <c r="M1655" s="332"/>
      <c r="N1655" s="333"/>
      <c r="O1655" s="333"/>
      <c r="P1655" s="333"/>
      <c r="Q1655" s="333"/>
      <c r="R1655" s="333"/>
      <c r="S1655" s="333"/>
      <c r="T1655" s="334"/>
      <c r="AT1655" s="329" t="s">
        <v>155</v>
      </c>
      <c r="AU1655" s="329" t="s">
        <v>83</v>
      </c>
      <c r="AV1655" s="326" t="s">
        <v>81</v>
      </c>
      <c r="AW1655" s="326" t="s">
        <v>34</v>
      </c>
      <c r="AX1655" s="326" t="s">
        <v>76</v>
      </c>
      <c r="AY1655" s="329" t="s">
        <v>146</v>
      </c>
    </row>
    <row r="1656" spans="1:65" s="225" customFormat="1" ht="25.5" customHeight="1">
      <c r="A1656" s="222"/>
      <c r="B1656" s="223"/>
      <c r="C1656" s="314">
        <v>332</v>
      </c>
      <c r="D1656" s="314" t="s">
        <v>148</v>
      </c>
      <c r="E1656" s="315" t="s">
        <v>1173</v>
      </c>
      <c r="F1656" s="344" t="s">
        <v>3662</v>
      </c>
      <c r="G1656" s="317" t="s">
        <v>883</v>
      </c>
      <c r="H1656" s="318">
        <v>1</v>
      </c>
      <c r="I1656" s="79"/>
      <c r="J1656" s="319">
        <f>ROUND(I1656*H1656,2)</f>
        <v>0</v>
      </c>
      <c r="K1656" s="316"/>
      <c r="L1656" s="373"/>
      <c r="M1656" s="320" t="s">
        <v>1</v>
      </c>
      <c r="N1656" s="321" t="s">
        <v>42</v>
      </c>
      <c r="O1656" s="322">
        <v>0</v>
      </c>
      <c r="P1656" s="322">
        <f>O1656*H1656</f>
        <v>0</v>
      </c>
      <c r="Q1656" s="322">
        <v>0</v>
      </c>
      <c r="R1656" s="322">
        <f>Q1656*H1656</f>
        <v>0</v>
      </c>
      <c r="S1656" s="322">
        <v>0</v>
      </c>
      <c r="T1656" s="323">
        <f>S1656*H1656</f>
        <v>0</v>
      </c>
      <c r="U1656" s="222"/>
      <c r="V1656" s="222"/>
      <c r="W1656" s="222"/>
      <c r="X1656" s="222"/>
      <c r="Y1656" s="222"/>
      <c r="Z1656" s="222"/>
      <c r="AA1656" s="222"/>
      <c r="AB1656" s="222"/>
      <c r="AC1656" s="222"/>
      <c r="AD1656" s="222"/>
      <c r="AE1656" s="222"/>
      <c r="AR1656" s="324" t="s">
        <v>212</v>
      </c>
      <c r="AT1656" s="324" t="s">
        <v>148</v>
      </c>
      <c r="AU1656" s="324" t="s">
        <v>83</v>
      </c>
      <c r="AY1656" s="214" t="s">
        <v>146</v>
      </c>
      <c r="BE1656" s="325">
        <f>IF(N1656="základní",J1656,0)</f>
        <v>0</v>
      </c>
      <c r="BF1656" s="325">
        <f>IF(N1656="snížená",J1656,0)</f>
        <v>0</v>
      </c>
      <c r="BG1656" s="325">
        <f>IF(N1656="zákl. přenesená",J1656,0)</f>
        <v>0</v>
      </c>
      <c r="BH1656" s="325">
        <f>IF(N1656="sníž. přenesená",J1656,0)</f>
        <v>0</v>
      </c>
      <c r="BI1656" s="325">
        <f>IF(N1656="nulová",J1656,0)</f>
        <v>0</v>
      </c>
      <c r="BJ1656" s="214" t="s">
        <v>81</v>
      </c>
      <c r="BK1656" s="325">
        <f>ROUND(I1656*H1656,2)</f>
        <v>0</v>
      </c>
      <c r="BL1656" s="214" t="s">
        <v>212</v>
      </c>
      <c r="BM1656" s="324" t="s">
        <v>1174</v>
      </c>
    </row>
    <row r="1657" spans="2:51" s="326" customFormat="1" ht="12">
      <c r="B1657" s="327"/>
      <c r="D1657" s="328" t="s">
        <v>155</v>
      </c>
      <c r="E1657" s="329" t="s">
        <v>1</v>
      </c>
      <c r="F1657" s="345" t="s">
        <v>3661</v>
      </c>
      <c r="H1657" s="329" t="s">
        <v>1</v>
      </c>
      <c r="I1657" s="497"/>
      <c r="L1657" s="475"/>
      <c r="M1657" s="332"/>
      <c r="N1657" s="333"/>
      <c r="O1657" s="333"/>
      <c r="P1657" s="333"/>
      <c r="Q1657" s="333"/>
      <c r="R1657" s="333"/>
      <c r="S1657" s="333"/>
      <c r="T1657" s="334"/>
      <c r="AT1657" s="329" t="s">
        <v>155</v>
      </c>
      <c r="AU1657" s="329" t="s">
        <v>83</v>
      </c>
      <c r="AV1657" s="326" t="s">
        <v>81</v>
      </c>
      <c r="AW1657" s="326" t="s">
        <v>34</v>
      </c>
      <c r="AX1657" s="326" t="s">
        <v>76</v>
      </c>
      <c r="AY1657" s="329" t="s">
        <v>146</v>
      </c>
    </row>
    <row r="1658" spans="1:65" s="225" customFormat="1" ht="37.9" customHeight="1">
      <c r="A1658" s="222"/>
      <c r="B1658" s="223"/>
      <c r="C1658" s="314">
        <v>333</v>
      </c>
      <c r="D1658" s="314" t="s">
        <v>148</v>
      </c>
      <c r="E1658" s="315" t="s">
        <v>1175</v>
      </c>
      <c r="F1658" s="316" t="s">
        <v>2960</v>
      </c>
      <c r="G1658" s="317" t="s">
        <v>151</v>
      </c>
      <c r="H1658" s="318">
        <v>1.796</v>
      </c>
      <c r="I1658" s="79"/>
      <c r="J1658" s="319">
        <f>ROUND(I1658*H1658,2)</f>
        <v>0</v>
      </c>
      <c r="K1658" s="316"/>
      <c r="L1658" s="229"/>
      <c r="M1658" s="320" t="s">
        <v>1</v>
      </c>
      <c r="N1658" s="321" t="s">
        <v>42</v>
      </c>
      <c r="O1658" s="322">
        <v>0</v>
      </c>
      <c r="P1658" s="322">
        <f>O1658*H1658</f>
        <v>0</v>
      </c>
      <c r="Q1658" s="322">
        <v>0.005</v>
      </c>
      <c r="R1658" s="322">
        <f>Q1658*H1658</f>
        <v>0.00898</v>
      </c>
      <c r="S1658" s="322">
        <v>0</v>
      </c>
      <c r="T1658" s="323">
        <f>S1658*H1658</f>
        <v>0</v>
      </c>
      <c r="U1658" s="222"/>
      <c r="V1658" s="222"/>
      <c r="W1658" s="222"/>
      <c r="X1658" s="222"/>
      <c r="Y1658" s="222"/>
      <c r="Z1658" s="222"/>
      <c r="AA1658" s="222"/>
      <c r="AB1658" s="222"/>
      <c r="AC1658" s="222"/>
      <c r="AD1658" s="222"/>
      <c r="AE1658" s="222"/>
      <c r="AR1658" s="324" t="s">
        <v>212</v>
      </c>
      <c r="AT1658" s="324" t="s">
        <v>148</v>
      </c>
      <c r="AU1658" s="324" t="s">
        <v>83</v>
      </c>
      <c r="AY1658" s="214" t="s">
        <v>146</v>
      </c>
      <c r="BE1658" s="325">
        <f>IF(N1658="základní",J1658,0)</f>
        <v>0</v>
      </c>
      <c r="BF1658" s="325">
        <f>IF(N1658="snížená",J1658,0)</f>
        <v>0</v>
      </c>
      <c r="BG1658" s="325">
        <f>IF(N1658="zákl. přenesená",J1658,0)</f>
        <v>0</v>
      </c>
      <c r="BH1658" s="325">
        <f>IF(N1658="sníž. přenesená",J1658,0)</f>
        <v>0</v>
      </c>
      <c r="BI1658" s="325">
        <f>IF(N1658="nulová",J1658,0)</f>
        <v>0</v>
      </c>
      <c r="BJ1658" s="214" t="s">
        <v>81</v>
      </c>
      <c r="BK1658" s="325">
        <f>ROUND(I1658*H1658,2)</f>
        <v>0</v>
      </c>
      <c r="BL1658" s="214" t="s">
        <v>212</v>
      </c>
      <c r="BM1658" s="324" t="s">
        <v>1176</v>
      </c>
    </row>
    <row r="1659" spans="2:51" s="326" customFormat="1" ht="12">
      <c r="B1659" s="327"/>
      <c r="D1659" s="328" t="s">
        <v>155</v>
      </c>
      <c r="E1659" s="329" t="s">
        <v>1</v>
      </c>
      <c r="F1659" s="330" t="s">
        <v>1175</v>
      </c>
      <c r="H1659" s="329" t="s">
        <v>1</v>
      </c>
      <c r="I1659" s="497"/>
      <c r="L1659" s="331"/>
      <c r="M1659" s="332"/>
      <c r="N1659" s="333"/>
      <c r="O1659" s="333"/>
      <c r="P1659" s="333"/>
      <c r="Q1659" s="333"/>
      <c r="R1659" s="333"/>
      <c r="S1659" s="333"/>
      <c r="T1659" s="334"/>
      <c r="AT1659" s="329" t="s">
        <v>155</v>
      </c>
      <c r="AU1659" s="329" t="s">
        <v>83</v>
      </c>
      <c r="AV1659" s="326" t="s">
        <v>81</v>
      </c>
      <c r="AW1659" s="326" t="s">
        <v>34</v>
      </c>
      <c r="AX1659" s="326" t="s">
        <v>76</v>
      </c>
      <c r="AY1659" s="329" t="s">
        <v>146</v>
      </c>
    </row>
    <row r="1660" spans="1:65" s="225" customFormat="1" ht="55.5" customHeight="1">
      <c r="A1660" s="222"/>
      <c r="B1660" s="223"/>
      <c r="C1660" s="314">
        <v>334</v>
      </c>
      <c r="D1660" s="314" t="s">
        <v>148</v>
      </c>
      <c r="E1660" s="315" t="s">
        <v>1177</v>
      </c>
      <c r="F1660" s="316" t="s">
        <v>2961</v>
      </c>
      <c r="G1660" s="317" t="s">
        <v>151</v>
      </c>
      <c r="H1660" s="318">
        <v>1.926</v>
      </c>
      <c r="I1660" s="79"/>
      <c r="J1660" s="319">
        <f>ROUND(I1660*H1660,2)</f>
        <v>0</v>
      </c>
      <c r="K1660" s="316"/>
      <c r="L1660" s="229"/>
      <c r="M1660" s="320" t="s">
        <v>1</v>
      </c>
      <c r="N1660" s="321" t="s">
        <v>42</v>
      </c>
      <c r="O1660" s="322">
        <v>0.15</v>
      </c>
      <c r="P1660" s="322">
        <f>O1660*H1660</f>
        <v>0.2889</v>
      </c>
      <c r="Q1660" s="322">
        <v>0.005</v>
      </c>
      <c r="R1660" s="322">
        <f>Q1660*H1660</f>
        <v>0.00963</v>
      </c>
      <c r="S1660" s="322">
        <v>0</v>
      </c>
      <c r="T1660" s="323">
        <f>S1660*H1660</f>
        <v>0</v>
      </c>
      <c r="U1660" s="222"/>
      <c r="V1660" s="222"/>
      <c r="W1660" s="222"/>
      <c r="X1660" s="222"/>
      <c r="Y1660" s="222"/>
      <c r="Z1660" s="222"/>
      <c r="AA1660" s="222"/>
      <c r="AB1660" s="222"/>
      <c r="AC1660" s="222"/>
      <c r="AD1660" s="222"/>
      <c r="AE1660" s="222"/>
      <c r="AR1660" s="324" t="s">
        <v>212</v>
      </c>
      <c r="AT1660" s="324" t="s">
        <v>148</v>
      </c>
      <c r="AU1660" s="324" t="s">
        <v>83</v>
      </c>
      <c r="AY1660" s="214" t="s">
        <v>146</v>
      </c>
      <c r="BE1660" s="325">
        <f>IF(N1660="základní",J1660,0)</f>
        <v>0</v>
      </c>
      <c r="BF1660" s="325">
        <f>IF(N1660="snížená",J1660,0)</f>
        <v>0</v>
      </c>
      <c r="BG1660" s="325">
        <f>IF(N1660="zákl. přenesená",J1660,0)</f>
        <v>0</v>
      </c>
      <c r="BH1660" s="325">
        <f>IF(N1660="sníž. přenesená",J1660,0)</f>
        <v>0</v>
      </c>
      <c r="BI1660" s="325">
        <f>IF(N1660="nulová",J1660,0)</f>
        <v>0</v>
      </c>
      <c r="BJ1660" s="214" t="s">
        <v>81</v>
      </c>
      <c r="BK1660" s="325">
        <f>ROUND(I1660*H1660,2)</f>
        <v>0</v>
      </c>
      <c r="BL1660" s="214" t="s">
        <v>212</v>
      </c>
      <c r="BM1660" s="324" t="s">
        <v>1178</v>
      </c>
    </row>
    <row r="1661" spans="2:51" s="326" customFormat="1" ht="12">
      <c r="B1661" s="327"/>
      <c r="D1661" s="328" t="s">
        <v>155</v>
      </c>
      <c r="E1661" s="329" t="s">
        <v>1</v>
      </c>
      <c r="F1661" s="330" t="s">
        <v>1177</v>
      </c>
      <c r="H1661" s="329" t="s">
        <v>1</v>
      </c>
      <c r="I1661" s="497"/>
      <c r="L1661" s="331"/>
      <c r="M1661" s="332"/>
      <c r="N1661" s="333"/>
      <c r="O1661" s="333"/>
      <c r="P1661" s="333"/>
      <c r="Q1661" s="333"/>
      <c r="R1661" s="333"/>
      <c r="S1661" s="333"/>
      <c r="T1661" s="334"/>
      <c r="AT1661" s="329" t="s">
        <v>155</v>
      </c>
      <c r="AU1661" s="329" t="s">
        <v>83</v>
      </c>
      <c r="AV1661" s="326" t="s">
        <v>81</v>
      </c>
      <c r="AW1661" s="326" t="s">
        <v>34</v>
      </c>
      <c r="AX1661" s="326" t="s">
        <v>76</v>
      </c>
      <c r="AY1661" s="329" t="s">
        <v>146</v>
      </c>
    </row>
    <row r="1662" spans="1:65" s="225" customFormat="1" ht="24.2" customHeight="1">
      <c r="A1662" s="222"/>
      <c r="B1662" s="223"/>
      <c r="C1662" s="314">
        <v>335</v>
      </c>
      <c r="D1662" s="314" t="s">
        <v>148</v>
      </c>
      <c r="E1662" s="315" t="s">
        <v>1179</v>
      </c>
      <c r="F1662" s="316" t="s">
        <v>1180</v>
      </c>
      <c r="G1662" s="317" t="s">
        <v>158</v>
      </c>
      <c r="H1662" s="318">
        <f>H1663</f>
        <v>4</v>
      </c>
      <c r="I1662" s="79"/>
      <c r="J1662" s="319">
        <f>ROUND(I1662*H1662,2)</f>
        <v>0</v>
      </c>
      <c r="K1662" s="316"/>
      <c r="L1662" s="229"/>
      <c r="M1662" s="320" t="s">
        <v>1</v>
      </c>
      <c r="N1662" s="321" t="s">
        <v>42</v>
      </c>
      <c r="O1662" s="322">
        <v>0.15</v>
      </c>
      <c r="P1662" s="322">
        <f>O1662*H1662</f>
        <v>0.6</v>
      </c>
      <c r="Q1662" s="322">
        <v>0.0002</v>
      </c>
      <c r="R1662" s="322">
        <f>Q1662*H1662</f>
        <v>0.0008</v>
      </c>
      <c r="S1662" s="322">
        <v>0</v>
      </c>
      <c r="T1662" s="323">
        <f>S1662*H1662</f>
        <v>0</v>
      </c>
      <c r="U1662" s="222"/>
      <c r="V1662" s="222"/>
      <c r="W1662" s="222"/>
      <c r="X1662" s="222"/>
      <c r="Y1662" s="222"/>
      <c r="Z1662" s="222"/>
      <c r="AA1662" s="222"/>
      <c r="AB1662" s="222"/>
      <c r="AC1662" s="222"/>
      <c r="AD1662" s="222"/>
      <c r="AE1662" s="222"/>
      <c r="AR1662" s="324" t="s">
        <v>212</v>
      </c>
      <c r="AT1662" s="324" t="s">
        <v>148</v>
      </c>
      <c r="AU1662" s="324" t="s">
        <v>83</v>
      </c>
      <c r="AY1662" s="214" t="s">
        <v>146</v>
      </c>
      <c r="BE1662" s="325">
        <f>IF(N1662="základní",J1662,0)</f>
        <v>0</v>
      </c>
      <c r="BF1662" s="325">
        <f>IF(N1662="snížená",J1662,0)</f>
        <v>0</v>
      </c>
      <c r="BG1662" s="325">
        <f>IF(N1662="zákl. přenesená",J1662,0)</f>
        <v>0</v>
      </c>
      <c r="BH1662" s="325">
        <f>IF(N1662="sníž. přenesená",J1662,0)</f>
        <v>0</v>
      </c>
      <c r="BI1662" s="325">
        <f>IF(N1662="nulová",J1662,0)</f>
        <v>0</v>
      </c>
      <c r="BJ1662" s="214" t="s">
        <v>81</v>
      </c>
      <c r="BK1662" s="325">
        <f>ROUND(I1662*H1662,2)</f>
        <v>0</v>
      </c>
      <c r="BL1662" s="214" t="s">
        <v>212</v>
      </c>
      <c r="BM1662" s="324" t="s">
        <v>1181</v>
      </c>
    </row>
    <row r="1663" spans="2:51" s="326" customFormat="1" ht="12">
      <c r="B1663" s="327"/>
      <c r="D1663" s="328" t="s">
        <v>155</v>
      </c>
      <c r="E1663" s="329" t="s">
        <v>1</v>
      </c>
      <c r="F1663" s="330" t="s">
        <v>1179</v>
      </c>
      <c r="H1663" s="329">
        <f>2*1.6+0.8</f>
        <v>4</v>
      </c>
      <c r="I1663" s="497"/>
      <c r="L1663" s="331"/>
      <c r="M1663" s="332"/>
      <c r="N1663" s="333"/>
      <c r="O1663" s="333"/>
      <c r="P1663" s="333"/>
      <c r="Q1663" s="333"/>
      <c r="R1663" s="333"/>
      <c r="S1663" s="333"/>
      <c r="T1663" s="334"/>
      <c r="AT1663" s="329" t="s">
        <v>155</v>
      </c>
      <c r="AU1663" s="329" t="s">
        <v>83</v>
      </c>
      <c r="AV1663" s="326" t="s">
        <v>81</v>
      </c>
      <c r="AW1663" s="326" t="s">
        <v>34</v>
      </c>
      <c r="AX1663" s="326" t="s">
        <v>76</v>
      </c>
      <c r="AY1663" s="329" t="s">
        <v>146</v>
      </c>
    </row>
    <row r="1664" spans="1:65" s="225" customFormat="1" ht="24.2" customHeight="1">
      <c r="A1664" s="222"/>
      <c r="B1664" s="223"/>
      <c r="C1664" s="314">
        <v>336</v>
      </c>
      <c r="D1664" s="314" t="s">
        <v>148</v>
      </c>
      <c r="E1664" s="315" t="s">
        <v>1182</v>
      </c>
      <c r="F1664" s="316" t="s">
        <v>1183</v>
      </c>
      <c r="G1664" s="317" t="s">
        <v>158</v>
      </c>
      <c r="H1664" s="318">
        <f>H1665</f>
        <v>8.3</v>
      </c>
      <c r="I1664" s="79"/>
      <c r="J1664" s="319">
        <f>ROUND(I1664*H1664,2)</f>
        <v>0</v>
      </c>
      <c r="K1664" s="316"/>
      <c r="L1664" s="229"/>
      <c r="M1664" s="320" t="s">
        <v>1</v>
      </c>
      <c r="N1664" s="321" t="s">
        <v>42</v>
      </c>
      <c r="O1664" s="322">
        <v>0.15</v>
      </c>
      <c r="P1664" s="322">
        <f>O1664*H1664</f>
        <v>1.245</v>
      </c>
      <c r="Q1664" s="322">
        <v>0.0002</v>
      </c>
      <c r="R1664" s="322">
        <f>Q1664*H1664</f>
        <v>0.0016600000000000002</v>
      </c>
      <c r="S1664" s="322">
        <v>0</v>
      </c>
      <c r="T1664" s="323">
        <f>S1664*H1664</f>
        <v>0</v>
      </c>
      <c r="U1664" s="222"/>
      <c r="V1664" s="222"/>
      <c r="W1664" s="222"/>
      <c r="X1664" s="222"/>
      <c r="Y1664" s="222"/>
      <c r="Z1664" s="222"/>
      <c r="AA1664" s="222"/>
      <c r="AB1664" s="222"/>
      <c r="AC1664" s="222"/>
      <c r="AD1664" s="222"/>
      <c r="AE1664" s="222"/>
      <c r="AR1664" s="324" t="s">
        <v>212</v>
      </c>
      <c r="AT1664" s="324" t="s">
        <v>148</v>
      </c>
      <c r="AU1664" s="324" t="s">
        <v>83</v>
      </c>
      <c r="AY1664" s="214" t="s">
        <v>146</v>
      </c>
      <c r="BE1664" s="325">
        <f>IF(N1664="základní",J1664,0)</f>
        <v>0</v>
      </c>
      <c r="BF1664" s="325">
        <f>IF(N1664="snížená",J1664,0)</f>
        <v>0</v>
      </c>
      <c r="BG1664" s="325">
        <f>IF(N1664="zákl. přenesená",J1664,0)</f>
        <v>0</v>
      </c>
      <c r="BH1664" s="325">
        <f>IF(N1664="sníž. přenesená",J1664,0)</f>
        <v>0</v>
      </c>
      <c r="BI1664" s="325">
        <f>IF(N1664="nulová",J1664,0)</f>
        <v>0</v>
      </c>
      <c r="BJ1664" s="214" t="s">
        <v>81</v>
      </c>
      <c r="BK1664" s="325">
        <f>ROUND(I1664*H1664,2)</f>
        <v>0</v>
      </c>
      <c r="BL1664" s="214" t="s">
        <v>212</v>
      </c>
      <c r="BM1664" s="324" t="s">
        <v>1184</v>
      </c>
    </row>
    <row r="1665" spans="2:51" s="426" customFormat="1" ht="12">
      <c r="B1665" s="474"/>
      <c r="D1665" s="376" t="s">
        <v>155</v>
      </c>
      <c r="E1665" s="427" t="s">
        <v>1</v>
      </c>
      <c r="F1665" s="345" t="s">
        <v>1182</v>
      </c>
      <c r="H1665" s="427">
        <f>6*0.8+5*0.7</f>
        <v>8.3</v>
      </c>
      <c r="I1665" s="505"/>
      <c r="L1665" s="475"/>
      <c r="M1665" s="476"/>
      <c r="N1665" s="477"/>
      <c r="O1665" s="477"/>
      <c r="P1665" s="477"/>
      <c r="Q1665" s="477"/>
      <c r="R1665" s="477"/>
      <c r="S1665" s="477"/>
      <c r="T1665" s="478"/>
      <c r="AT1665" s="427" t="s">
        <v>155</v>
      </c>
      <c r="AU1665" s="427" t="s">
        <v>83</v>
      </c>
      <c r="AV1665" s="426" t="s">
        <v>81</v>
      </c>
      <c r="AW1665" s="426" t="s">
        <v>34</v>
      </c>
      <c r="AX1665" s="426" t="s">
        <v>76</v>
      </c>
      <c r="AY1665" s="427" t="s">
        <v>146</v>
      </c>
    </row>
    <row r="1666" spans="1:65" s="225" customFormat="1" ht="24.2" customHeight="1">
      <c r="A1666" s="222"/>
      <c r="B1666" s="223"/>
      <c r="C1666" s="314">
        <v>337</v>
      </c>
      <c r="D1666" s="314" t="s">
        <v>148</v>
      </c>
      <c r="E1666" s="315" t="s">
        <v>1185</v>
      </c>
      <c r="F1666" s="316" t="s">
        <v>2968</v>
      </c>
      <c r="G1666" s="317" t="s">
        <v>301</v>
      </c>
      <c r="H1666" s="318">
        <v>1</v>
      </c>
      <c r="I1666" s="79"/>
      <c r="J1666" s="319">
        <f>ROUND(I1666*H1666,2)</f>
        <v>0</v>
      </c>
      <c r="K1666" s="316"/>
      <c r="L1666" s="229"/>
      <c r="M1666" s="320" t="s">
        <v>1</v>
      </c>
      <c r="N1666" s="321" t="s">
        <v>42</v>
      </c>
      <c r="O1666" s="322">
        <v>0.15</v>
      </c>
      <c r="P1666" s="322">
        <f>O1666*H1666</f>
        <v>0.15</v>
      </c>
      <c r="Q1666" s="322">
        <v>0.04</v>
      </c>
      <c r="R1666" s="322">
        <f>Q1666*H1666</f>
        <v>0.04</v>
      </c>
      <c r="S1666" s="322">
        <v>0</v>
      </c>
      <c r="T1666" s="323">
        <f>S1666*H1666</f>
        <v>0</v>
      </c>
      <c r="U1666" s="222"/>
      <c r="V1666" s="222"/>
      <c r="W1666" s="222"/>
      <c r="X1666" s="222"/>
      <c r="Y1666" s="222"/>
      <c r="Z1666" s="222"/>
      <c r="AA1666" s="222"/>
      <c r="AB1666" s="222"/>
      <c r="AC1666" s="222"/>
      <c r="AD1666" s="222"/>
      <c r="AE1666" s="222"/>
      <c r="AR1666" s="324" t="s">
        <v>212</v>
      </c>
      <c r="AT1666" s="324" t="s">
        <v>148</v>
      </c>
      <c r="AU1666" s="324" t="s">
        <v>83</v>
      </c>
      <c r="AY1666" s="214" t="s">
        <v>146</v>
      </c>
      <c r="BE1666" s="325">
        <f>IF(N1666="základní",J1666,0)</f>
        <v>0</v>
      </c>
      <c r="BF1666" s="325">
        <f>IF(N1666="snížená",J1666,0)</f>
        <v>0</v>
      </c>
      <c r="BG1666" s="325">
        <f>IF(N1666="zákl. přenesená",J1666,0)</f>
        <v>0</v>
      </c>
      <c r="BH1666" s="325">
        <f>IF(N1666="sníž. přenesená",J1666,0)</f>
        <v>0</v>
      </c>
      <c r="BI1666" s="325">
        <f>IF(N1666="nulová",J1666,0)</f>
        <v>0</v>
      </c>
      <c r="BJ1666" s="214" t="s">
        <v>81</v>
      </c>
      <c r="BK1666" s="325">
        <f>ROUND(I1666*H1666,2)</f>
        <v>0</v>
      </c>
      <c r="BL1666" s="214" t="s">
        <v>212</v>
      </c>
      <c r="BM1666" s="324" t="s">
        <v>1186</v>
      </c>
    </row>
    <row r="1667" spans="2:51" s="326" customFormat="1" ht="12">
      <c r="B1667" s="327"/>
      <c r="D1667" s="328" t="s">
        <v>155</v>
      </c>
      <c r="E1667" s="329" t="s">
        <v>1</v>
      </c>
      <c r="F1667" s="330" t="s">
        <v>1185</v>
      </c>
      <c r="H1667" s="329" t="s">
        <v>1</v>
      </c>
      <c r="I1667" s="497"/>
      <c r="L1667" s="331"/>
      <c r="M1667" s="332"/>
      <c r="N1667" s="333"/>
      <c r="O1667" s="333"/>
      <c r="P1667" s="333"/>
      <c r="Q1667" s="333"/>
      <c r="R1667" s="333"/>
      <c r="S1667" s="333"/>
      <c r="T1667" s="334"/>
      <c r="AT1667" s="329" t="s">
        <v>155</v>
      </c>
      <c r="AU1667" s="329" t="s">
        <v>83</v>
      </c>
      <c r="AV1667" s="326" t="s">
        <v>81</v>
      </c>
      <c r="AW1667" s="326" t="s">
        <v>34</v>
      </c>
      <c r="AX1667" s="326" t="s">
        <v>76</v>
      </c>
      <c r="AY1667" s="329" t="s">
        <v>146</v>
      </c>
    </row>
    <row r="1668" spans="1:65" s="225" customFormat="1" ht="65.25" customHeight="1">
      <c r="A1668" s="222"/>
      <c r="B1668" s="223"/>
      <c r="C1668" s="314">
        <v>338</v>
      </c>
      <c r="D1668" s="314" t="s">
        <v>148</v>
      </c>
      <c r="E1668" s="315" t="s">
        <v>1187</v>
      </c>
      <c r="F1668" s="316" t="s">
        <v>2969</v>
      </c>
      <c r="G1668" s="317" t="s">
        <v>301</v>
      </c>
      <c r="H1668" s="318">
        <v>1</v>
      </c>
      <c r="I1668" s="79"/>
      <c r="J1668" s="319">
        <f>ROUND(I1668*H1668,2)</f>
        <v>0</v>
      </c>
      <c r="K1668" s="316"/>
      <c r="L1668" s="229"/>
      <c r="M1668" s="320" t="s">
        <v>1</v>
      </c>
      <c r="N1668" s="321" t="s">
        <v>42</v>
      </c>
      <c r="O1668" s="322">
        <v>0.15</v>
      </c>
      <c r="P1668" s="322">
        <f>O1668*H1668</f>
        <v>0.15</v>
      </c>
      <c r="Q1668" s="322">
        <v>0.005</v>
      </c>
      <c r="R1668" s="322">
        <f>Q1668*H1668</f>
        <v>0.005</v>
      </c>
      <c r="S1668" s="322">
        <v>0</v>
      </c>
      <c r="T1668" s="323">
        <f>S1668*H1668</f>
        <v>0</v>
      </c>
      <c r="U1668" s="222"/>
      <c r="V1668" s="222"/>
      <c r="W1668" s="222"/>
      <c r="X1668" s="222"/>
      <c r="Y1668" s="222"/>
      <c r="Z1668" s="222"/>
      <c r="AA1668" s="222"/>
      <c r="AB1668" s="222"/>
      <c r="AC1668" s="222"/>
      <c r="AD1668" s="222"/>
      <c r="AE1668" s="222"/>
      <c r="AR1668" s="324" t="s">
        <v>212</v>
      </c>
      <c r="AT1668" s="324" t="s">
        <v>148</v>
      </c>
      <c r="AU1668" s="324" t="s">
        <v>83</v>
      </c>
      <c r="AY1668" s="214" t="s">
        <v>146</v>
      </c>
      <c r="BE1668" s="325">
        <f>IF(N1668="základní",J1668,0)</f>
        <v>0</v>
      </c>
      <c r="BF1668" s="325">
        <f>IF(N1668="snížená",J1668,0)</f>
        <v>0</v>
      </c>
      <c r="BG1668" s="325">
        <f>IF(N1668="zákl. přenesená",J1668,0)</f>
        <v>0</v>
      </c>
      <c r="BH1668" s="325">
        <f>IF(N1668="sníž. přenesená",J1668,0)</f>
        <v>0</v>
      </c>
      <c r="BI1668" s="325">
        <f>IF(N1668="nulová",J1668,0)</f>
        <v>0</v>
      </c>
      <c r="BJ1668" s="214" t="s">
        <v>81</v>
      </c>
      <c r="BK1668" s="325">
        <f>ROUND(I1668*H1668,2)</f>
        <v>0</v>
      </c>
      <c r="BL1668" s="214" t="s">
        <v>212</v>
      </c>
      <c r="BM1668" s="324" t="s">
        <v>1188</v>
      </c>
    </row>
    <row r="1669" spans="2:51" s="326" customFormat="1" ht="12">
      <c r="B1669" s="327"/>
      <c r="D1669" s="328" t="s">
        <v>155</v>
      </c>
      <c r="E1669" s="329" t="s">
        <v>1</v>
      </c>
      <c r="F1669" s="330" t="s">
        <v>1187</v>
      </c>
      <c r="H1669" s="329" t="s">
        <v>1</v>
      </c>
      <c r="I1669" s="497"/>
      <c r="L1669" s="331"/>
      <c r="M1669" s="332"/>
      <c r="N1669" s="333"/>
      <c r="O1669" s="333"/>
      <c r="P1669" s="333"/>
      <c r="Q1669" s="333"/>
      <c r="R1669" s="333"/>
      <c r="S1669" s="333"/>
      <c r="T1669" s="334"/>
      <c r="AT1669" s="329" t="s">
        <v>155</v>
      </c>
      <c r="AU1669" s="329" t="s">
        <v>83</v>
      </c>
      <c r="AV1669" s="326" t="s">
        <v>81</v>
      </c>
      <c r="AW1669" s="326" t="s">
        <v>34</v>
      </c>
      <c r="AX1669" s="326" t="s">
        <v>76</v>
      </c>
      <c r="AY1669" s="329" t="s">
        <v>146</v>
      </c>
    </row>
    <row r="1670" spans="1:65" s="225" customFormat="1" ht="89.25" customHeight="1">
      <c r="A1670" s="222"/>
      <c r="B1670" s="223"/>
      <c r="C1670" s="314">
        <v>339</v>
      </c>
      <c r="D1670" s="314" t="s">
        <v>148</v>
      </c>
      <c r="E1670" s="315" t="s">
        <v>2971</v>
      </c>
      <c r="F1670" s="316" t="s">
        <v>3138</v>
      </c>
      <c r="G1670" s="317" t="s">
        <v>301</v>
      </c>
      <c r="H1670" s="318">
        <v>2</v>
      </c>
      <c r="I1670" s="79"/>
      <c r="J1670" s="319">
        <f>ROUND(I1670*H1670,2)</f>
        <v>0</v>
      </c>
      <c r="K1670" s="316"/>
      <c r="L1670" s="229"/>
      <c r="M1670" s="320" t="s">
        <v>1</v>
      </c>
      <c r="N1670" s="321" t="s">
        <v>42</v>
      </c>
      <c r="O1670" s="322">
        <v>0.15</v>
      </c>
      <c r="P1670" s="322">
        <f>O1670*H1670</f>
        <v>0.3</v>
      </c>
      <c r="Q1670" s="322">
        <v>0.1</v>
      </c>
      <c r="R1670" s="322">
        <f>Q1670*H1670</f>
        <v>0.2</v>
      </c>
      <c r="S1670" s="322">
        <v>0</v>
      </c>
      <c r="T1670" s="323">
        <f>S1670*H1670</f>
        <v>0</v>
      </c>
      <c r="U1670" s="222"/>
      <c r="V1670" s="222"/>
      <c r="W1670" s="222"/>
      <c r="X1670" s="222"/>
      <c r="Y1670" s="222"/>
      <c r="Z1670" s="222"/>
      <c r="AA1670" s="222"/>
      <c r="AB1670" s="222"/>
      <c r="AC1670" s="222"/>
      <c r="AD1670" s="222"/>
      <c r="AE1670" s="222"/>
      <c r="AR1670" s="324" t="s">
        <v>212</v>
      </c>
      <c r="AT1670" s="324" t="s">
        <v>148</v>
      </c>
      <c r="AU1670" s="324" t="s">
        <v>83</v>
      </c>
      <c r="AY1670" s="214" t="s">
        <v>146</v>
      </c>
      <c r="BE1670" s="325">
        <f>IF(N1670="základní",J1670,0)</f>
        <v>0</v>
      </c>
      <c r="BF1670" s="325">
        <f>IF(N1670="snížená",J1670,0)</f>
        <v>0</v>
      </c>
      <c r="BG1670" s="325">
        <f>IF(N1670="zákl. přenesená",J1670,0)</f>
        <v>0</v>
      </c>
      <c r="BH1670" s="325">
        <f>IF(N1670="sníž. přenesená",J1670,0)</f>
        <v>0</v>
      </c>
      <c r="BI1670" s="325">
        <f>IF(N1670="nulová",J1670,0)</f>
        <v>0</v>
      </c>
      <c r="BJ1670" s="214" t="s">
        <v>81</v>
      </c>
      <c r="BK1670" s="325">
        <f>ROUND(I1670*H1670,2)</f>
        <v>0</v>
      </c>
      <c r="BL1670" s="214" t="s">
        <v>212</v>
      </c>
      <c r="BM1670" s="324" t="s">
        <v>1188</v>
      </c>
    </row>
    <row r="1671" spans="2:51" s="326" customFormat="1" ht="12">
      <c r="B1671" s="327"/>
      <c r="D1671" s="328" t="s">
        <v>155</v>
      </c>
      <c r="E1671" s="329" t="s">
        <v>1</v>
      </c>
      <c r="F1671" s="330" t="s">
        <v>2971</v>
      </c>
      <c r="H1671" s="329" t="s">
        <v>1</v>
      </c>
      <c r="I1671" s="497"/>
      <c r="L1671" s="331"/>
      <c r="M1671" s="332"/>
      <c r="N1671" s="333"/>
      <c r="O1671" s="333"/>
      <c r="P1671" s="333"/>
      <c r="Q1671" s="333"/>
      <c r="R1671" s="333"/>
      <c r="S1671" s="333"/>
      <c r="T1671" s="334"/>
      <c r="AT1671" s="329" t="s">
        <v>155</v>
      </c>
      <c r="AU1671" s="329" t="s">
        <v>83</v>
      </c>
      <c r="AV1671" s="326" t="s">
        <v>81</v>
      </c>
      <c r="AW1671" s="326" t="s">
        <v>34</v>
      </c>
      <c r="AX1671" s="326" t="s">
        <v>76</v>
      </c>
      <c r="AY1671" s="329" t="s">
        <v>146</v>
      </c>
    </row>
    <row r="1672" spans="1:65" s="263" customFormat="1" ht="24.2" customHeight="1">
      <c r="A1672" s="258"/>
      <c r="B1672" s="259"/>
      <c r="C1672" s="357">
        <v>340</v>
      </c>
      <c r="D1672" s="357" t="s">
        <v>148</v>
      </c>
      <c r="E1672" s="397" t="s">
        <v>1189</v>
      </c>
      <c r="F1672" s="344" t="s">
        <v>2970</v>
      </c>
      <c r="G1672" s="399" t="s">
        <v>194</v>
      </c>
      <c r="H1672" s="400">
        <f>R1605</f>
        <v>5.193374159999999</v>
      </c>
      <c r="I1672" s="85"/>
      <c r="J1672" s="401">
        <f>ROUND(I1672*H1672,2)</f>
        <v>0</v>
      </c>
      <c r="K1672" s="344"/>
      <c r="L1672" s="373"/>
      <c r="M1672" s="402" t="s">
        <v>1</v>
      </c>
      <c r="N1672" s="403" t="s">
        <v>42</v>
      </c>
      <c r="O1672" s="404">
        <v>0</v>
      </c>
      <c r="P1672" s="404">
        <f>O1672*H1672</f>
        <v>0</v>
      </c>
      <c r="Q1672" s="404"/>
      <c r="R1672" s="404"/>
      <c r="S1672" s="404"/>
      <c r="T1672" s="405"/>
      <c r="U1672" s="258"/>
      <c r="V1672" s="258"/>
      <c r="W1672" s="258"/>
      <c r="X1672" s="258"/>
      <c r="Y1672" s="258"/>
      <c r="Z1672" s="258"/>
      <c r="AA1672" s="258"/>
      <c r="AB1672" s="258"/>
      <c r="AC1672" s="258"/>
      <c r="AD1672" s="258"/>
      <c r="AE1672" s="258"/>
      <c r="AR1672" s="260" t="s">
        <v>212</v>
      </c>
      <c r="AT1672" s="260" t="s">
        <v>148</v>
      </c>
      <c r="AU1672" s="260" t="s">
        <v>83</v>
      </c>
      <c r="AY1672" s="406" t="s">
        <v>146</v>
      </c>
      <c r="BE1672" s="407">
        <f>IF(N1672="základní",J1672,0)</f>
        <v>0</v>
      </c>
      <c r="BF1672" s="407">
        <f>IF(N1672="snížená",J1672,0)</f>
        <v>0</v>
      </c>
      <c r="BG1672" s="407">
        <f>IF(N1672="zákl. přenesená",J1672,0)</f>
        <v>0</v>
      </c>
      <c r="BH1672" s="407">
        <f>IF(N1672="sníž. přenesená",J1672,0)</f>
        <v>0</v>
      </c>
      <c r="BI1672" s="407">
        <f>IF(N1672="nulová",J1672,0)</f>
        <v>0</v>
      </c>
      <c r="BJ1672" s="406" t="s">
        <v>81</v>
      </c>
      <c r="BK1672" s="407">
        <f>ROUND(I1672*H1672,2)</f>
        <v>0</v>
      </c>
      <c r="BL1672" s="406" t="s">
        <v>212</v>
      </c>
      <c r="BM1672" s="260" t="s">
        <v>1190</v>
      </c>
    </row>
    <row r="1673" spans="2:63" s="297" customFormat="1" ht="22.9" customHeight="1">
      <c r="B1673" s="298"/>
      <c r="D1673" s="299" t="s">
        <v>75</v>
      </c>
      <c r="E1673" s="310" t="s">
        <v>1191</v>
      </c>
      <c r="F1673" s="310" t="s">
        <v>1192</v>
      </c>
      <c r="I1673" s="501"/>
      <c r="J1673" s="311">
        <f>SUM(J1674:J1767)</f>
        <v>0</v>
      </c>
      <c r="L1673" s="302"/>
      <c r="M1673" s="303"/>
      <c r="N1673" s="304"/>
      <c r="O1673" s="304"/>
      <c r="P1673" s="305">
        <f>SUM(P1674:P1767)</f>
        <v>480.47547925</v>
      </c>
      <c r="Q1673" s="304"/>
      <c r="R1673" s="305">
        <f>SUM(R1674:R1767)</f>
        <v>7.370458735000001</v>
      </c>
      <c r="S1673" s="304"/>
      <c r="T1673" s="313">
        <f>SUM(T1674:T1767)</f>
        <v>19.3745659</v>
      </c>
      <c r="AR1673" s="299" t="s">
        <v>83</v>
      </c>
      <c r="AT1673" s="308" t="s">
        <v>75</v>
      </c>
      <c r="AU1673" s="308" t="s">
        <v>81</v>
      </c>
      <c r="AY1673" s="299" t="s">
        <v>146</v>
      </c>
      <c r="BK1673" s="309">
        <f>SUM(BK1674:BK1767)</f>
        <v>0</v>
      </c>
    </row>
    <row r="1674" spans="1:65" s="225" customFormat="1" ht="16.5" customHeight="1">
      <c r="A1674" s="222"/>
      <c r="B1674" s="223"/>
      <c r="C1674" s="314">
        <v>341</v>
      </c>
      <c r="D1674" s="314" t="s">
        <v>148</v>
      </c>
      <c r="E1674" s="315" t="s">
        <v>1193</v>
      </c>
      <c r="F1674" s="344" t="s">
        <v>1194</v>
      </c>
      <c r="G1674" s="317" t="s">
        <v>151</v>
      </c>
      <c r="H1674" s="318">
        <f>H1675</f>
        <v>180.68000000000004</v>
      </c>
      <c r="I1674" s="79"/>
      <c r="J1674" s="319">
        <f>ROUND(I1674*H1674,2)</f>
        <v>0</v>
      </c>
      <c r="K1674" s="316"/>
      <c r="L1674" s="229"/>
      <c r="M1674" s="320" t="s">
        <v>1</v>
      </c>
      <c r="N1674" s="321" t="s">
        <v>42</v>
      </c>
      <c r="O1674" s="322">
        <v>0.044</v>
      </c>
      <c r="P1674" s="322">
        <f>O1674*H1674</f>
        <v>7.949920000000001</v>
      </c>
      <c r="Q1674" s="322">
        <v>0.0003</v>
      </c>
      <c r="R1674" s="322">
        <f>Q1674*H1674</f>
        <v>0.05420400000000001</v>
      </c>
      <c r="S1674" s="322">
        <v>0</v>
      </c>
      <c r="T1674" s="323">
        <f>S1674*H1674</f>
        <v>0</v>
      </c>
      <c r="U1674" s="222"/>
      <c r="V1674" s="222"/>
      <c r="W1674" s="222"/>
      <c r="X1674" s="222"/>
      <c r="Y1674" s="222"/>
      <c r="Z1674" s="222"/>
      <c r="AA1674" s="222"/>
      <c r="AB1674" s="222"/>
      <c r="AC1674" s="222"/>
      <c r="AD1674" s="222"/>
      <c r="AE1674" s="222"/>
      <c r="AR1674" s="324" t="s">
        <v>212</v>
      </c>
      <c r="AT1674" s="324" t="s">
        <v>148</v>
      </c>
      <c r="AU1674" s="324" t="s">
        <v>83</v>
      </c>
      <c r="AY1674" s="214" t="s">
        <v>146</v>
      </c>
      <c r="BE1674" s="325">
        <f>IF(N1674="základní",J1674,0)</f>
        <v>0</v>
      </c>
      <c r="BF1674" s="325">
        <f>IF(N1674="snížená",J1674,0)</f>
        <v>0</v>
      </c>
      <c r="BG1674" s="325">
        <f>IF(N1674="zákl. přenesená",J1674,0)</f>
        <v>0</v>
      </c>
      <c r="BH1674" s="325">
        <f>IF(N1674="sníž. přenesená",J1674,0)</f>
        <v>0</v>
      </c>
      <c r="BI1674" s="325">
        <f>IF(N1674="nulová",J1674,0)</f>
        <v>0</v>
      </c>
      <c r="BJ1674" s="214" t="s">
        <v>81</v>
      </c>
      <c r="BK1674" s="325">
        <f>ROUND(I1674*H1674,2)</f>
        <v>0</v>
      </c>
      <c r="BL1674" s="214" t="s">
        <v>212</v>
      </c>
      <c r="BM1674" s="324" t="s">
        <v>1195</v>
      </c>
    </row>
    <row r="1675" spans="2:51" s="335" customFormat="1" ht="22.5">
      <c r="B1675" s="336"/>
      <c r="D1675" s="328" t="s">
        <v>155</v>
      </c>
      <c r="E1675" s="337" t="s">
        <v>3667</v>
      </c>
      <c r="F1675" s="346" t="s">
        <v>3669</v>
      </c>
      <c r="H1675" s="339">
        <f>22.72+32.64+31.7+29.47+15.83+2.59+2.77+2.96+21.72+18.28</f>
        <v>180.68000000000004</v>
      </c>
      <c r="I1675" s="498"/>
      <c r="L1675" s="340"/>
      <c r="M1675" s="341"/>
      <c r="N1675" s="342"/>
      <c r="O1675" s="342"/>
      <c r="P1675" s="342"/>
      <c r="Q1675" s="342"/>
      <c r="R1675" s="342"/>
      <c r="S1675" s="342"/>
      <c r="T1675" s="343"/>
      <c r="AT1675" s="337" t="s">
        <v>155</v>
      </c>
      <c r="AU1675" s="337" t="s">
        <v>83</v>
      </c>
      <c r="AV1675" s="335" t="s">
        <v>83</v>
      </c>
      <c r="AW1675" s="335" t="s">
        <v>34</v>
      </c>
      <c r="AX1675" s="335" t="s">
        <v>76</v>
      </c>
      <c r="AY1675" s="337" t="s">
        <v>146</v>
      </c>
    </row>
    <row r="1676" spans="1:65" s="225" customFormat="1" ht="24.2" customHeight="1">
      <c r="A1676" s="222"/>
      <c r="B1676" s="223"/>
      <c r="C1676" s="314">
        <v>342</v>
      </c>
      <c r="D1676" s="314" t="s">
        <v>148</v>
      </c>
      <c r="E1676" s="315" t="s">
        <v>1196</v>
      </c>
      <c r="F1676" s="344" t="s">
        <v>2972</v>
      </c>
      <c r="G1676" s="317" t="s">
        <v>151</v>
      </c>
      <c r="H1676" s="318">
        <f>H1677</f>
        <v>9.12</v>
      </c>
      <c r="I1676" s="79"/>
      <c r="J1676" s="319">
        <f>ROUND(I1676*H1676,2)</f>
        <v>0</v>
      </c>
      <c r="K1676" s="316"/>
      <c r="L1676" s="229"/>
      <c r="M1676" s="320" t="s">
        <v>1</v>
      </c>
      <c r="N1676" s="321" t="s">
        <v>42</v>
      </c>
      <c r="O1676" s="322">
        <v>0.45</v>
      </c>
      <c r="P1676" s="322">
        <f>O1676*H1676</f>
        <v>4.104</v>
      </c>
      <c r="Q1676" s="322">
        <v>0.0255</v>
      </c>
      <c r="R1676" s="322">
        <f>Q1676*H1676</f>
        <v>0.23255999999999996</v>
      </c>
      <c r="S1676" s="322">
        <v>0</v>
      </c>
      <c r="T1676" s="323">
        <f>S1676*H1676</f>
        <v>0</v>
      </c>
      <c r="U1676" s="222"/>
      <c r="V1676" s="222"/>
      <c r="W1676" s="222"/>
      <c r="X1676" s="222"/>
      <c r="Y1676" s="222"/>
      <c r="Z1676" s="222"/>
      <c r="AA1676" s="222"/>
      <c r="AB1676" s="222"/>
      <c r="AC1676" s="222"/>
      <c r="AD1676" s="222"/>
      <c r="AE1676" s="222"/>
      <c r="AR1676" s="324" t="s">
        <v>212</v>
      </c>
      <c r="AT1676" s="324" t="s">
        <v>148</v>
      </c>
      <c r="AU1676" s="324" t="s">
        <v>83</v>
      </c>
      <c r="AY1676" s="214" t="s">
        <v>146</v>
      </c>
      <c r="BE1676" s="325">
        <f>IF(N1676="základní",J1676,0)</f>
        <v>0</v>
      </c>
      <c r="BF1676" s="325">
        <f>IF(N1676="snížená",J1676,0)</f>
        <v>0</v>
      </c>
      <c r="BG1676" s="325">
        <f>IF(N1676="zákl. přenesená",J1676,0)</f>
        <v>0</v>
      </c>
      <c r="BH1676" s="325">
        <f>IF(N1676="sníž. přenesená",J1676,0)</f>
        <v>0</v>
      </c>
      <c r="BI1676" s="325">
        <f>IF(N1676="nulová",J1676,0)</f>
        <v>0</v>
      </c>
      <c r="BJ1676" s="214" t="s">
        <v>81</v>
      </c>
      <c r="BK1676" s="325">
        <f>ROUND(I1676*H1676,2)</f>
        <v>0</v>
      </c>
      <c r="BL1676" s="214" t="s">
        <v>212</v>
      </c>
      <c r="BM1676" s="324" t="s">
        <v>1197</v>
      </c>
    </row>
    <row r="1677" spans="2:51" s="335" customFormat="1" ht="12">
      <c r="B1677" s="336"/>
      <c r="D1677" s="328" t="s">
        <v>155</v>
      </c>
      <c r="E1677" s="337"/>
      <c r="F1677" s="346" t="s">
        <v>1198</v>
      </c>
      <c r="H1677" s="339">
        <v>9.12</v>
      </c>
      <c r="I1677" s="498"/>
      <c r="L1677" s="340"/>
      <c r="M1677" s="341"/>
      <c r="N1677" s="342"/>
      <c r="O1677" s="342"/>
      <c r="P1677" s="342"/>
      <c r="Q1677" s="342"/>
      <c r="R1677" s="342"/>
      <c r="S1677" s="342"/>
      <c r="T1677" s="343"/>
      <c r="AT1677" s="337" t="s">
        <v>155</v>
      </c>
      <c r="AU1677" s="337" t="s">
        <v>83</v>
      </c>
      <c r="AV1677" s="335" t="s">
        <v>83</v>
      </c>
      <c r="AW1677" s="335" t="s">
        <v>34</v>
      </c>
      <c r="AX1677" s="335" t="s">
        <v>76</v>
      </c>
      <c r="AY1677" s="337" t="s">
        <v>146</v>
      </c>
    </row>
    <row r="1678" spans="1:65" s="225" customFormat="1" ht="24.2" customHeight="1">
      <c r="A1678" s="222"/>
      <c r="B1678" s="223"/>
      <c r="C1678" s="314">
        <v>343</v>
      </c>
      <c r="D1678" s="314" t="s">
        <v>148</v>
      </c>
      <c r="E1678" s="315" t="s">
        <v>1199</v>
      </c>
      <c r="F1678" s="344" t="s">
        <v>1200</v>
      </c>
      <c r="G1678" s="317" t="s">
        <v>158</v>
      </c>
      <c r="H1678" s="318">
        <v>43</v>
      </c>
      <c r="I1678" s="79"/>
      <c r="J1678" s="319">
        <f>ROUND(I1678*H1678,2)</f>
        <v>0</v>
      </c>
      <c r="K1678" s="316"/>
      <c r="L1678" s="229"/>
      <c r="M1678" s="320" t="s">
        <v>1</v>
      </c>
      <c r="N1678" s="321" t="s">
        <v>42</v>
      </c>
      <c r="O1678" s="322">
        <v>0.052</v>
      </c>
      <c r="P1678" s="322">
        <f>O1678*H1678</f>
        <v>2.2359999999999998</v>
      </c>
      <c r="Q1678" s="322">
        <v>0</v>
      </c>
      <c r="R1678" s="322">
        <f>Q1678*H1678</f>
        <v>0</v>
      </c>
      <c r="S1678" s="322">
        <v>0</v>
      </c>
      <c r="T1678" s="323">
        <f>S1678*H1678</f>
        <v>0</v>
      </c>
      <c r="U1678" s="222"/>
      <c r="V1678" s="222"/>
      <c r="W1678" s="222"/>
      <c r="X1678" s="222"/>
      <c r="Y1678" s="222"/>
      <c r="Z1678" s="222"/>
      <c r="AA1678" s="222"/>
      <c r="AB1678" s="222"/>
      <c r="AC1678" s="222"/>
      <c r="AD1678" s="222"/>
      <c r="AE1678" s="222"/>
      <c r="AR1678" s="324" t="s">
        <v>212</v>
      </c>
      <c r="AT1678" s="324" t="s">
        <v>148</v>
      </c>
      <c r="AU1678" s="324" t="s">
        <v>83</v>
      </c>
      <c r="AY1678" s="214" t="s">
        <v>146</v>
      </c>
      <c r="BE1678" s="325">
        <f>IF(N1678="základní",J1678,0)</f>
        <v>0</v>
      </c>
      <c r="BF1678" s="325">
        <f>IF(N1678="snížená",J1678,0)</f>
        <v>0</v>
      </c>
      <c r="BG1678" s="325">
        <f>IF(N1678="zákl. přenesená",J1678,0)</f>
        <v>0</v>
      </c>
      <c r="BH1678" s="325">
        <f>IF(N1678="sníž. přenesená",J1678,0)</f>
        <v>0</v>
      </c>
      <c r="BI1678" s="325">
        <f>IF(N1678="nulová",J1678,0)</f>
        <v>0</v>
      </c>
      <c r="BJ1678" s="214" t="s">
        <v>81</v>
      </c>
      <c r="BK1678" s="325">
        <f>ROUND(I1678*H1678,2)</f>
        <v>0</v>
      </c>
      <c r="BL1678" s="214" t="s">
        <v>212</v>
      </c>
      <c r="BM1678" s="324" t="s">
        <v>1201</v>
      </c>
    </row>
    <row r="1679" spans="1:65" s="225" customFormat="1" ht="21.75" customHeight="1">
      <c r="A1679" s="222"/>
      <c r="B1679" s="223"/>
      <c r="C1679" s="358">
        <v>344</v>
      </c>
      <c r="D1679" s="358" t="s">
        <v>208</v>
      </c>
      <c r="E1679" s="359" t="s">
        <v>1202</v>
      </c>
      <c r="F1679" s="360" t="s">
        <v>1203</v>
      </c>
      <c r="G1679" s="361" t="s">
        <v>158</v>
      </c>
      <c r="H1679" s="362">
        <v>47.3</v>
      </c>
      <c r="I1679" s="80"/>
      <c r="J1679" s="363">
        <f>ROUND(I1679*H1679,2)</f>
        <v>0</v>
      </c>
      <c r="K1679" s="364"/>
      <c r="L1679" s="365"/>
      <c r="M1679" s="366" t="s">
        <v>1</v>
      </c>
      <c r="N1679" s="367" t="s">
        <v>42</v>
      </c>
      <c r="O1679" s="322">
        <v>0</v>
      </c>
      <c r="P1679" s="322">
        <f>O1679*H1679</f>
        <v>0</v>
      </c>
      <c r="Q1679" s="322">
        <v>0.0001</v>
      </c>
      <c r="R1679" s="322">
        <f>Q1679*H1679</f>
        <v>0.00473</v>
      </c>
      <c r="S1679" s="322">
        <v>0</v>
      </c>
      <c r="T1679" s="323">
        <f>S1679*H1679</f>
        <v>0</v>
      </c>
      <c r="U1679" s="222"/>
      <c r="V1679" s="222"/>
      <c r="W1679" s="222"/>
      <c r="X1679" s="222"/>
      <c r="Y1679" s="222"/>
      <c r="Z1679" s="222"/>
      <c r="AA1679" s="222"/>
      <c r="AB1679" s="222"/>
      <c r="AC1679" s="222"/>
      <c r="AD1679" s="222"/>
      <c r="AE1679" s="222"/>
      <c r="AR1679" s="324" t="s">
        <v>298</v>
      </c>
      <c r="AT1679" s="324" t="s">
        <v>208</v>
      </c>
      <c r="AU1679" s="324" t="s">
        <v>83</v>
      </c>
      <c r="AY1679" s="214" t="s">
        <v>146</v>
      </c>
      <c r="BE1679" s="325">
        <f>IF(N1679="základní",J1679,0)</f>
        <v>0</v>
      </c>
      <c r="BF1679" s="325">
        <f>IF(N1679="snížená",J1679,0)</f>
        <v>0</v>
      </c>
      <c r="BG1679" s="325">
        <f>IF(N1679="zákl. přenesená",J1679,0)</f>
        <v>0</v>
      </c>
      <c r="BH1679" s="325">
        <f>IF(N1679="sníž. přenesená",J1679,0)</f>
        <v>0</v>
      </c>
      <c r="BI1679" s="325">
        <f>IF(N1679="nulová",J1679,0)</f>
        <v>0</v>
      </c>
      <c r="BJ1679" s="214" t="s">
        <v>81</v>
      </c>
      <c r="BK1679" s="325">
        <f>ROUND(I1679*H1679,2)</f>
        <v>0</v>
      </c>
      <c r="BL1679" s="214" t="s">
        <v>212</v>
      </c>
      <c r="BM1679" s="324" t="s">
        <v>1204</v>
      </c>
    </row>
    <row r="1680" spans="2:51" s="335" customFormat="1" ht="12">
      <c r="B1680" s="336"/>
      <c r="D1680" s="328" t="s">
        <v>155</v>
      </c>
      <c r="F1680" s="346" t="s">
        <v>1205</v>
      </c>
      <c r="H1680" s="339">
        <v>47.3</v>
      </c>
      <c r="I1680" s="498"/>
      <c r="L1680" s="340"/>
      <c r="M1680" s="341"/>
      <c r="N1680" s="342"/>
      <c r="O1680" s="342"/>
      <c r="P1680" s="342"/>
      <c r="Q1680" s="342"/>
      <c r="R1680" s="342"/>
      <c r="S1680" s="342"/>
      <c r="T1680" s="343"/>
      <c r="AT1680" s="337" t="s">
        <v>155</v>
      </c>
      <c r="AU1680" s="337" t="s">
        <v>83</v>
      </c>
      <c r="AV1680" s="335" t="s">
        <v>83</v>
      </c>
      <c r="AW1680" s="335" t="s">
        <v>3</v>
      </c>
      <c r="AX1680" s="335" t="s">
        <v>81</v>
      </c>
      <c r="AY1680" s="337" t="s">
        <v>146</v>
      </c>
    </row>
    <row r="1681" spans="1:65" s="225" customFormat="1" ht="24.2" customHeight="1">
      <c r="A1681" s="222"/>
      <c r="B1681" s="223"/>
      <c r="C1681" s="314">
        <v>345</v>
      </c>
      <c r="D1681" s="314" t="s">
        <v>148</v>
      </c>
      <c r="E1681" s="315" t="s">
        <v>1206</v>
      </c>
      <c r="F1681" s="344" t="s">
        <v>3756</v>
      </c>
      <c r="G1681" s="317" t="s">
        <v>158</v>
      </c>
      <c r="H1681" s="318">
        <f>H1682</f>
        <v>4</v>
      </c>
      <c r="I1681" s="79"/>
      <c r="J1681" s="319">
        <f>ROUND(I1681*H1681,2)</f>
        <v>0</v>
      </c>
      <c r="K1681" s="316"/>
      <c r="L1681" s="229"/>
      <c r="M1681" s="320" t="s">
        <v>1</v>
      </c>
      <c r="N1681" s="321" t="s">
        <v>42</v>
      </c>
      <c r="O1681" s="322">
        <v>0.17</v>
      </c>
      <c r="P1681" s="322">
        <f>O1681*H1681</f>
        <v>0.68</v>
      </c>
      <c r="Q1681" s="322">
        <v>0.000335</v>
      </c>
      <c r="R1681" s="322">
        <f>Q1681*H1681</f>
        <v>0.00134</v>
      </c>
      <c r="S1681" s="322">
        <v>0</v>
      </c>
      <c r="T1681" s="323">
        <f>S1681*H1681</f>
        <v>0</v>
      </c>
      <c r="U1681" s="222"/>
      <c r="V1681" s="222"/>
      <c r="W1681" s="222"/>
      <c r="X1681" s="222"/>
      <c r="Y1681" s="222"/>
      <c r="Z1681" s="222"/>
      <c r="AA1681" s="222"/>
      <c r="AB1681" s="222"/>
      <c r="AC1681" s="222"/>
      <c r="AD1681" s="222"/>
      <c r="AE1681" s="222"/>
      <c r="AR1681" s="324" t="s">
        <v>212</v>
      </c>
      <c r="AT1681" s="324" t="s">
        <v>148</v>
      </c>
      <c r="AU1681" s="324" t="s">
        <v>83</v>
      </c>
      <c r="AY1681" s="214" t="s">
        <v>146</v>
      </c>
      <c r="BE1681" s="325">
        <f>IF(N1681="základní",J1681,0)</f>
        <v>0</v>
      </c>
      <c r="BF1681" s="325">
        <f>IF(N1681="snížená",J1681,0)</f>
        <v>0</v>
      </c>
      <c r="BG1681" s="325">
        <f>IF(N1681="zákl. přenesená",J1681,0)</f>
        <v>0</v>
      </c>
      <c r="BH1681" s="325">
        <f>IF(N1681="sníž. přenesená",J1681,0)</f>
        <v>0</v>
      </c>
      <c r="BI1681" s="325">
        <f>IF(N1681="nulová",J1681,0)</f>
        <v>0</v>
      </c>
      <c r="BJ1681" s="214" t="s">
        <v>81</v>
      </c>
      <c r="BK1681" s="325">
        <f>ROUND(I1681*H1681,2)</f>
        <v>0</v>
      </c>
      <c r="BL1681" s="214" t="s">
        <v>212</v>
      </c>
      <c r="BM1681" s="324" t="s">
        <v>1207</v>
      </c>
    </row>
    <row r="1682" spans="2:51" s="335" customFormat="1" ht="12">
      <c r="B1682" s="336"/>
      <c r="D1682" s="328" t="s">
        <v>155</v>
      </c>
      <c r="E1682" s="337" t="s">
        <v>1</v>
      </c>
      <c r="F1682" s="346" t="s">
        <v>3757</v>
      </c>
      <c r="H1682" s="339">
        <f>2*1.6+0.8</f>
        <v>4</v>
      </c>
      <c r="I1682" s="498"/>
      <c r="L1682" s="340"/>
      <c r="M1682" s="341"/>
      <c r="N1682" s="342"/>
      <c r="O1682" s="342"/>
      <c r="P1682" s="342"/>
      <c r="Q1682" s="342"/>
      <c r="R1682" s="342"/>
      <c r="S1682" s="342"/>
      <c r="T1682" s="343"/>
      <c r="AT1682" s="337" t="s">
        <v>155</v>
      </c>
      <c r="AU1682" s="337" t="s">
        <v>83</v>
      </c>
      <c r="AV1682" s="335" t="s">
        <v>83</v>
      </c>
      <c r="AW1682" s="335" t="s">
        <v>34</v>
      </c>
      <c r="AX1682" s="335" t="s">
        <v>76</v>
      </c>
      <c r="AY1682" s="337" t="s">
        <v>146</v>
      </c>
    </row>
    <row r="1683" spans="1:65" s="225" customFormat="1" ht="16.5" customHeight="1">
      <c r="A1683" s="222"/>
      <c r="B1683" s="223"/>
      <c r="C1683" s="358">
        <v>346</v>
      </c>
      <c r="D1683" s="358" t="s">
        <v>208</v>
      </c>
      <c r="E1683" s="359"/>
      <c r="F1683" s="360" t="s">
        <v>2973</v>
      </c>
      <c r="G1683" s="361" t="s">
        <v>158</v>
      </c>
      <c r="H1683" s="362">
        <f>H1681*1.1</f>
        <v>4.4</v>
      </c>
      <c r="I1683" s="80"/>
      <c r="J1683" s="363">
        <f>ROUND(I1683*H1683,2)</f>
        <v>0</v>
      </c>
      <c r="K1683" s="364"/>
      <c r="L1683" s="365"/>
      <c r="M1683" s="366" t="s">
        <v>1</v>
      </c>
      <c r="N1683" s="367" t="s">
        <v>42</v>
      </c>
      <c r="O1683" s="322">
        <v>0</v>
      </c>
      <c r="P1683" s="322">
        <f>O1683*H1683</f>
        <v>0</v>
      </c>
      <c r="Q1683" s="322">
        <v>0.00036</v>
      </c>
      <c r="R1683" s="322">
        <f>Q1683*H1683</f>
        <v>0.0015840000000000001</v>
      </c>
      <c r="S1683" s="322">
        <v>0</v>
      </c>
      <c r="T1683" s="323">
        <f>S1683*H1683</f>
        <v>0</v>
      </c>
      <c r="U1683" s="222"/>
      <c r="V1683" s="222"/>
      <c r="W1683" s="222"/>
      <c r="X1683" s="222"/>
      <c r="Y1683" s="222"/>
      <c r="Z1683" s="222"/>
      <c r="AA1683" s="222"/>
      <c r="AB1683" s="222"/>
      <c r="AC1683" s="222"/>
      <c r="AD1683" s="222"/>
      <c r="AE1683" s="222"/>
      <c r="AR1683" s="324" t="s">
        <v>298</v>
      </c>
      <c r="AT1683" s="324" t="s">
        <v>208</v>
      </c>
      <c r="AU1683" s="324" t="s">
        <v>83</v>
      </c>
      <c r="AY1683" s="214" t="s">
        <v>146</v>
      </c>
      <c r="BE1683" s="325">
        <f>IF(N1683="základní",J1683,0)</f>
        <v>0</v>
      </c>
      <c r="BF1683" s="325">
        <f>IF(N1683="snížená",J1683,0)</f>
        <v>0</v>
      </c>
      <c r="BG1683" s="325">
        <f>IF(N1683="zákl. přenesená",J1683,0)</f>
        <v>0</v>
      </c>
      <c r="BH1683" s="325">
        <f>IF(N1683="sníž. přenesená",J1683,0)</f>
        <v>0</v>
      </c>
      <c r="BI1683" s="325">
        <f>IF(N1683="nulová",J1683,0)</f>
        <v>0</v>
      </c>
      <c r="BJ1683" s="214" t="s">
        <v>81</v>
      </c>
      <c r="BK1683" s="325">
        <f>ROUND(I1683*H1683,2)</f>
        <v>0</v>
      </c>
      <c r="BL1683" s="214" t="s">
        <v>212</v>
      </c>
      <c r="BM1683" s="324" t="s">
        <v>1208</v>
      </c>
    </row>
    <row r="1684" spans="2:51" s="335" customFormat="1" ht="12">
      <c r="B1684" s="336"/>
      <c r="D1684" s="328" t="s">
        <v>155</v>
      </c>
      <c r="F1684" s="346" t="s">
        <v>2886</v>
      </c>
      <c r="H1684" s="339"/>
      <c r="I1684" s="498"/>
      <c r="L1684" s="340"/>
      <c r="M1684" s="341"/>
      <c r="N1684" s="342"/>
      <c r="O1684" s="342"/>
      <c r="P1684" s="342"/>
      <c r="Q1684" s="342"/>
      <c r="R1684" s="342"/>
      <c r="S1684" s="342"/>
      <c r="T1684" s="343"/>
      <c r="AT1684" s="337" t="s">
        <v>155</v>
      </c>
      <c r="AU1684" s="337" t="s">
        <v>83</v>
      </c>
      <c r="AV1684" s="335" t="s">
        <v>83</v>
      </c>
      <c r="AW1684" s="335" t="s">
        <v>3</v>
      </c>
      <c r="AX1684" s="335" t="s">
        <v>81</v>
      </c>
      <c r="AY1684" s="337" t="s">
        <v>146</v>
      </c>
    </row>
    <row r="1685" spans="1:65" s="225" customFormat="1" ht="24.2" customHeight="1">
      <c r="A1685" s="222"/>
      <c r="B1685" s="223"/>
      <c r="C1685" s="314">
        <v>347</v>
      </c>
      <c r="D1685" s="314" t="s">
        <v>148</v>
      </c>
      <c r="E1685" s="315" t="s">
        <v>1209</v>
      </c>
      <c r="F1685" s="344" t="s">
        <v>1210</v>
      </c>
      <c r="G1685" s="317" t="s">
        <v>158</v>
      </c>
      <c r="H1685" s="318">
        <f>H1686</f>
        <v>55.199999999999996</v>
      </c>
      <c r="I1685" s="79"/>
      <c r="J1685" s="319">
        <f>ROUND(I1685*H1685,2)</f>
        <v>0</v>
      </c>
      <c r="K1685" s="316"/>
      <c r="L1685" s="229"/>
      <c r="M1685" s="320" t="s">
        <v>1</v>
      </c>
      <c r="N1685" s="321" t="s">
        <v>42</v>
      </c>
      <c r="O1685" s="322">
        <v>0.302</v>
      </c>
      <c r="P1685" s="322">
        <f>O1685*H1685</f>
        <v>16.670399999999997</v>
      </c>
      <c r="Q1685" s="322">
        <v>0</v>
      </c>
      <c r="R1685" s="322">
        <f>Q1685*H1685</f>
        <v>0</v>
      </c>
      <c r="S1685" s="322">
        <v>0.02911</v>
      </c>
      <c r="T1685" s="454">
        <f>S1685*H1685</f>
        <v>1.6068719999999999</v>
      </c>
      <c r="U1685" s="222"/>
      <c r="V1685" s="222"/>
      <c r="W1685" s="222"/>
      <c r="X1685" s="222"/>
      <c r="Y1685" s="222"/>
      <c r="Z1685" s="222"/>
      <c r="AA1685" s="222"/>
      <c r="AB1685" s="222"/>
      <c r="AC1685" s="222"/>
      <c r="AD1685" s="222"/>
      <c r="AE1685" s="222"/>
      <c r="AR1685" s="324" t="s">
        <v>212</v>
      </c>
      <c r="AT1685" s="324" t="s">
        <v>148</v>
      </c>
      <c r="AU1685" s="324" t="s">
        <v>83</v>
      </c>
      <c r="AY1685" s="214" t="s">
        <v>146</v>
      </c>
      <c r="BE1685" s="325">
        <f>IF(N1685="základní",J1685,0)</f>
        <v>0</v>
      </c>
      <c r="BF1685" s="325">
        <f>IF(N1685="snížená",J1685,0)</f>
        <v>0</v>
      </c>
      <c r="BG1685" s="325">
        <f>IF(N1685="zákl. přenesená",J1685,0)</f>
        <v>0</v>
      </c>
      <c r="BH1685" s="325">
        <f>IF(N1685="sníž. přenesená",J1685,0)</f>
        <v>0</v>
      </c>
      <c r="BI1685" s="325">
        <f>IF(N1685="nulová",J1685,0)</f>
        <v>0</v>
      </c>
      <c r="BJ1685" s="214" t="s">
        <v>81</v>
      </c>
      <c r="BK1685" s="325">
        <f>ROUND(I1685*H1685,2)</f>
        <v>0</v>
      </c>
      <c r="BL1685" s="214" t="s">
        <v>212</v>
      </c>
      <c r="BM1685" s="324" t="s">
        <v>1211</v>
      </c>
    </row>
    <row r="1686" spans="2:51" s="335" customFormat="1" ht="12">
      <c r="B1686" s="336"/>
      <c r="D1686" s="328" t="s">
        <v>155</v>
      </c>
      <c r="E1686" s="337" t="s">
        <v>1</v>
      </c>
      <c r="F1686" s="346" t="s">
        <v>2974</v>
      </c>
      <c r="H1686" s="339">
        <f>1.2*(12+11)*2</f>
        <v>55.199999999999996</v>
      </c>
      <c r="I1686" s="498"/>
      <c r="L1686" s="340"/>
      <c r="M1686" s="341"/>
      <c r="N1686" s="342"/>
      <c r="O1686" s="342"/>
      <c r="P1686" s="342"/>
      <c r="Q1686" s="342"/>
      <c r="R1686" s="342"/>
      <c r="S1686" s="342"/>
      <c r="T1686" s="343"/>
      <c r="AT1686" s="337" t="s">
        <v>155</v>
      </c>
      <c r="AU1686" s="337" t="s">
        <v>83</v>
      </c>
      <c r="AV1686" s="335" t="s">
        <v>83</v>
      </c>
      <c r="AW1686" s="335" t="s">
        <v>34</v>
      </c>
      <c r="AX1686" s="335" t="s">
        <v>76</v>
      </c>
      <c r="AY1686" s="337" t="s">
        <v>146</v>
      </c>
    </row>
    <row r="1687" spans="1:65" s="225" customFormat="1" ht="24.2" customHeight="1">
      <c r="A1687" s="222"/>
      <c r="B1687" s="223"/>
      <c r="C1687" s="314">
        <v>348</v>
      </c>
      <c r="D1687" s="314" t="s">
        <v>148</v>
      </c>
      <c r="E1687" s="315" t="s">
        <v>1212</v>
      </c>
      <c r="F1687" s="344" t="s">
        <v>1213</v>
      </c>
      <c r="G1687" s="317" t="s">
        <v>158</v>
      </c>
      <c r="H1687" s="318">
        <f>H1688</f>
        <v>55.199999999999996</v>
      </c>
      <c r="I1687" s="79"/>
      <c r="J1687" s="319">
        <f>ROUND(I1687*H1687,2)</f>
        <v>0</v>
      </c>
      <c r="K1687" s="316"/>
      <c r="L1687" s="229"/>
      <c r="M1687" s="320" t="s">
        <v>1</v>
      </c>
      <c r="N1687" s="321" t="s">
        <v>42</v>
      </c>
      <c r="O1687" s="322">
        <v>0.178</v>
      </c>
      <c r="P1687" s="322">
        <f>O1687*H1687</f>
        <v>9.825599999999998</v>
      </c>
      <c r="Q1687" s="322">
        <v>0</v>
      </c>
      <c r="R1687" s="322">
        <f>Q1687*H1687</f>
        <v>0</v>
      </c>
      <c r="S1687" s="322">
        <v>0.021</v>
      </c>
      <c r="T1687" s="454">
        <f>S1687*H1687</f>
        <v>1.1592</v>
      </c>
      <c r="U1687" s="222"/>
      <c r="V1687" s="222"/>
      <c r="W1687" s="222"/>
      <c r="X1687" s="222"/>
      <c r="Y1687" s="222"/>
      <c r="Z1687" s="222"/>
      <c r="AA1687" s="222"/>
      <c r="AB1687" s="222"/>
      <c r="AC1687" s="222"/>
      <c r="AD1687" s="222"/>
      <c r="AE1687" s="222"/>
      <c r="AR1687" s="324" t="s">
        <v>212</v>
      </c>
      <c r="AT1687" s="324" t="s">
        <v>148</v>
      </c>
      <c r="AU1687" s="324" t="s">
        <v>83</v>
      </c>
      <c r="AY1687" s="214" t="s">
        <v>146</v>
      </c>
      <c r="BE1687" s="325">
        <f>IF(N1687="základní",J1687,0)</f>
        <v>0</v>
      </c>
      <c r="BF1687" s="325">
        <f>IF(N1687="snížená",J1687,0)</f>
        <v>0</v>
      </c>
      <c r="BG1687" s="325">
        <f>IF(N1687="zákl. přenesená",J1687,0)</f>
        <v>0</v>
      </c>
      <c r="BH1687" s="325">
        <f>IF(N1687="sníž. přenesená",J1687,0)</f>
        <v>0</v>
      </c>
      <c r="BI1687" s="325">
        <f>IF(N1687="nulová",J1687,0)</f>
        <v>0</v>
      </c>
      <c r="BJ1687" s="214" t="s">
        <v>81</v>
      </c>
      <c r="BK1687" s="325">
        <f>ROUND(I1687*H1687,2)</f>
        <v>0</v>
      </c>
      <c r="BL1687" s="214" t="s">
        <v>212</v>
      </c>
      <c r="BM1687" s="324" t="s">
        <v>1214</v>
      </c>
    </row>
    <row r="1688" spans="2:51" s="335" customFormat="1" ht="12">
      <c r="B1688" s="336"/>
      <c r="D1688" s="328" t="s">
        <v>155</v>
      </c>
      <c r="E1688" s="337" t="s">
        <v>1</v>
      </c>
      <c r="F1688" s="346" t="s">
        <v>2974</v>
      </c>
      <c r="H1688" s="339">
        <f>1.2*(12+11)*2</f>
        <v>55.199999999999996</v>
      </c>
      <c r="I1688" s="498"/>
      <c r="L1688" s="340"/>
      <c r="M1688" s="341"/>
      <c r="N1688" s="342"/>
      <c r="O1688" s="342"/>
      <c r="P1688" s="342"/>
      <c r="Q1688" s="342"/>
      <c r="R1688" s="342"/>
      <c r="S1688" s="342"/>
      <c r="T1688" s="343"/>
      <c r="AT1688" s="337" t="s">
        <v>155</v>
      </c>
      <c r="AU1688" s="337" t="s">
        <v>83</v>
      </c>
      <c r="AV1688" s="335" t="s">
        <v>83</v>
      </c>
      <c r="AW1688" s="335" t="s">
        <v>34</v>
      </c>
      <c r="AX1688" s="335" t="s">
        <v>76</v>
      </c>
      <c r="AY1688" s="337" t="s">
        <v>146</v>
      </c>
    </row>
    <row r="1689" spans="1:65" s="225" customFormat="1" ht="33" customHeight="1">
      <c r="A1689" s="222"/>
      <c r="B1689" s="223"/>
      <c r="C1689" s="314">
        <v>349</v>
      </c>
      <c r="D1689" s="314" t="s">
        <v>148</v>
      </c>
      <c r="E1689" s="315" t="s">
        <v>1215</v>
      </c>
      <c r="F1689" s="344" t="s">
        <v>1216</v>
      </c>
      <c r="G1689" s="317" t="s">
        <v>158</v>
      </c>
      <c r="H1689" s="318">
        <f>H1690</f>
        <v>55.199999999999996</v>
      </c>
      <c r="I1689" s="79"/>
      <c r="J1689" s="319">
        <f>ROUND(I1689*H1689,2)</f>
        <v>0</v>
      </c>
      <c r="K1689" s="316"/>
      <c r="L1689" s="229"/>
      <c r="M1689" s="320" t="s">
        <v>1</v>
      </c>
      <c r="N1689" s="321" t="s">
        <v>42</v>
      </c>
      <c r="O1689" s="322">
        <v>0.594</v>
      </c>
      <c r="P1689" s="322">
        <f>O1689*H1689</f>
        <v>32.788799999999995</v>
      </c>
      <c r="Q1689" s="322">
        <v>0.00153</v>
      </c>
      <c r="R1689" s="322">
        <f>Q1689*H1689</f>
        <v>0.08445599999999999</v>
      </c>
      <c r="S1689" s="322">
        <v>0</v>
      </c>
      <c r="T1689" s="323">
        <f>S1689*H1689</f>
        <v>0</v>
      </c>
      <c r="U1689" s="222"/>
      <c r="V1689" s="222"/>
      <c r="W1689" s="222"/>
      <c r="X1689" s="222"/>
      <c r="Y1689" s="222"/>
      <c r="Z1689" s="222"/>
      <c r="AA1689" s="222"/>
      <c r="AB1689" s="222"/>
      <c r="AC1689" s="222"/>
      <c r="AD1689" s="222"/>
      <c r="AE1689" s="222"/>
      <c r="AR1689" s="324" t="s">
        <v>212</v>
      </c>
      <c r="AT1689" s="324" t="s">
        <v>148</v>
      </c>
      <c r="AU1689" s="324" t="s">
        <v>83</v>
      </c>
      <c r="AY1689" s="214" t="s">
        <v>146</v>
      </c>
      <c r="BE1689" s="325">
        <f>IF(N1689="základní",J1689,0)</f>
        <v>0</v>
      </c>
      <c r="BF1689" s="325">
        <f>IF(N1689="snížená",J1689,0)</f>
        <v>0</v>
      </c>
      <c r="BG1689" s="325">
        <f>IF(N1689="zákl. přenesená",J1689,0)</f>
        <v>0</v>
      </c>
      <c r="BH1689" s="325">
        <f>IF(N1689="sníž. přenesená",J1689,0)</f>
        <v>0</v>
      </c>
      <c r="BI1689" s="325">
        <f>IF(N1689="nulová",J1689,0)</f>
        <v>0</v>
      </c>
      <c r="BJ1689" s="214" t="s">
        <v>81</v>
      </c>
      <c r="BK1689" s="325">
        <f>ROUND(I1689*H1689,2)</f>
        <v>0</v>
      </c>
      <c r="BL1689" s="214" t="s">
        <v>212</v>
      </c>
      <c r="BM1689" s="324" t="s">
        <v>1217</v>
      </c>
    </row>
    <row r="1690" spans="2:51" s="335" customFormat="1" ht="12">
      <c r="B1690" s="336"/>
      <c r="D1690" s="328" t="s">
        <v>155</v>
      </c>
      <c r="E1690" s="337" t="s">
        <v>1</v>
      </c>
      <c r="F1690" s="346" t="s">
        <v>2974</v>
      </c>
      <c r="H1690" s="339">
        <f>1.2*(12+11)*2</f>
        <v>55.199999999999996</v>
      </c>
      <c r="I1690" s="498"/>
      <c r="L1690" s="340"/>
      <c r="M1690" s="341"/>
      <c r="N1690" s="342"/>
      <c r="O1690" s="342"/>
      <c r="P1690" s="342"/>
      <c r="Q1690" s="342"/>
      <c r="R1690" s="342"/>
      <c r="S1690" s="342"/>
      <c r="T1690" s="343"/>
      <c r="AT1690" s="337" t="s">
        <v>155</v>
      </c>
      <c r="AU1690" s="337" t="s">
        <v>83</v>
      </c>
      <c r="AV1690" s="335" t="s">
        <v>83</v>
      </c>
      <c r="AW1690" s="335" t="s">
        <v>34</v>
      </c>
      <c r="AX1690" s="335" t="s">
        <v>76</v>
      </c>
      <c r="AY1690" s="337" t="s">
        <v>146</v>
      </c>
    </row>
    <row r="1691" spans="1:65" s="225" customFormat="1" ht="34.5" customHeight="1">
      <c r="A1691" s="222"/>
      <c r="B1691" s="223"/>
      <c r="C1691" s="358">
        <v>350</v>
      </c>
      <c r="D1691" s="358" t="s">
        <v>208</v>
      </c>
      <c r="E1691" s="359" t="s">
        <v>1218</v>
      </c>
      <c r="F1691" s="360" t="s">
        <v>3759</v>
      </c>
      <c r="G1691" s="361" t="s">
        <v>151</v>
      </c>
      <c r="H1691" s="362">
        <f>H1692</f>
        <v>17.0568</v>
      </c>
      <c r="I1691" s="80"/>
      <c r="J1691" s="363">
        <f>ROUND(I1691*H1691,2)</f>
        <v>0</v>
      </c>
      <c r="K1691" s="364"/>
      <c r="L1691" s="365"/>
      <c r="M1691" s="366" t="s">
        <v>1</v>
      </c>
      <c r="N1691" s="367" t="s">
        <v>42</v>
      </c>
      <c r="O1691" s="322">
        <v>0</v>
      </c>
      <c r="P1691" s="322">
        <f>O1691*H1691</f>
        <v>0</v>
      </c>
      <c r="Q1691" s="322">
        <v>0.023</v>
      </c>
      <c r="R1691" s="322">
        <f>Q1691*H1691</f>
        <v>0.3923064</v>
      </c>
      <c r="S1691" s="322">
        <v>0</v>
      </c>
      <c r="T1691" s="323">
        <f>S1691*H1691</f>
        <v>0</v>
      </c>
      <c r="U1691" s="222"/>
      <c r="V1691" s="222"/>
      <c r="W1691" s="222"/>
      <c r="X1691" s="222"/>
      <c r="Y1691" s="222"/>
      <c r="Z1691" s="222"/>
      <c r="AA1691" s="222"/>
      <c r="AB1691" s="222"/>
      <c r="AC1691" s="222"/>
      <c r="AD1691" s="222"/>
      <c r="AE1691" s="222"/>
      <c r="AR1691" s="324" t="s">
        <v>298</v>
      </c>
      <c r="AT1691" s="324" t="s">
        <v>208</v>
      </c>
      <c r="AU1691" s="324" t="s">
        <v>83</v>
      </c>
      <c r="AY1691" s="214" t="s">
        <v>146</v>
      </c>
      <c r="BE1691" s="325">
        <f>IF(N1691="základní",J1691,0)</f>
        <v>0</v>
      </c>
      <c r="BF1691" s="325">
        <f>IF(N1691="snížená",J1691,0)</f>
        <v>0</v>
      </c>
      <c r="BG1691" s="325">
        <f>IF(N1691="zákl. přenesená",J1691,0)</f>
        <v>0</v>
      </c>
      <c r="BH1691" s="325">
        <f>IF(N1691="sníž. přenesená",J1691,0)</f>
        <v>0</v>
      </c>
      <c r="BI1691" s="325">
        <f>IF(N1691="nulová",J1691,0)</f>
        <v>0</v>
      </c>
      <c r="BJ1691" s="214" t="s">
        <v>81</v>
      </c>
      <c r="BK1691" s="325">
        <f>ROUND(I1691*H1691,2)</f>
        <v>0</v>
      </c>
      <c r="BL1691" s="214" t="s">
        <v>212</v>
      </c>
      <c r="BM1691" s="324" t="s">
        <v>1219</v>
      </c>
    </row>
    <row r="1692" spans="2:51" s="335" customFormat="1" ht="12">
      <c r="B1692" s="336"/>
      <c r="D1692" s="328" t="s">
        <v>155</v>
      </c>
      <c r="F1692" s="346" t="s">
        <v>2975</v>
      </c>
      <c r="H1692" s="339">
        <f>55.2*0.3*1.03</f>
        <v>17.0568</v>
      </c>
      <c r="I1692" s="498"/>
      <c r="L1692" s="340"/>
      <c r="M1692" s="341"/>
      <c r="N1692" s="342"/>
      <c r="O1692" s="342"/>
      <c r="P1692" s="342"/>
      <c r="Q1692" s="342"/>
      <c r="R1692" s="342"/>
      <c r="S1692" s="342"/>
      <c r="T1692" s="343"/>
      <c r="AT1692" s="337" t="s">
        <v>155</v>
      </c>
      <c r="AU1692" s="337" t="s">
        <v>83</v>
      </c>
      <c r="AV1692" s="335" t="s">
        <v>83</v>
      </c>
      <c r="AW1692" s="335" t="s">
        <v>3</v>
      </c>
      <c r="AX1692" s="335" t="s">
        <v>81</v>
      </c>
      <c r="AY1692" s="337" t="s">
        <v>146</v>
      </c>
    </row>
    <row r="1693" spans="1:65" s="225" customFormat="1" ht="33" customHeight="1">
      <c r="A1693" s="222"/>
      <c r="B1693" s="223"/>
      <c r="C1693" s="314">
        <v>351</v>
      </c>
      <c r="D1693" s="314" t="s">
        <v>148</v>
      </c>
      <c r="E1693" s="315" t="s">
        <v>1220</v>
      </c>
      <c r="F1693" s="344" t="s">
        <v>1221</v>
      </c>
      <c r="G1693" s="317" t="s">
        <v>158</v>
      </c>
      <c r="H1693" s="318">
        <f>H1694</f>
        <v>55.199999999999996</v>
      </c>
      <c r="I1693" s="79"/>
      <c r="J1693" s="319">
        <f>ROUND(I1693*H1693,2)</f>
        <v>0</v>
      </c>
      <c r="K1693" s="316"/>
      <c r="L1693" s="229"/>
      <c r="M1693" s="320" t="s">
        <v>1</v>
      </c>
      <c r="N1693" s="321" t="s">
        <v>42</v>
      </c>
      <c r="O1693" s="322">
        <v>0.276</v>
      </c>
      <c r="P1693" s="322">
        <f>O1693*H1693</f>
        <v>15.2352</v>
      </c>
      <c r="Q1693" s="322">
        <v>0.00102</v>
      </c>
      <c r="R1693" s="322">
        <f>Q1693*H1693</f>
        <v>0.056304</v>
      </c>
      <c r="S1693" s="322">
        <v>0</v>
      </c>
      <c r="T1693" s="323">
        <f>S1693*H1693</f>
        <v>0</v>
      </c>
      <c r="U1693" s="222"/>
      <c r="V1693" s="222"/>
      <c r="W1693" s="222"/>
      <c r="X1693" s="222"/>
      <c r="Y1693" s="222"/>
      <c r="Z1693" s="222"/>
      <c r="AA1693" s="222"/>
      <c r="AB1693" s="222"/>
      <c r="AC1693" s="222"/>
      <c r="AD1693" s="222"/>
      <c r="AE1693" s="222"/>
      <c r="AR1693" s="324" t="s">
        <v>212</v>
      </c>
      <c r="AT1693" s="324" t="s">
        <v>148</v>
      </c>
      <c r="AU1693" s="324" t="s">
        <v>83</v>
      </c>
      <c r="AY1693" s="214" t="s">
        <v>146</v>
      </c>
      <c r="BE1693" s="325">
        <f>IF(N1693="základní",J1693,0)</f>
        <v>0</v>
      </c>
      <c r="BF1693" s="325">
        <f>IF(N1693="snížená",J1693,0)</f>
        <v>0</v>
      </c>
      <c r="BG1693" s="325">
        <f>IF(N1693="zákl. přenesená",J1693,0)</f>
        <v>0</v>
      </c>
      <c r="BH1693" s="325">
        <f>IF(N1693="sníž. přenesená",J1693,0)</f>
        <v>0</v>
      </c>
      <c r="BI1693" s="325">
        <f>IF(N1693="nulová",J1693,0)</f>
        <v>0</v>
      </c>
      <c r="BJ1693" s="214" t="s">
        <v>81</v>
      </c>
      <c r="BK1693" s="325">
        <f>ROUND(I1693*H1693,2)</f>
        <v>0</v>
      </c>
      <c r="BL1693" s="214" t="s">
        <v>212</v>
      </c>
      <c r="BM1693" s="324" t="s">
        <v>1222</v>
      </c>
    </row>
    <row r="1694" spans="2:51" s="335" customFormat="1" ht="12">
      <c r="B1694" s="336"/>
      <c r="D1694" s="328" t="s">
        <v>155</v>
      </c>
      <c r="E1694" s="337" t="s">
        <v>1</v>
      </c>
      <c r="F1694" s="346" t="s">
        <v>2974</v>
      </c>
      <c r="H1694" s="339">
        <f>1.2*(12+11)*2</f>
        <v>55.199999999999996</v>
      </c>
      <c r="I1694" s="498"/>
      <c r="L1694" s="340"/>
      <c r="M1694" s="341"/>
      <c r="N1694" s="342"/>
      <c r="O1694" s="342"/>
      <c r="P1694" s="342"/>
      <c r="Q1694" s="342"/>
      <c r="R1694" s="342"/>
      <c r="S1694" s="342"/>
      <c r="T1694" s="343"/>
      <c r="AT1694" s="337" t="s">
        <v>155</v>
      </c>
      <c r="AU1694" s="337" t="s">
        <v>83</v>
      </c>
      <c r="AV1694" s="335" t="s">
        <v>83</v>
      </c>
      <c r="AW1694" s="335" t="s">
        <v>34</v>
      </c>
      <c r="AX1694" s="335" t="s">
        <v>76</v>
      </c>
      <c r="AY1694" s="337" t="s">
        <v>146</v>
      </c>
    </row>
    <row r="1695" spans="1:65" s="225" customFormat="1" ht="33" customHeight="1">
      <c r="A1695" s="222"/>
      <c r="B1695" s="223"/>
      <c r="C1695" s="358">
        <v>352</v>
      </c>
      <c r="D1695" s="358" t="s">
        <v>208</v>
      </c>
      <c r="E1695" s="359" t="s">
        <v>1223</v>
      </c>
      <c r="F1695" s="360" t="s">
        <v>3758</v>
      </c>
      <c r="G1695" s="361" t="s">
        <v>151</v>
      </c>
      <c r="H1695" s="362">
        <f>H1696</f>
        <v>8.5284</v>
      </c>
      <c r="I1695" s="80"/>
      <c r="J1695" s="363">
        <f>ROUND(I1695*H1695,2)</f>
        <v>0</v>
      </c>
      <c r="K1695" s="364"/>
      <c r="L1695" s="365"/>
      <c r="M1695" s="366" t="s">
        <v>1</v>
      </c>
      <c r="N1695" s="367" t="s">
        <v>42</v>
      </c>
      <c r="O1695" s="322">
        <v>0</v>
      </c>
      <c r="P1695" s="322">
        <f>O1695*H1695</f>
        <v>0</v>
      </c>
      <c r="Q1695" s="322">
        <v>0.0192</v>
      </c>
      <c r="R1695" s="322">
        <f>Q1695*H1695</f>
        <v>0.16374527999999997</v>
      </c>
      <c r="S1695" s="322">
        <v>0</v>
      </c>
      <c r="T1695" s="323">
        <f>S1695*H1695</f>
        <v>0</v>
      </c>
      <c r="U1695" s="222"/>
      <c r="V1695" s="222"/>
      <c r="W1695" s="222"/>
      <c r="X1695" s="222"/>
      <c r="Y1695" s="222"/>
      <c r="Z1695" s="222"/>
      <c r="AA1695" s="222"/>
      <c r="AB1695" s="222"/>
      <c r="AC1695" s="222"/>
      <c r="AD1695" s="222"/>
      <c r="AE1695" s="222"/>
      <c r="AR1695" s="324" t="s">
        <v>298</v>
      </c>
      <c r="AT1695" s="324" t="s">
        <v>208</v>
      </c>
      <c r="AU1695" s="324" t="s">
        <v>83</v>
      </c>
      <c r="AY1695" s="214" t="s">
        <v>146</v>
      </c>
      <c r="BE1695" s="325">
        <f>IF(N1695="základní",J1695,0)</f>
        <v>0</v>
      </c>
      <c r="BF1695" s="325">
        <f>IF(N1695="snížená",J1695,0)</f>
        <v>0</v>
      </c>
      <c r="BG1695" s="325">
        <f>IF(N1695="zákl. přenesená",J1695,0)</f>
        <v>0</v>
      </c>
      <c r="BH1695" s="325">
        <f>IF(N1695="sníž. přenesená",J1695,0)</f>
        <v>0</v>
      </c>
      <c r="BI1695" s="325">
        <f>IF(N1695="nulová",J1695,0)</f>
        <v>0</v>
      </c>
      <c r="BJ1695" s="214" t="s">
        <v>81</v>
      </c>
      <c r="BK1695" s="325">
        <f>ROUND(I1695*H1695,2)</f>
        <v>0</v>
      </c>
      <c r="BL1695" s="214" t="s">
        <v>212</v>
      </c>
      <c r="BM1695" s="324" t="s">
        <v>1224</v>
      </c>
    </row>
    <row r="1696" spans="2:51" s="335" customFormat="1" ht="12">
      <c r="B1696" s="336"/>
      <c r="D1696" s="328" t="s">
        <v>155</v>
      </c>
      <c r="E1696" s="337" t="s">
        <v>1</v>
      </c>
      <c r="F1696" s="346" t="s">
        <v>2976</v>
      </c>
      <c r="H1696" s="339">
        <f>1.2*(12+11)*2*0.15*1.03</f>
        <v>8.5284</v>
      </c>
      <c r="I1696" s="498"/>
      <c r="L1696" s="340"/>
      <c r="M1696" s="341"/>
      <c r="N1696" s="342"/>
      <c r="O1696" s="342"/>
      <c r="P1696" s="342"/>
      <c r="Q1696" s="342"/>
      <c r="R1696" s="342"/>
      <c r="S1696" s="342"/>
      <c r="T1696" s="343"/>
      <c r="AT1696" s="337" t="s">
        <v>155</v>
      </c>
      <c r="AU1696" s="337" t="s">
        <v>83</v>
      </c>
      <c r="AV1696" s="335" t="s">
        <v>83</v>
      </c>
      <c r="AW1696" s="335" t="s">
        <v>34</v>
      </c>
      <c r="AX1696" s="335" t="s">
        <v>76</v>
      </c>
      <c r="AY1696" s="337" t="s">
        <v>146</v>
      </c>
    </row>
    <row r="1697" spans="1:65" s="225" customFormat="1" ht="24.2" customHeight="1">
      <c r="A1697" s="222"/>
      <c r="B1697" s="223"/>
      <c r="C1697" s="314">
        <v>353</v>
      </c>
      <c r="D1697" s="314" t="s">
        <v>148</v>
      </c>
      <c r="E1697" s="315" t="s">
        <v>1225</v>
      </c>
      <c r="F1697" s="344" t="s">
        <v>1226</v>
      </c>
      <c r="G1697" s="317" t="s">
        <v>158</v>
      </c>
      <c r="H1697" s="318">
        <f>H1702</f>
        <v>129.1</v>
      </c>
      <c r="I1697" s="79"/>
      <c r="J1697" s="319">
        <f>ROUND(I1697*H1697,2)</f>
        <v>0</v>
      </c>
      <c r="K1697" s="316"/>
      <c r="L1697" s="229"/>
      <c r="M1697" s="320" t="s">
        <v>1</v>
      </c>
      <c r="N1697" s="321" t="s">
        <v>42</v>
      </c>
      <c r="O1697" s="322">
        <v>0.098</v>
      </c>
      <c r="P1697" s="322">
        <f>O1697*H1697</f>
        <v>12.6518</v>
      </c>
      <c r="Q1697" s="322">
        <v>0</v>
      </c>
      <c r="R1697" s="322">
        <f>Q1697*H1697</f>
        <v>0</v>
      </c>
      <c r="S1697" s="322">
        <v>0.01174</v>
      </c>
      <c r="T1697" s="454">
        <f>S1697*H1697</f>
        <v>1.515634</v>
      </c>
      <c r="U1697" s="222"/>
      <c r="V1697" s="222"/>
      <c r="W1697" s="222"/>
      <c r="X1697" s="222"/>
      <c r="Y1697" s="222"/>
      <c r="Z1697" s="222"/>
      <c r="AA1697" s="222"/>
      <c r="AB1697" s="222"/>
      <c r="AC1697" s="222"/>
      <c r="AD1697" s="222"/>
      <c r="AE1697" s="222"/>
      <c r="AR1697" s="324" t="s">
        <v>212</v>
      </c>
      <c r="AT1697" s="324" t="s">
        <v>148</v>
      </c>
      <c r="AU1697" s="324" t="s">
        <v>83</v>
      </c>
      <c r="AY1697" s="214" t="s">
        <v>146</v>
      </c>
      <c r="BE1697" s="325">
        <f>IF(N1697="základní",J1697,0)</f>
        <v>0</v>
      </c>
      <c r="BF1697" s="325">
        <f>IF(N1697="snížená",J1697,0)</f>
        <v>0</v>
      </c>
      <c r="BG1697" s="325">
        <f>IF(N1697="zákl. přenesená",J1697,0)</f>
        <v>0</v>
      </c>
      <c r="BH1697" s="325">
        <f>IF(N1697="sníž. přenesená",J1697,0)</f>
        <v>0</v>
      </c>
      <c r="BI1697" s="325">
        <f>IF(N1697="nulová",J1697,0)</f>
        <v>0</v>
      </c>
      <c r="BJ1697" s="214" t="s">
        <v>81</v>
      </c>
      <c r="BK1697" s="325">
        <f>ROUND(I1697*H1697,2)</f>
        <v>0</v>
      </c>
      <c r="BL1697" s="214" t="s">
        <v>212</v>
      </c>
      <c r="BM1697" s="324" t="s">
        <v>1227</v>
      </c>
    </row>
    <row r="1698" spans="2:51" s="326" customFormat="1" ht="12">
      <c r="B1698" s="327"/>
      <c r="D1698" s="328" t="s">
        <v>155</v>
      </c>
      <c r="E1698" s="329" t="s">
        <v>1</v>
      </c>
      <c r="F1698" s="345" t="s">
        <v>492</v>
      </c>
      <c r="H1698" s="329" t="s">
        <v>1</v>
      </c>
      <c r="I1698" s="497"/>
      <c r="L1698" s="331"/>
      <c r="M1698" s="332"/>
      <c r="N1698" s="333"/>
      <c r="O1698" s="333"/>
      <c r="P1698" s="333"/>
      <c r="Q1698" s="333"/>
      <c r="R1698" s="333"/>
      <c r="S1698" s="333"/>
      <c r="T1698" s="334"/>
      <c r="AT1698" s="329" t="s">
        <v>155</v>
      </c>
      <c r="AU1698" s="329" t="s">
        <v>83</v>
      </c>
      <c r="AV1698" s="326" t="s">
        <v>81</v>
      </c>
      <c r="AW1698" s="326" t="s">
        <v>34</v>
      </c>
      <c r="AX1698" s="326" t="s">
        <v>76</v>
      </c>
      <c r="AY1698" s="329" t="s">
        <v>146</v>
      </c>
    </row>
    <row r="1699" spans="2:51" s="335" customFormat="1" ht="22.5">
      <c r="B1699" s="336"/>
      <c r="D1699" s="328" t="s">
        <v>155</v>
      </c>
      <c r="E1699" s="337" t="s">
        <v>1</v>
      </c>
      <c r="F1699" s="346" t="s">
        <v>2977</v>
      </c>
      <c r="H1699" s="339">
        <f>(1.6*2+2.8)+(3.8+2.9*2+1.1-1.6-1.8)+(18.8*2+1.6-0.9*7-1.2*2)+(12.55*2+6.2*2-0.9-1.75)</f>
        <v>78.65</v>
      </c>
      <c r="I1699" s="498"/>
      <c r="L1699" s="340"/>
      <c r="M1699" s="341"/>
      <c r="N1699" s="342"/>
      <c r="O1699" s="342"/>
      <c r="P1699" s="342"/>
      <c r="Q1699" s="342"/>
      <c r="R1699" s="342"/>
      <c r="S1699" s="342"/>
      <c r="T1699" s="343"/>
      <c r="AT1699" s="337" t="s">
        <v>155</v>
      </c>
      <c r="AU1699" s="337" t="s">
        <v>83</v>
      </c>
      <c r="AV1699" s="335" t="s">
        <v>83</v>
      </c>
      <c r="AW1699" s="335" t="s">
        <v>34</v>
      </c>
      <c r="AX1699" s="335" t="s">
        <v>76</v>
      </c>
      <c r="AY1699" s="337" t="s">
        <v>146</v>
      </c>
    </row>
    <row r="1700" spans="2:51" s="326" customFormat="1" ht="12">
      <c r="B1700" s="327"/>
      <c r="D1700" s="328" t="s">
        <v>155</v>
      </c>
      <c r="E1700" s="329" t="s">
        <v>1</v>
      </c>
      <c r="F1700" s="345" t="s">
        <v>495</v>
      </c>
      <c r="H1700" s="329" t="s">
        <v>1</v>
      </c>
      <c r="I1700" s="497"/>
      <c r="L1700" s="331"/>
      <c r="M1700" s="332"/>
      <c r="N1700" s="333"/>
      <c r="O1700" s="333"/>
      <c r="P1700" s="333"/>
      <c r="Q1700" s="333"/>
      <c r="R1700" s="333"/>
      <c r="S1700" s="333"/>
      <c r="T1700" s="334"/>
      <c r="AT1700" s="329" t="s">
        <v>155</v>
      </c>
      <c r="AU1700" s="329" t="s">
        <v>83</v>
      </c>
      <c r="AV1700" s="326" t="s">
        <v>81</v>
      </c>
      <c r="AW1700" s="326" t="s">
        <v>34</v>
      </c>
      <c r="AX1700" s="326" t="s">
        <v>76</v>
      </c>
      <c r="AY1700" s="329" t="s">
        <v>146</v>
      </c>
    </row>
    <row r="1701" spans="2:51" s="335" customFormat="1" ht="12">
      <c r="B1701" s="336"/>
      <c r="D1701" s="328" t="s">
        <v>155</v>
      </c>
      <c r="E1701" s="337" t="s">
        <v>1</v>
      </c>
      <c r="F1701" s="346" t="s">
        <v>2978</v>
      </c>
      <c r="H1701" s="339">
        <f>(1.6*2+2.8)+(20.4*2+2.3*2-3.6-0.9*8)+(3.7*2+4.25-0.9-0.9)</f>
        <v>50.449999999999996</v>
      </c>
      <c r="I1701" s="498"/>
      <c r="L1701" s="340"/>
      <c r="M1701" s="341"/>
      <c r="N1701" s="342"/>
      <c r="O1701" s="342"/>
      <c r="P1701" s="342"/>
      <c r="Q1701" s="342"/>
      <c r="R1701" s="342"/>
      <c r="S1701" s="342"/>
      <c r="T1701" s="343"/>
      <c r="AT1701" s="337" t="s">
        <v>155</v>
      </c>
      <c r="AU1701" s="337" t="s">
        <v>83</v>
      </c>
      <c r="AV1701" s="335" t="s">
        <v>83</v>
      </c>
      <c r="AW1701" s="335" t="s">
        <v>34</v>
      </c>
      <c r="AX1701" s="335" t="s">
        <v>76</v>
      </c>
      <c r="AY1701" s="337" t="s">
        <v>146</v>
      </c>
    </row>
    <row r="1702" spans="2:51" s="347" customFormat="1" ht="12">
      <c r="B1702" s="348"/>
      <c r="D1702" s="328" t="s">
        <v>155</v>
      </c>
      <c r="E1702" s="349" t="s">
        <v>1</v>
      </c>
      <c r="F1702" s="350" t="s">
        <v>157</v>
      </c>
      <c r="H1702" s="351">
        <f>SUM(H1699:H1701)</f>
        <v>129.1</v>
      </c>
      <c r="I1702" s="499"/>
      <c r="L1702" s="352"/>
      <c r="M1702" s="353"/>
      <c r="N1702" s="354"/>
      <c r="O1702" s="354"/>
      <c r="P1702" s="354"/>
      <c r="Q1702" s="354"/>
      <c r="R1702" s="354"/>
      <c r="S1702" s="354"/>
      <c r="T1702" s="355"/>
      <c r="AT1702" s="349" t="s">
        <v>155</v>
      </c>
      <c r="AU1702" s="349" t="s">
        <v>83</v>
      </c>
      <c r="AV1702" s="347" t="s">
        <v>153</v>
      </c>
      <c r="AW1702" s="347" t="s">
        <v>34</v>
      </c>
      <c r="AX1702" s="347" t="s">
        <v>81</v>
      </c>
      <c r="AY1702" s="349" t="s">
        <v>146</v>
      </c>
    </row>
    <row r="1703" spans="1:65" s="225" customFormat="1" ht="24.2" customHeight="1">
      <c r="A1703" s="222"/>
      <c r="B1703" s="223"/>
      <c r="C1703" s="314">
        <v>354</v>
      </c>
      <c r="D1703" s="314" t="s">
        <v>148</v>
      </c>
      <c r="E1703" s="315" t="s">
        <v>1228</v>
      </c>
      <c r="F1703" s="344" t="s">
        <v>1229</v>
      </c>
      <c r="G1703" s="317" t="s">
        <v>158</v>
      </c>
      <c r="H1703" s="318">
        <f>H1708</f>
        <v>146.94</v>
      </c>
      <c r="I1703" s="79"/>
      <c r="J1703" s="319">
        <f>ROUND(I1703*H1703,2)</f>
        <v>0</v>
      </c>
      <c r="K1703" s="316"/>
      <c r="L1703" s="229"/>
      <c r="M1703" s="320" t="s">
        <v>1</v>
      </c>
      <c r="N1703" s="321" t="s">
        <v>42</v>
      </c>
      <c r="O1703" s="322">
        <v>0.209</v>
      </c>
      <c r="P1703" s="322">
        <f>O1703*H1703</f>
        <v>30.710459999999998</v>
      </c>
      <c r="Q1703" s="322">
        <v>0.000583</v>
      </c>
      <c r="R1703" s="322">
        <f>Q1703*H1703</f>
        <v>0.08566602</v>
      </c>
      <c r="S1703" s="322">
        <v>0</v>
      </c>
      <c r="T1703" s="323">
        <f>S1703*H1703</f>
        <v>0</v>
      </c>
      <c r="U1703" s="222"/>
      <c r="V1703" s="222"/>
      <c r="W1703" s="222"/>
      <c r="X1703" s="222"/>
      <c r="Y1703" s="222"/>
      <c r="Z1703" s="222"/>
      <c r="AA1703" s="222"/>
      <c r="AB1703" s="222"/>
      <c r="AC1703" s="222"/>
      <c r="AD1703" s="222"/>
      <c r="AE1703" s="222"/>
      <c r="AR1703" s="324" t="s">
        <v>212</v>
      </c>
      <c r="AT1703" s="324" t="s">
        <v>148</v>
      </c>
      <c r="AU1703" s="324" t="s">
        <v>83</v>
      </c>
      <c r="AY1703" s="214" t="s">
        <v>146</v>
      </c>
      <c r="BE1703" s="325">
        <f>IF(N1703="základní",J1703,0)</f>
        <v>0</v>
      </c>
      <c r="BF1703" s="325">
        <f>IF(N1703="snížená",J1703,0)</f>
        <v>0</v>
      </c>
      <c r="BG1703" s="325">
        <f>IF(N1703="zákl. přenesená",J1703,0)</f>
        <v>0</v>
      </c>
      <c r="BH1703" s="325">
        <f>IF(N1703="sníž. přenesená",J1703,0)</f>
        <v>0</v>
      </c>
      <c r="BI1703" s="325">
        <f>IF(N1703="nulová",J1703,0)</f>
        <v>0</v>
      </c>
      <c r="BJ1703" s="214" t="s">
        <v>81</v>
      </c>
      <c r="BK1703" s="325">
        <f>ROUND(I1703*H1703,2)</f>
        <v>0</v>
      </c>
      <c r="BL1703" s="214" t="s">
        <v>212</v>
      </c>
      <c r="BM1703" s="324" t="s">
        <v>1230</v>
      </c>
    </row>
    <row r="1704" spans="2:51" s="326" customFormat="1" ht="12">
      <c r="B1704" s="327"/>
      <c r="D1704" s="328" t="s">
        <v>155</v>
      </c>
      <c r="E1704" s="329" t="s">
        <v>1</v>
      </c>
      <c r="F1704" s="345" t="s">
        <v>2986</v>
      </c>
      <c r="H1704" s="329" t="s">
        <v>1</v>
      </c>
      <c r="I1704" s="497"/>
      <c r="L1704" s="331"/>
      <c r="M1704" s="332"/>
      <c r="N1704" s="333"/>
      <c r="O1704" s="333"/>
      <c r="P1704" s="333"/>
      <c r="Q1704" s="333"/>
      <c r="R1704" s="333"/>
      <c r="S1704" s="333"/>
      <c r="T1704" s="334"/>
      <c r="AT1704" s="329" t="s">
        <v>155</v>
      </c>
      <c r="AU1704" s="329" t="s">
        <v>83</v>
      </c>
      <c r="AV1704" s="326" t="s">
        <v>81</v>
      </c>
      <c r="AW1704" s="326" t="s">
        <v>34</v>
      </c>
      <c r="AX1704" s="326" t="s">
        <v>76</v>
      </c>
      <c r="AY1704" s="329" t="s">
        <v>146</v>
      </c>
    </row>
    <row r="1705" spans="2:51" s="335" customFormat="1" ht="56.25">
      <c r="B1705" s="336"/>
      <c r="D1705" s="328" t="s">
        <v>155</v>
      </c>
      <c r="E1705" s="337" t="s">
        <v>1</v>
      </c>
      <c r="F1705" s="346" t="s">
        <v>2985</v>
      </c>
      <c r="H1705" s="339">
        <f>(4.82*2+2.9*2-1.6-3.6)+(1+2.45+1.2)+(1.8+3.7+2.85+1.48+0.4*2-0.8-0.9)+(6.28*2+4.15*2-0.9*2-0.8)+(6.08*2+5.9*2-0.9)+(6.3*2+1.55*2-0.9*5-1.6)+(17.6*2+1.6-1.55*2-0.8-0.9*7)</f>
        <v>101.34</v>
      </c>
      <c r="I1705" s="498"/>
      <c r="L1705" s="340"/>
      <c r="M1705" s="341"/>
      <c r="N1705" s="342"/>
      <c r="O1705" s="342"/>
      <c r="P1705" s="342"/>
      <c r="Q1705" s="342"/>
      <c r="R1705" s="342"/>
      <c r="S1705" s="342"/>
      <c r="T1705" s="343"/>
      <c r="AT1705" s="337" t="s">
        <v>155</v>
      </c>
      <c r="AU1705" s="337" t="s">
        <v>83</v>
      </c>
      <c r="AV1705" s="335" t="s">
        <v>83</v>
      </c>
      <c r="AW1705" s="335" t="s">
        <v>34</v>
      </c>
      <c r="AX1705" s="335" t="s">
        <v>76</v>
      </c>
      <c r="AY1705" s="337" t="s">
        <v>146</v>
      </c>
    </row>
    <row r="1706" spans="2:51" s="326" customFormat="1" ht="12">
      <c r="B1706" s="327"/>
      <c r="D1706" s="328" t="s">
        <v>155</v>
      </c>
      <c r="E1706" s="329" t="s">
        <v>1</v>
      </c>
      <c r="F1706" s="345" t="s">
        <v>2987</v>
      </c>
      <c r="H1706" s="329" t="s">
        <v>1</v>
      </c>
      <c r="I1706" s="497"/>
      <c r="L1706" s="331"/>
      <c r="M1706" s="332"/>
      <c r="N1706" s="333"/>
      <c r="O1706" s="333"/>
      <c r="P1706" s="333"/>
      <c r="Q1706" s="333"/>
      <c r="R1706" s="333"/>
      <c r="S1706" s="333"/>
      <c r="T1706" s="334"/>
      <c r="AT1706" s="329" t="s">
        <v>155</v>
      </c>
      <c r="AU1706" s="329" t="s">
        <v>83</v>
      </c>
      <c r="AV1706" s="326" t="s">
        <v>81</v>
      </c>
      <c r="AW1706" s="326" t="s">
        <v>34</v>
      </c>
      <c r="AX1706" s="326" t="s">
        <v>76</v>
      </c>
      <c r="AY1706" s="329" t="s">
        <v>146</v>
      </c>
    </row>
    <row r="1707" spans="2:51" s="335" customFormat="1" ht="12">
      <c r="B1707" s="336"/>
      <c r="D1707" s="328" t="s">
        <v>155</v>
      </c>
      <c r="E1707" s="337" t="s">
        <v>1</v>
      </c>
      <c r="F1707" s="346" t="s">
        <v>2988</v>
      </c>
      <c r="H1707" s="339">
        <f>(2.3+3.6+2.4+2.4*2+3.6)+(16.7*2+1.6-0.9*5-0.8*2)</f>
        <v>45.6</v>
      </c>
      <c r="I1707" s="498"/>
      <c r="L1707" s="340"/>
      <c r="M1707" s="341"/>
      <c r="N1707" s="342"/>
      <c r="O1707" s="342"/>
      <c r="P1707" s="342"/>
      <c r="Q1707" s="342"/>
      <c r="R1707" s="342"/>
      <c r="S1707" s="342"/>
      <c r="T1707" s="343"/>
      <c r="AT1707" s="337" t="s">
        <v>155</v>
      </c>
      <c r="AU1707" s="337" t="s">
        <v>83</v>
      </c>
      <c r="AV1707" s="335" t="s">
        <v>83</v>
      </c>
      <c r="AW1707" s="335" t="s">
        <v>34</v>
      </c>
      <c r="AX1707" s="335" t="s">
        <v>76</v>
      </c>
      <c r="AY1707" s="337" t="s">
        <v>146</v>
      </c>
    </row>
    <row r="1708" spans="2:51" s="347" customFormat="1" ht="12">
      <c r="B1708" s="348"/>
      <c r="D1708" s="328" t="s">
        <v>155</v>
      </c>
      <c r="E1708" s="349" t="s">
        <v>1</v>
      </c>
      <c r="F1708" s="350" t="s">
        <v>157</v>
      </c>
      <c r="H1708" s="351">
        <f>SUM(H1705:H1707)</f>
        <v>146.94</v>
      </c>
      <c r="I1708" s="499"/>
      <c r="L1708" s="352"/>
      <c r="M1708" s="353"/>
      <c r="N1708" s="354"/>
      <c r="O1708" s="354"/>
      <c r="P1708" s="354"/>
      <c r="Q1708" s="354"/>
      <c r="R1708" s="354"/>
      <c r="S1708" s="354"/>
      <c r="T1708" s="355"/>
      <c r="AT1708" s="349" t="s">
        <v>155</v>
      </c>
      <c r="AU1708" s="349" t="s">
        <v>83</v>
      </c>
      <c r="AV1708" s="347" t="s">
        <v>153</v>
      </c>
      <c r="AW1708" s="347" t="s">
        <v>34</v>
      </c>
      <c r="AX1708" s="347" t="s">
        <v>81</v>
      </c>
      <c r="AY1708" s="349" t="s">
        <v>146</v>
      </c>
    </row>
    <row r="1709" spans="1:65" s="225" customFormat="1" ht="30.75" customHeight="1">
      <c r="A1709" s="222"/>
      <c r="B1709" s="223"/>
      <c r="C1709" s="358">
        <v>355</v>
      </c>
      <c r="D1709" s="358" t="s">
        <v>208</v>
      </c>
      <c r="E1709" s="359" t="s">
        <v>1231</v>
      </c>
      <c r="F1709" s="360" t="s">
        <v>3760</v>
      </c>
      <c r="G1709" s="361" t="s">
        <v>158</v>
      </c>
      <c r="H1709" s="362">
        <f>H1710</f>
        <v>154.287</v>
      </c>
      <c r="I1709" s="80"/>
      <c r="J1709" s="363">
        <f>ROUND(I1709*H1709,2)</f>
        <v>0</v>
      </c>
      <c r="K1709" s="364"/>
      <c r="L1709" s="365"/>
      <c r="M1709" s="366" t="s">
        <v>1</v>
      </c>
      <c r="N1709" s="367" t="s">
        <v>42</v>
      </c>
      <c r="O1709" s="322">
        <v>0</v>
      </c>
      <c r="P1709" s="322">
        <f>O1709*H1709</f>
        <v>0</v>
      </c>
      <c r="Q1709" s="322">
        <v>0.00045</v>
      </c>
      <c r="R1709" s="322">
        <f>Q1709*H1709</f>
        <v>0.06942915</v>
      </c>
      <c r="S1709" s="322">
        <v>0</v>
      </c>
      <c r="T1709" s="323">
        <f>S1709*H1709</f>
        <v>0</v>
      </c>
      <c r="U1709" s="222"/>
      <c r="V1709" s="222"/>
      <c r="W1709" s="222"/>
      <c r="X1709" s="222"/>
      <c r="Y1709" s="222"/>
      <c r="Z1709" s="222"/>
      <c r="AA1709" s="222"/>
      <c r="AB1709" s="222"/>
      <c r="AC1709" s="222"/>
      <c r="AD1709" s="222"/>
      <c r="AE1709" s="222"/>
      <c r="AR1709" s="324" t="s">
        <v>298</v>
      </c>
      <c r="AT1709" s="324" t="s">
        <v>208</v>
      </c>
      <c r="AU1709" s="324" t="s">
        <v>83</v>
      </c>
      <c r="AY1709" s="214" t="s">
        <v>146</v>
      </c>
      <c r="BE1709" s="325">
        <f>IF(N1709="základní",J1709,0)</f>
        <v>0</v>
      </c>
      <c r="BF1709" s="325">
        <f>IF(N1709="snížená",J1709,0)</f>
        <v>0</v>
      </c>
      <c r="BG1709" s="325">
        <f>IF(N1709="zákl. přenesená",J1709,0)</f>
        <v>0</v>
      </c>
      <c r="BH1709" s="325">
        <f>IF(N1709="sníž. přenesená",J1709,0)</f>
        <v>0</v>
      </c>
      <c r="BI1709" s="325">
        <f>IF(N1709="nulová",J1709,0)</f>
        <v>0</v>
      </c>
      <c r="BJ1709" s="214" t="s">
        <v>81</v>
      </c>
      <c r="BK1709" s="325">
        <f>ROUND(I1709*H1709,2)</f>
        <v>0</v>
      </c>
      <c r="BL1709" s="214" t="s">
        <v>212</v>
      </c>
      <c r="BM1709" s="324" t="s">
        <v>1232</v>
      </c>
    </row>
    <row r="1710" spans="2:51" s="335" customFormat="1" ht="12">
      <c r="B1710" s="336"/>
      <c r="D1710" s="328" t="s">
        <v>155</v>
      </c>
      <c r="F1710" s="346" t="s">
        <v>2814</v>
      </c>
      <c r="H1710" s="339">
        <f>H1703*1.05</f>
        <v>154.287</v>
      </c>
      <c r="I1710" s="498"/>
      <c r="L1710" s="340"/>
      <c r="M1710" s="341"/>
      <c r="N1710" s="342"/>
      <c r="O1710" s="342"/>
      <c r="P1710" s="342"/>
      <c r="Q1710" s="342"/>
      <c r="R1710" s="342"/>
      <c r="S1710" s="342"/>
      <c r="T1710" s="343"/>
      <c r="AT1710" s="337" t="s">
        <v>155</v>
      </c>
      <c r="AU1710" s="337" t="s">
        <v>83</v>
      </c>
      <c r="AV1710" s="335" t="s">
        <v>83</v>
      </c>
      <c r="AW1710" s="335" t="s">
        <v>3</v>
      </c>
      <c r="AX1710" s="335" t="s">
        <v>81</v>
      </c>
      <c r="AY1710" s="337" t="s">
        <v>146</v>
      </c>
    </row>
    <row r="1711" spans="1:65" s="225" customFormat="1" ht="24.2" customHeight="1">
      <c r="A1711" s="222"/>
      <c r="B1711" s="223"/>
      <c r="C1711" s="314">
        <v>356</v>
      </c>
      <c r="D1711" s="314" t="s">
        <v>148</v>
      </c>
      <c r="E1711" s="315" t="s">
        <v>1233</v>
      </c>
      <c r="F1711" s="344" t="s">
        <v>1234</v>
      </c>
      <c r="G1711" s="317" t="s">
        <v>151</v>
      </c>
      <c r="H1711" s="318">
        <f>H1717</f>
        <v>181.47</v>
      </c>
      <c r="I1711" s="79"/>
      <c r="J1711" s="319">
        <f>ROUND(I1711*H1711,2)</f>
        <v>0</v>
      </c>
      <c r="K1711" s="316"/>
      <c r="L1711" s="229"/>
      <c r="M1711" s="320" t="s">
        <v>1</v>
      </c>
      <c r="N1711" s="321" t="s">
        <v>42</v>
      </c>
      <c r="O1711" s="322">
        <v>0.368</v>
      </c>
      <c r="P1711" s="322">
        <f>O1711*H1711</f>
        <v>66.78096</v>
      </c>
      <c r="Q1711" s="322">
        <v>0</v>
      </c>
      <c r="R1711" s="322">
        <f>Q1711*H1711</f>
        <v>0</v>
      </c>
      <c r="S1711" s="322">
        <v>0.08317</v>
      </c>
      <c r="T1711" s="454">
        <f>S1711*H1711</f>
        <v>15.092859899999999</v>
      </c>
      <c r="U1711" s="222"/>
      <c r="V1711" s="222"/>
      <c r="W1711" s="222"/>
      <c r="X1711" s="222"/>
      <c r="Y1711" s="222"/>
      <c r="Z1711" s="222"/>
      <c r="AA1711" s="222"/>
      <c r="AB1711" s="222"/>
      <c r="AC1711" s="222"/>
      <c r="AD1711" s="222"/>
      <c r="AE1711" s="222"/>
      <c r="AR1711" s="324" t="s">
        <v>212</v>
      </c>
      <c r="AT1711" s="324" t="s">
        <v>148</v>
      </c>
      <c r="AU1711" s="324" t="s">
        <v>83</v>
      </c>
      <c r="AY1711" s="214" t="s">
        <v>146</v>
      </c>
      <c r="BE1711" s="325">
        <f>IF(N1711="základní",J1711,0)</f>
        <v>0</v>
      </c>
      <c r="BF1711" s="325">
        <f>IF(N1711="snížená",J1711,0)</f>
        <v>0</v>
      </c>
      <c r="BG1711" s="325">
        <f>IF(N1711="zákl. přenesená",J1711,0)</f>
        <v>0</v>
      </c>
      <c r="BH1711" s="325">
        <f>IF(N1711="sníž. přenesená",J1711,0)</f>
        <v>0</v>
      </c>
      <c r="BI1711" s="325">
        <f>IF(N1711="nulová",J1711,0)</f>
        <v>0</v>
      </c>
      <c r="BJ1711" s="214" t="s">
        <v>81</v>
      </c>
      <c r="BK1711" s="325">
        <f>ROUND(I1711*H1711,2)</f>
        <v>0</v>
      </c>
      <c r="BL1711" s="214" t="s">
        <v>212</v>
      </c>
      <c r="BM1711" s="324" t="s">
        <v>1235</v>
      </c>
    </row>
    <row r="1712" spans="2:51" s="326" customFormat="1" ht="12">
      <c r="B1712" s="327"/>
      <c r="D1712" s="328" t="s">
        <v>155</v>
      </c>
      <c r="E1712" s="329" t="s">
        <v>1</v>
      </c>
      <c r="F1712" s="345" t="s">
        <v>492</v>
      </c>
      <c r="H1712" s="329" t="s">
        <v>1</v>
      </c>
      <c r="I1712" s="497"/>
      <c r="L1712" s="331"/>
      <c r="M1712" s="332"/>
      <c r="N1712" s="333"/>
      <c r="O1712" s="333"/>
      <c r="P1712" s="333"/>
      <c r="Q1712" s="333"/>
      <c r="R1712" s="333"/>
      <c r="S1712" s="333"/>
      <c r="T1712" s="334"/>
      <c r="AT1712" s="329" t="s">
        <v>155</v>
      </c>
      <c r="AU1712" s="329" t="s">
        <v>83</v>
      </c>
      <c r="AV1712" s="326" t="s">
        <v>81</v>
      </c>
      <c r="AW1712" s="326" t="s">
        <v>34</v>
      </c>
      <c r="AX1712" s="326" t="s">
        <v>76</v>
      </c>
      <c r="AY1712" s="329" t="s">
        <v>146</v>
      </c>
    </row>
    <row r="1713" spans="2:51" s="326" customFormat="1" ht="12">
      <c r="B1713" s="327"/>
      <c r="D1713" s="328" t="s">
        <v>155</v>
      </c>
      <c r="E1713" s="329" t="s">
        <v>1</v>
      </c>
      <c r="F1713" s="345" t="s">
        <v>2980</v>
      </c>
      <c r="H1713" s="329" t="s">
        <v>1</v>
      </c>
      <c r="I1713" s="497"/>
      <c r="L1713" s="331"/>
      <c r="M1713" s="332"/>
      <c r="N1713" s="333"/>
      <c r="O1713" s="333"/>
      <c r="P1713" s="333"/>
      <c r="Q1713" s="333"/>
      <c r="R1713" s="333"/>
      <c r="S1713" s="333"/>
      <c r="T1713" s="334"/>
      <c r="AT1713" s="329" t="s">
        <v>155</v>
      </c>
      <c r="AU1713" s="329" t="s">
        <v>83</v>
      </c>
      <c r="AV1713" s="326" t="s">
        <v>81</v>
      </c>
      <c r="AW1713" s="326" t="s">
        <v>34</v>
      </c>
      <c r="AX1713" s="326" t="s">
        <v>76</v>
      </c>
      <c r="AY1713" s="329" t="s">
        <v>146</v>
      </c>
    </row>
    <row r="1714" spans="2:51" s="335" customFormat="1" ht="12">
      <c r="B1714" s="336"/>
      <c r="D1714" s="328" t="s">
        <v>155</v>
      </c>
      <c r="E1714" s="337" t="s">
        <v>1</v>
      </c>
      <c r="F1714" s="346" t="s">
        <v>2981</v>
      </c>
      <c r="H1714" s="339">
        <v>118.46</v>
      </c>
      <c r="I1714" s="498"/>
      <c r="L1714" s="340"/>
      <c r="M1714" s="341"/>
      <c r="N1714" s="342"/>
      <c r="O1714" s="342"/>
      <c r="P1714" s="342"/>
      <c r="Q1714" s="342"/>
      <c r="R1714" s="342"/>
      <c r="S1714" s="342"/>
      <c r="T1714" s="343"/>
      <c r="AT1714" s="337" t="s">
        <v>155</v>
      </c>
      <c r="AU1714" s="337" t="s">
        <v>83</v>
      </c>
      <c r="AV1714" s="335" t="s">
        <v>83</v>
      </c>
      <c r="AW1714" s="335" t="s">
        <v>34</v>
      </c>
      <c r="AX1714" s="335" t="s">
        <v>76</v>
      </c>
      <c r="AY1714" s="337" t="s">
        <v>146</v>
      </c>
    </row>
    <row r="1715" spans="2:51" s="326" customFormat="1" ht="12">
      <c r="B1715" s="327"/>
      <c r="D1715" s="328" t="s">
        <v>155</v>
      </c>
      <c r="E1715" s="329" t="s">
        <v>1</v>
      </c>
      <c r="F1715" s="345" t="s">
        <v>495</v>
      </c>
      <c r="H1715" s="329" t="s">
        <v>1</v>
      </c>
      <c r="I1715" s="497"/>
      <c r="L1715" s="331"/>
      <c r="M1715" s="332"/>
      <c r="N1715" s="333"/>
      <c r="O1715" s="333"/>
      <c r="P1715" s="333"/>
      <c r="Q1715" s="333"/>
      <c r="R1715" s="333"/>
      <c r="S1715" s="333"/>
      <c r="T1715" s="334"/>
      <c r="AT1715" s="329" t="s">
        <v>155</v>
      </c>
      <c r="AU1715" s="329" t="s">
        <v>83</v>
      </c>
      <c r="AV1715" s="326" t="s">
        <v>81</v>
      </c>
      <c r="AW1715" s="326" t="s">
        <v>34</v>
      </c>
      <c r="AX1715" s="326" t="s">
        <v>76</v>
      </c>
      <c r="AY1715" s="329" t="s">
        <v>146</v>
      </c>
    </row>
    <row r="1716" spans="2:51" s="335" customFormat="1" ht="12">
      <c r="B1716" s="336"/>
      <c r="D1716" s="328" t="s">
        <v>155</v>
      </c>
      <c r="E1716" s="337" t="s">
        <v>1</v>
      </c>
      <c r="F1716" s="346" t="s">
        <v>2979</v>
      </c>
      <c r="H1716" s="339">
        <f>32.64+15.49+7.55+7.33</f>
        <v>63.01</v>
      </c>
      <c r="I1716" s="498"/>
      <c r="L1716" s="340"/>
      <c r="M1716" s="341"/>
      <c r="N1716" s="342"/>
      <c r="O1716" s="342"/>
      <c r="P1716" s="342"/>
      <c r="Q1716" s="342"/>
      <c r="R1716" s="342"/>
      <c r="S1716" s="342"/>
      <c r="T1716" s="343"/>
      <c r="AT1716" s="337" t="s">
        <v>155</v>
      </c>
      <c r="AU1716" s="337" t="s">
        <v>83</v>
      </c>
      <c r="AV1716" s="335" t="s">
        <v>83</v>
      </c>
      <c r="AW1716" s="335" t="s">
        <v>34</v>
      </c>
      <c r="AX1716" s="335" t="s">
        <v>76</v>
      </c>
      <c r="AY1716" s="337" t="s">
        <v>146</v>
      </c>
    </row>
    <row r="1717" spans="2:51" s="347" customFormat="1" ht="12">
      <c r="B1717" s="348"/>
      <c r="D1717" s="328" t="s">
        <v>155</v>
      </c>
      <c r="E1717" s="349" t="s">
        <v>1</v>
      </c>
      <c r="F1717" s="350" t="s">
        <v>157</v>
      </c>
      <c r="H1717" s="351">
        <f>SUM(H1714:H1716)</f>
        <v>181.47</v>
      </c>
      <c r="I1717" s="499"/>
      <c r="L1717" s="352"/>
      <c r="M1717" s="353"/>
      <c r="N1717" s="354"/>
      <c r="O1717" s="354"/>
      <c r="P1717" s="354"/>
      <c r="Q1717" s="354"/>
      <c r="R1717" s="354"/>
      <c r="S1717" s="354"/>
      <c r="T1717" s="355"/>
      <c r="AT1717" s="349" t="s">
        <v>155</v>
      </c>
      <c r="AU1717" s="349" t="s">
        <v>83</v>
      </c>
      <c r="AV1717" s="347" t="s">
        <v>153</v>
      </c>
      <c r="AW1717" s="347" t="s">
        <v>34</v>
      </c>
      <c r="AX1717" s="347" t="s">
        <v>81</v>
      </c>
      <c r="AY1717" s="349" t="s">
        <v>146</v>
      </c>
    </row>
    <row r="1718" spans="1:65" s="225" customFormat="1" ht="24.2" customHeight="1">
      <c r="A1718" s="222"/>
      <c r="B1718" s="223"/>
      <c r="C1718" s="314">
        <v>357</v>
      </c>
      <c r="D1718" s="314" t="s">
        <v>148</v>
      </c>
      <c r="E1718" s="315" t="s">
        <v>1236</v>
      </c>
      <c r="F1718" s="344" t="s">
        <v>3670</v>
      </c>
      <c r="G1718" s="317" t="s">
        <v>151</v>
      </c>
      <c r="H1718" s="318">
        <f>H1741</f>
        <v>185.13665</v>
      </c>
      <c r="I1718" s="79"/>
      <c r="J1718" s="319">
        <f>ROUND(I1718*H1718,2)</f>
        <v>0</v>
      </c>
      <c r="K1718" s="316"/>
      <c r="L1718" s="229"/>
      <c r="M1718" s="320" t="s">
        <v>1</v>
      </c>
      <c r="N1718" s="321" t="s">
        <v>42</v>
      </c>
      <c r="O1718" s="322">
        <v>1.43</v>
      </c>
      <c r="P1718" s="322">
        <f>O1718*H1718</f>
        <v>264.7454095</v>
      </c>
      <c r="Q1718" s="322">
        <v>0.009</v>
      </c>
      <c r="R1718" s="322">
        <f>Q1718*H1718</f>
        <v>1.66622985</v>
      </c>
      <c r="S1718" s="322">
        <v>0</v>
      </c>
      <c r="T1718" s="323">
        <f>S1718*H1718</f>
        <v>0</v>
      </c>
      <c r="U1718" s="222"/>
      <c r="V1718" s="222"/>
      <c r="W1718" s="222"/>
      <c r="X1718" s="222"/>
      <c r="Y1718" s="222"/>
      <c r="Z1718" s="222"/>
      <c r="AA1718" s="222"/>
      <c r="AB1718" s="222"/>
      <c r="AC1718" s="222"/>
      <c r="AD1718" s="222"/>
      <c r="AE1718" s="222"/>
      <c r="AR1718" s="324" t="s">
        <v>212</v>
      </c>
      <c r="AT1718" s="324" t="s">
        <v>148</v>
      </c>
      <c r="AU1718" s="324" t="s">
        <v>83</v>
      </c>
      <c r="AY1718" s="214" t="s">
        <v>146</v>
      </c>
      <c r="BE1718" s="325">
        <f>IF(N1718="základní",J1718,0)</f>
        <v>0</v>
      </c>
      <c r="BF1718" s="325">
        <f>IF(N1718="snížená",J1718,0)</f>
        <v>0</v>
      </c>
      <c r="BG1718" s="325">
        <f>IF(N1718="zákl. přenesená",J1718,0)</f>
        <v>0</v>
      </c>
      <c r="BH1718" s="325">
        <f>IF(N1718="sníž. přenesená",J1718,0)</f>
        <v>0</v>
      </c>
      <c r="BI1718" s="325">
        <f>IF(N1718="nulová",J1718,0)</f>
        <v>0</v>
      </c>
      <c r="BJ1718" s="214" t="s">
        <v>81</v>
      </c>
      <c r="BK1718" s="325">
        <f>ROUND(I1718*H1718,2)</f>
        <v>0</v>
      </c>
      <c r="BL1718" s="214" t="s">
        <v>212</v>
      </c>
      <c r="BM1718" s="324" t="s">
        <v>1237</v>
      </c>
    </row>
    <row r="1719" spans="2:51" s="335" customFormat="1" ht="12">
      <c r="B1719" s="336"/>
      <c r="D1719" s="328" t="s">
        <v>155</v>
      </c>
      <c r="E1719" s="337" t="s">
        <v>1</v>
      </c>
      <c r="F1719" s="346" t="s">
        <v>2996</v>
      </c>
      <c r="H1719" s="339">
        <f>(3.82*2.9+1*1.6-0.7*0.4-1*1.8)</f>
        <v>10.597999999999999</v>
      </c>
      <c r="I1719" s="498"/>
      <c r="L1719" s="340"/>
      <c r="M1719" s="341"/>
      <c r="N1719" s="342"/>
      <c r="O1719" s="342"/>
      <c r="P1719" s="342"/>
      <c r="Q1719" s="342"/>
      <c r="R1719" s="342"/>
      <c r="S1719" s="342"/>
      <c r="T1719" s="343"/>
      <c r="AT1719" s="337" t="s">
        <v>155</v>
      </c>
      <c r="AU1719" s="337" t="s">
        <v>83</v>
      </c>
      <c r="AV1719" s="335" t="s">
        <v>83</v>
      </c>
      <c r="AW1719" s="335" t="s">
        <v>34</v>
      </c>
      <c r="AX1719" s="335" t="s">
        <v>76</v>
      </c>
      <c r="AY1719" s="337" t="s">
        <v>146</v>
      </c>
    </row>
    <row r="1720" spans="2:51" s="335" customFormat="1" ht="12">
      <c r="B1720" s="336"/>
      <c r="D1720" s="328" t="s">
        <v>155</v>
      </c>
      <c r="E1720" s="337" t="s">
        <v>1</v>
      </c>
      <c r="F1720" s="346" t="s">
        <v>2997</v>
      </c>
      <c r="H1720" s="339">
        <f>(1.2*1.725+1.15*0.925+1*0.15)</f>
        <v>3.28375</v>
      </c>
      <c r="I1720" s="498"/>
      <c r="L1720" s="340"/>
      <c r="M1720" s="341"/>
      <c r="N1720" s="342"/>
      <c r="O1720" s="342"/>
      <c r="P1720" s="342"/>
      <c r="Q1720" s="342"/>
      <c r="R1720" s="342"/>
      <c r="S1720" s="342"/>
      <c r="T1720" s="343"/>
      <c r="AT1720" s="337" t="s">
        <v>155</v>
      </c>
      <c r="AU1720" s="337" t="s">
        <v>83</v>
      </c>
      <c r="AV1720" s="335" t="s">
        <v>83</v>
      </c>
      <c r="AW1720" s="335" t="s">
        <v>34</v>
      </c>
      <c r="AX1720" s="335" t="s">
        <v>76</v>
      </c>
      <c r="AY1720" s="337" t="s">
        <v>146</v>
      </c>
    </row>
    <row r="1721" spans="2:51" s="335" customFormat="1" ht="12">
      <c r="B1721" s="336"/>
      <c r="D1721" s="328" t="s">
        <v>155</v>
      </c>
      <c r="E1721" s="337" t="s">
        <v>1</v>
      </c>
      <c r="F1721" s="346" t="s">
        <v>2998</v>
      </c>
      <c r="H1721" s="339">
        <f>1.55*0.9</f>
        <v>1.395</v>
      </c>
      <c r="I1721" s="498"/>
      <c r="L1721" s="340"/>
      <c r="M1721" s="341"/>
      <c r="N1721" s="342"/>
      <c r="O1721" s="342"/>
      <c r="P1721" s="342"/>
      <c r="Q1721" s="342"/>
      <c r="R1721" s="342"/>
      <c r="S1721" s="342"/>
      <c r="T1721" s="343"/>
      <c r="AT1721" s="337" t="s">
        <v>155</v>
      </c>
      <c r="AU1721" s="337" t="s">
        <v>83</v>
      </c>
      <c r="AV1721" s="335" t="s">
        <v>83</v>
      </c>
      <c r="AW1721" s="335" t="s">
        <v>34</v>
      </c>
      <c r="AX1721" s="335" t="s">
        <v>76</v>
      </c>
      <c r="AY1721" s="337" t="s">
        <v>146</v>
      </c>
    </row>
    <row r="1722" spans="2:51" s="335" customFormat="1" ht="12">
      <c r="B1722" s="336"/>
      <c r="D1722" s="328" t="s">
        <v>155</v>
      </c>
      <c r="E1722" s="337" t="s">
        <v>1</v>
      </c>
      <c r="F1722" s="346" t="s">
        <v>3005</v>
      </c>
      <c r="H1722" s="339">
        <f>(2.675*2.85-0.4*0.4-0.9*0.1)</f>
        <v>7.373749999999999</v>
      </c>
      <c r="I1722" s="498"/>
      <c r="L1722" s="340"/>
      <c r="M1722" s="341"/>
      <c r="N1722" s="342"/>
      <c r="O1722" s="342"/>
      <c r="P1722" s="342"/>
      <c r="Q1722" s="342"/>
      <c r="R1722" s="342"/>
      <c r="S1722" s="342"/>
      <c r="T1722" s="343"/>
      <c r="AT1722" s="337" t="s">
        <v>155</v>
      </c>
      <c r="AU1722" s="337" t="s">
        <v>83</v>
      </c>
      <c r="AV1722" s="335" t="s">
        <v>83</v>
      </c>
      <c r="AW1722" s="335" t="s">
        <v>34</v>
      </c>
      <c r="AX1722" s="335" t="s">
        <v>76</v>
      </c>
      <c r="AY1722" s="337" t="s">
        <v>146</v>
      </c>
    </row>
    <row r="1723" spans="2:51" s="335" customFormat="1" ht="12">
      <c r="B1723" s="336"/>
      <c r="D1723" s="328" t="s">
        <v>155</v>
      </c>
      <c r="E1723" s="337" t="s">
        <v>1</v>
      </c>
      <c r="F1723" s="346" t="s">
        <v>2999</v>
      </c>
      <c r="H1723" s="339">
        <f>(1.2*1.825+0.8*0.15)</f>
        <v>2.31</v>
      </c>
      <c r="I1723" s="498"/>
      <c r="L1723" s="340"/>
      <c r="M1723" s="341"/>
      <c r="N1723" s="342"/>
      <c r="O1723" s="342"/>
      <c r="P1723" s="342"/>
      <c r="Q1723" s="342"/>
      <c r="R1723" s="342"/>
      <c r="S1723" s="342"/>
      <c r="T1723" s="343"/>
      <c r="AT1723" s="337" t="s">
        <v>155</v>
      </c>
      <c r="AU1723" s="337" t="s">
        <v>83</v>
      </c>
      <c r="AV1723" s="335" t="s">
        <v>83</v>
      </c>
      <c r="AW1723" s="335" t="s">
        <v>34</v>
      </c>
      <c r="AX1723" s="335" t="s">
        <v>76</v>
      </c>
      <c r="AY1723" s="337" t="s">
        <v>146</v>
      </c>
    </row>
    <row r="1724" spans="2:51" s="335" customFormat="1" ht="12">
      <c r="B1724" s="336"/>
      <c r="D1724" s="328" t="s">
        <v>155</v>
      </c>
      <c r="E1724" s="337" t="s">
        <v>1</v>
      </c>
      <c r="F1724" s="346" t="s">
        <v>3000</v>
      </c>
      <c r="H1724" s="339">
        <f>(1.15*1.95)</f>
        <v>2.2424999999999997</v>
      </c>
      <c r="I1724" s="498"/>
      <c r="L1724" s="340"/>
      <c r="M1724" s="341"/>
      <c r="N1724" s="342"/>
      <c r="O1724" s="342"/>
      <c r="P1724" s="342"/>
      <c r="Q1724" s="342"/>
      <c r="R1724" s="342"/>
      <c r="S1724" s="342"/>
      <c r="T1724" s="343"/>
      <c r="AT1724" s="337" t="s">
        <v>155</v>
      </c>
      <c r="AU1724" s="337" t="s">
        <v>83</v>
      </c>
      <c r="AV1724" s="335" t="s">
        <v>83</v>
      </c>
      <c r="AW1724" s="335" t="s">
        <v>34</v>
      </c>
      <c r="AX1724" s="335" t="s">
        <v>76</v>
      </c>
      <c r="AY1724" s="337" t="s">
        <v>146</v>
      </c>
    </row>
    <row r="1725" spans="2:51" s="335" customFormat="1" ht="12">
      <c r="B1725" s="336"/>
      <c r="D1725" s="328" t="s">
        <v>155</v>
      </c>
      <c r="E1725" s="337" t="s">
        <v>1</v>
      </c>
      <c r="F1725" s="346" t="s">
        <v>3001</v>
      </c>
      <c r="H1725" s="339">
        <f>(1.95*1.95+2.1*1.35+0.85*0.1+0.8*(0.2+0.15))</f>
        <v>7.0025</v>
      </c>
      <c r="I1725" s="498"/>
      <c r="L1725" s="340"/>
      <c r="M1725" s="341"/>
      <c r="N1725" s="342"/>
      <c r="O1725" s="342"/>
      <c r="P1725" s="342"/>
      <c r="Q1725" s="342"/>
      <c r="R1725" s="342"/>
      <c r="S1725" s="342"/>
      <c r="T1725" s="343"/>
      <c r="AT1725" s="337" t="s">
        <v>155</v>
      </c>
      <c r="AU1725" s="337" t="s">
        <v>83</v>
      </c>
      <c r="AV1725" s="335" t="s">
        <v>83</v>
      </c>
      <c r="AW1725" s="335" t="s">
        <v>34</v>
      </c>
      <c r="AX1725" s="335" t="s">
        <v>76</v>
      </c>
      <c r="AY1725" s="337" t="s">
        <v>146</v>
      </c>
    </row>
    <row r="1726" spans="2:51" s="335" customFormat="1" ht="12">
      <c r="B1726" s="336"/>
      <c r="D1726" s="328" t="s">
        <v>155</v>
      </c>
      <c r="E1726" s="337" t="s">
        <v>1</v>
      </c>
      <c r="F1726" s="346" t="s">
        <v>3002</v>
      </c>
      <c r="H1726" s="339">
        <f>(1.55*1+0.7*0.1)</f>
        <v>1.62</v>
      </c>
      <c r="I1726" s="498"/>
      <c r="L1726" s="340"/>
      <c r="M1726" s="341"/>
      <c r="N1726" s="342"/>
      <c r="O1726" s="342"/>
      <c r="P1726" s="342"/>
      <c r="Q1726" s="342"/>
      <c r="R1726" s="342"/>
      <c r="S1726" s="342"/>
      <c r="T1726" s="343"/>
      <c r="AT1726" s="337" t="s">
        <v>155</v>
      </c>
      <c r="AU1726" s="337" t="s">
        <v>83</v>
      </c>
      <c r="AV1726" s="335" t="s">
        <v>83</v>
      </c>
      <c r="AW1726" s="335" t="s">
        <v>34</v>
      </c>
      <c r="AX1726" s="335" t="s">
        <v>76</v>
      </c>
      <c r="AY1726" s="337" t="s">
        <v>146</v>
      </c>
    </row>
    <row r="1727" spans="2:51" s="335" customFormat="1" ht="12">
      <c r="B1727" s="336"/>
      <c r="D1727" s="328" t="s">
        <v>155</v>
      </c>
      <c r="E1727" s="337" t="s">
        <v>1</v>
      </c>
      <c r="F1727" s="346" t="s">
        <v>3003</v>
      </c>
      <c r="H1727" s="339">
        <f>(1.55*1+0.7*0.1-0.25*0.2)</f>
        <v>1.57</v>
      </c>
      <c r="I1727" s="498"/>
      <c r="L1727" s="340"/>
      <c r="M1727" s="341"/>
      <c r="N1727" s="342"/>
      <c r="O1727" s="342"/>
      <c r="P1727" s="342"/>
      <c r="Q1727" s="342"/>
      <c r="R1727" s="342"/>
      <c r="S1727" s="342"/>
      <c r="T1727" s="343"/>
      <c r="AT1727" s="337" t="s">
        <v>155</v>
      </c>
      <c r="AU1727" s="337" t="s">
        <v>83</v>
      </c>
      <c r="AV1727" s="335" t="s">
        <v>83</v>
      </c>
      <c r="AW1727" s="335" t="s">
        <v>34</v>
      </c>
      <c r="AX1727" s="335" t="s">
        <v>76</v>
      </c>
      <c r="AY1727" s="337" t="s">
        <v>146</v>
      </c>
    </row>
    <row r="1728" spans="2:51" s="335" customFormat="1" ht="22.5">
      <c r="B1728" s="336"/>
      <c r="D1728" s="328" t="s">
        <v>155</v>
      </c>
      <c r="E1728" s="337" t="s">
        <v>1</v>
      </c>
      <c r="F1728" s="346" t="s">
        <v>3004</v>
      </c>
      <c r="H1728" s="339">
        <f>(4.15*3.525+2.025*0.475+1.025*(2.025+0.575)+0.9*0.2)</f>
        <v>18.435624999999998</v>
      </c>
      <c r="I1728" s="498"/>
      <c r="L1728" s="340"/>
      <c r="M1728" s="341"/>
      <c r="N1728" s="342"/>
      <c r="O1728" s="342"/>
      <c r="P1728" s="342"/>
      <c r="Q1728" s="342"/>
      <c r="R1728" s="342"/>
      <c r="S1728" s="342"/>
      <c r="T1728" s="343"/>
      <c r="AT1728" s="337" t="s">
        <v>155</v>
      </c>
      <c r="AU1728" s="337" t="s">
        <v>83</v>
      </c>
      <c r="AV1728" s="335" t="s">
        <v>83</v>
      </c>
      <c r="AW1728" s="335" t="s">
        <v>34</v>
      </c>
      <c r="AX1728" s="335" t="s">
        <v>76</v>
      </c>
      <c r="AY1728" s="337" t="s">
        <v>146</v>
      </c>
    </row>
    <row r="1729" spans="2:51" s="335" customFormat="1" ht="12">
      <c r="B1729" s="336"/>
      <c r="D1729" s="328" t="s">
        <v>155</v>
      </c>
      <c r="E1729" s="337" t="s">
        <v>1</v>
      </c>
      <c r="F1729" s="346" t="s">
        <v>3006</v>
      </c>
      <c r="H1729" s="339">
        <f>(2.025*2.025+3.025*1+0.7*0.1-0.9*0.1*2)</f>
        <v>7.015625</v>
      </c>
      <c r="I1729" s="498"/>
      <c r="L1729" s="340"/>
      <c r="M1729" s="341"/>
      <c r="N1729" s="342"/>
      <c r="O1729" s="342"/>
      <c r="P1729" s="342"/>
      <c r="Q1729" s="342"/>
      <c r="R1729" s="342"/>
      <c r="S1729" s="342"/>
      <c r="T1729" s="343"/>
      <c r="AT1729" s="337" t="s">
        <v>155</v>
      </c>
      <c r="AU1729" s="337" t="s">
        <v>83</v>
      </c>
      <c r="AV1729" s="335" t="s">
        <v>83</v>
      </c>
      <c r="AW1729" s="335" t="s">
        <v>34</v>
      </c>
      <c r="AX1729" s="335" t="s">
        <v>76</v>
      </c>
      <c r="AY1729" s="337" t="s">
        <v>146</v>
      </c>
    </row>
    <row r="1730" spans="2:51" s="335" customFormat="1" ht="12">
      <c r="B1730" s="336"/>
      <c r="D1730" s="328" t="s">
        <v>155</v>
      </c>
      <c r="E1730" s="337" t="s">
        <v>1</v>
      </c>
      <c r="F1730" s="346" t="s">
        <v>3007</v>
      </c>
      <c r="H1730" s="339">
        <f>(3.525*1.55+2.55*5.9-0.25*0.25-0.1*0.5)</f>
        <v>20.39625</v>
      </c>
      <c r="I1730" s="498"/>
      <c r="L1730" s="340"/>
      <c r="M1730" s="341"/>
      <c r="N1730" s="342"/>
      <c r="O1730" s="342"/>
      <c r="P1730" s="342"/>
      <c r="Q1730" s="342"/>
      <c r="R1730" s="342"/>
      <c r="S1730" s="342"/>
      <c r="T1730" s="343"/>
      <c r="AT1730" s="337" t="s">
        <v>155</v>
      </c>
      <c r="AU1730" s="337" t="s">
        <v>83</v>
      </c>
      <c r="AV1730" s="335" t="s">
        <v>83</v>
      </c>
      <c r="AW1730" s="335" t="s">
        <v>34</v>
      </c>
      <c r="AX1730" s="335" t="s">
        <v>76</v>
      </c>
      <c r="AY1730" s="337" t="s">
        <v>146</v>
      </c>
    </row>
    <row r="1731" spans="2:51" s="335" customFormat="1" ht="12">
      <c r="B1731" s="336"/>
      <c r="D1731" s="328" t="s">
        <v>155</v>
      </c>
      <c r="E1731" s="337" t="s">
        <v>1</v>
      </c>
      <c r="F1731" s="346" t="s">
        <v>3008</v>
      </c>
      <c r="H1731" s="339">
        <f>(6*1.55+0.8*0.15+1*0.3+0.1*1)</f>
        <v>9.82</v>
      </c>
      <c r="I1731" s="498"/>
      <c r="L1731" s="340"/>
      <c r="M1731" s="341"/>
      <c r="N1731" s="342"/>
      <c r="O1731" s="342"/>
      <c r="P1731" s="342"/>
      <c r="Q1731" s="342"/>
      <c r="R1731" s="342"/>
      <c r="S1731" s="342"/>
      <c r="T1731" s="343"/>
      <c r="AT1731" s="337" t="s">
        <v>155</v>
      </c>
      <c r="AU1731" s="337" t="s">
        <v>83</v>
      </c>
      <c r="AV1731" s="335" t="s">
        <v>83</v>
      </c>
      <c r="AW1731" s="335" t="s">
        <v>34</v>
      </c>
      <c r="AX1731" s="335" t="s">
        <v>76</v>
      </c>
      <c r="AY1731" s="337" t="s">
        <v>146</v>
      </c>
    </row>
    <row r="1732" spans="2:51" s="335" customFormat="1" ht="12">
      <c r="B1732" s="336"/>
      <c r="D1732" s="328" t="s">
        <v>155</v>
      </c>
      <c r="E1732" s="337" t="s">
        <v>1</v>
      </c>
      <c r="F1732" s="346" t="s">
        <v>3009</v>
      </c>
      <c r="H1732" s="339">
        <f>(17.7*1.6+0.8*0.15)</f>
        <v>28.44</v>
      </c>
      <c r="I1732" s="498"/>
      <c r="L1732" s="340"/>
      <c r="M1732" s="341"/>
      <c r="N1732" s="342"/>
      <c r="O1732" s="342"/>
      <c r="P1732" s="342"/>
      <c r="Q1732" s="342"/>
      <c r="R1732" s="342"/>
      <c r="S1732" s="342"/>
      <c r="T1732" s="343"/>
      <c r="AT1732" s="337" t="s">
        <v>155</v>
      </c>
      <c r="AU1732" s="337" t="s">
        <v>83</v>
      </c>
      <c r="AV1732" s="335" t="s">
        <v>83</v>
      </c>
      <c r="AW1732" s="335" t="s">
        <v>34</v>
      </c>
      <c r="AX1732" s="335" t="s">
        <v>76</v>
      </c>
      <c r="AY1732" s="337" t="s">
        <v>146</v>
      </c>
    </row>
    <row r="1733" spans="2:51" s="335" customFormat="1" ht="12">
      <c r="B1733" s="336"/>
      <c r="D1733" s="328" t="s">
        <v>155</v>
      </c>
      <c r="E1733" s="337" t="s">
        <v>1</v>
      </c>
      <c r="F1733" s="346" t="s">
        <v>3010</v>
      </c>
      <c r="H1733" s="339">
        <f>3.6*2.1</f>
        <v>7.5600000000000005</v>
      </c>
      <c r="I1733" s="498"/>
      <c r="L1733" s="340"/>
      <c r="M1733" s="341"/>
      <c r="N1733" s="342"/>
      <c r="O1733" s="342"/>
      <c r="P1733" s="342"/>
      <c r="Q1733" s="342"/>
      <c r="R1733" s="342"/>
      <c r="S1733" s="342"/>
      <c r="T1733" s="343"/>
      <c r="AT1733" s="337" t="s">
        <v>155</v>
      </c>
      <c r="AU1733" s="337" t="s">
        <v>83</v>
      </c>
      <c r="AV1733" s="335" t="s">
        <v>83</v>
      </c>
      <c r="AW1733" s="335" t="s">
        <v>34</v>
      </c>
      <c r="AX1733" s="335" t="s">
        <v>76</v>
      </c>
      <c r="AY1733" s="337" t="s">
        <v>146</v>
      </c>
    </row>
    <row r="1734" spans="2:51" s="335" customFormat="1" ht="12">
      <c r="B1734" s="336"/>
      <c r="D1734" s="328" t="s">
        <v>155</v>
      </c>
      <c r="E1734" s="337" t="s">
        <v>1</v>
      </c>
      <c r="F1734" s="346" t="s">
        <v>2989</v>
      </c>
      <c r="H1734" s="339">
        <f>(3.6*2.3-0.7*0.4+3.6*2.4-0.4*0.4)</f>
        <v>16.48</v>
      </c>
      <c r="I1734" s="498"/>
      <c r="L1734" s="340"/>
      <c r="M1734" s="341"/>
      <c r="N1734" s="342"/>
      <c r="O1734" s="342"/>
      <c r="P1734" s="342"/>
      <c r="Q1734" s="342"/>
      <c r="R1734" s="342"/>
      <c r="S1734" s="342"/>
      <c r="T1734" s="343"/>
      <c r="AT1734" s="337" t="s">
        <v>155</v>
      </c>
      <c r="AU1734" s="337" t="s">
        <v>83</v>
      </c>
      <c r="AV1734" s="335" t="s">
        <v>83</v>
      </c>
      <c r="AW1734" s="335" t="s">
        <v>34</v>
      </c>
      <c r="AX1734" s="335" t="s">
        <v>76</v>
      </c>
      <c r="AY1734" s="337" t="s">
        <v>146</v>
      </c>
    </row>
    <row r="1735" spans="2:51" s="335" customFormat="1" ht="12">
      <c r="B1735" s="336"/>
      <c r="D1735" s="328" t="s">
        <v>155</v>
      </c>
      <c r="E1735" s="337" t="s">
        <v>1</v>
      </c>
      <c r="F1735" s="346" t="s">
        <v>2990</v>
      </c>
      <c r="H1735" s="339">
        <f>16.7*1.6</f>
        <v>26.72</v>
      </c>
      <c r="I1735" s="498"/>
      <c r="L1735" s="340"/>
      <c r="M1735" s="341"/>
      <c r="N1735" s="342"/>
      <c r="O1735" s="342"/>
      <c r="P1735" s="342"/>
      <c r="Q1735" s="342"/>
      <c r="R1735" s="342"/>
      <c r="S1735" s="342"/>
      <c r="T1735" s="343"/>
      <c r="AT1735" s="337" t="s">
        <v>155</v>
      </c>
      <c r="AU1735" s="337" t="s">
        <v>83</v>
      </c>
      <c r="AV1735" s="335" t="s">
        <v>83</v>
      </c>
      <c r="AW1735" s="335" t="s">
        <v>34</v>
      </c>
      <c r="AX1735" s="335" t="s">
        <v>76</v>
      </c>
      <c r="AY1735" s="337" t="s">
        <v>146</v>
      </c>
    </row>
    <row r="1736" spans="2:51" s="335" customFormat="1" ht="12">
      <c r="B1736" s="336"/>
      <c r="D1736" s="328" t="s">
        <v>155</v>
      </c>
      <c r="E1736" s="337" t="s">
        <v>1</v>
      </c>
      <c r="F1736" s="346" t="s">
        <v>2991</v>
      </c>
      <c r="H1736" s="339">
        <f>1.5*1.725</f>
        <v>2.5875000000000004</v>
      </c>
      <c r="I1736" s="498"/>
      <c r="L1736" s="340"/>
      <c r="M1736" s="341"/>
      <c r="N1736" s="342"/>
      <c r="O1736" s="342"/>
      <c r="P1736" s="342"/>
      <c r="Q1736" s="342"/>
      <c r="R1736" s="342"/>
      <c r="S1736" s="342"/>
      <c r="T1736" s="343"/>
      <c r="AT1736" s="337" t="s">
        <v>155</v>
      </c>
      <c r="AU1736" s="337" t="s">
        <v>83</v>
      </c>
      <c r="AV1736" s="335" t="s">
        <v>83</v>
      </c>
      <c r="AW1736" s="335" t="s">
        <v>34</v>
      </c>
      <c r="AX1736" s="335" t="s">
        <v>76</v>
      </c>
      <c r="AY1736" s="337" t="s">
        <v>146</v>
      </c>
    </row>
    <row r="1737" spans="2:51" s="335" customFormat="1" ht="12">
      <c r="B1737" s="336"/>
      <c r="D1737" s="328" t="s">
        <v>155</v>
      </c>
      <c r="E1737" s="337" t="s">
        <v>1</v>
      </c>
      <c r="F1737" s="346" t="s">
        <v>2992</v>
      </c>
      <c r="H1737" s="339">
        <f>1.5*1.7</f>
        <v>2.55</v>
      </c>
      <c r="I1737" s="498"/>
      <c r="L1737" s="340"/>
      <c r="M1737" s="341"/>
      <c r="N1737" s="342"/>
      <c r="O1737" s="342"/>
      <c r="P1737" s="342"/>
      <c r="Q1737" s="342"/>
      <c r="R1737" s="342"/>
      <c r="S1737" s="342"/>
      <c r="T1737" s="343"/>
      <c r="AT1737" s="337" t="s">
        <v>155</v>
      </c>
      <c r="AU1737" s="337" t="s">
        <v>83</v>
      </c>
      <c r="AV1737" s="335" t="s">
        <v>83</v>
      </c>
      <c r="AW1737" s="335" t="s">
        <v>34</v>
      </c>
      <c r="AX1737" s="335" t="s">
        <v>76</v>
      </c>
      <c r="AY1737" s="337" t="s">
        <v>146</v>
      </c>
    </row>
    <row r="1738" spans="2:51" s="335" customFormat="1" ht="12">
      <c r="B1738" s="336"/>
      <c r="D1738" s="328" t="s">
        <v>155</v>
      </c>
      <c r="E1738" s="337" t="s">
        <v>1</v>
      </c>
      <c r="F1738" s="346" t="s">
        <v>2993</v>
      </c>
      <c r="H1738" s="339">
        <f>1.85*1.6</f>
        <v>2.9600000000000004</v>
      </c>
      <c r="I1738" s="498"/>
      <c r="L1738" s="340"/>
      <c r="M1738" s="341"/>
      <c r="N1738" s="342"/>
      <c r="O1738" s="342"/>
      <c r="P1738" s="342"/>
      <c r="Q1738" s="342"/>
      <c r="R1738" s="342"/>
      <c r="S1738" s="342"/>
      <c r="T1738" s="343"/>
      <c r="AT1738" s="337" t="s">
        <v>155</v>
      </c>
      <c r="AU1738" s="337" t="s">
        <v>83</v>
      </c>
      <c r="AV1738" s="335" t="s">
        <v>83</v>
      </c>
      <c r="AW1738" s="335" t="s">
        <v>34</v>
      </c>
      <c r="AX1738" s="335" t="s">
        <v>76</v>
      </c>
      <c r="AY1738" s="337" t="s">
        <v>146</v>
      </c>
    </row>
    <row r="1739" spans="2:51" s="335" customFormat="1" ht="12">
      <c r="B1739" s="336"/>
      <c r="D1739" s="328" t="s">
        <v>155</v>
      </c>
      <c r="E1739" s="337" t="s">
        <v>1</v>
      </c>
      <c r="F1739" s="346" t="s">
        <v>2994</v>
      </c>
      <c r="H1739" s="339">
        <f>(2.28*1.65-3.14*0.9*0.9/4)</f>
        <v>3.1261499999999995</v>
      </c>
      <c r="I1739" s="498"/>
      <c r="L1739" s="340"/>
      <c r="M1739" s="341"/>
      <c r="N1739" s="342"/>
      <c r="O1739" s="342"/>
      <c r="P1739" s="342"/>
      <c r="Q1739" s="342"/>
      <c r="R1739" s="342"/>
      <c r="S1739" s="342"/>
      <c r="T1739" s="343"/>
      <c r="AT1739" s="337" t="s">
        <v>155</v>
      </c>
      <c r="AU1739" s="337" t="s">
        <v>83</v>
      </c>
      <c r="AV1739" s="335" t="s">
        <v>83</v>
      </c>
      <c r="AW1739" s="335" t="s">
        <v>34</v>
      </c>
      <c r="AX1739" s="335" t="s">
        <v>76</v>
      </c>
      <c r="AY1739" s="337" t="s">
        <v>146</v>
      </c>
    </row>
    <row r="1740" spans="2:51" s="335" customFormat="1" ht="12">
      <c r="B1740" s="336"/>
      <c r="D1740" s="328" t="s">
        <v>155</v>
      </c>
      <c r="E1740" s="337" t="s">
        <v>1</v>
      </c>
      <c r="F1740" s="346" t="s">
        <v>2995</v>
      </c>
      <c r="H1740" s="339">
        <f>1*1.65</f>
        <v>1.65</v>
      </c>
      <c r="I1740" s="498"/>
      <c r="L1740" s="340"/>
      <c r="M1740" s="341"/>
      <c r="N1740" s="342"/>
      <c r="O1740" s="342"/>
      <c r="P1740" s="342"/>
      <c r="Q1740" s="342"/>
      <c r="R1740" s="342"/>
      <c r="S1740" s="342"/>
      <c r="T1740" s="343"/>
      <c r="AT1740" s="337" t="s">
        <v>155</v>
      </c>
      <c r="AU1740" s="337" t="s">
        <v>83</v>
      </c>
      <c r="AV1740" s="335" t="s">
        <v>83</v>
      </c>
      <c r="AW1740" s="335" t="s">
        <v>34</v>
      </c>
      <c r="AX1740" s="335" t="s">
        <v>76</v>
      </c>
      <c r="AY1740" s="337" t="s">
        <v>146</v>
      </c>
    </row>
    <row r="1741" spans="2:51" s="347" customFormat="1" ht="12">
      <c r="B1741" s="348"/>
      <c r="D1741" s="328" t="s">
        <v>155</v>
      </c>
      <c r="E1741" s="349" t="s">
        <v>1</v>
      </c>
      <c r="F1741" s="350" t="s">
        <v>157</v>
      </c>
      <c r="H1741" s="351">
        <f>SUM(H1719:H1740)</f>
        <v>185.13665</v>
      </c>
      <c r="I1741" s="499"/>
      <c r="L1741" s="352"/>
      <c r="M1741" s="353"/>
      <c r="N1741" s="354"/>
      <c r="O1741" s="354"/>
      <c r="P1741" s="354"/>
      <c r="Q1741" s="354"/>
      <c r="R1741" s="354"/>
      <c r="S1741" s="354"/>
      <c r="T1741" s="355"/>
      <c r="AT1741" s="349" t="s">
        <v>155</v>
      </c>
      <c r="AU1741" s="349" t="s">
        <v>83</v>
      </c>
      <c r="AV1741" s="347" t="s">
        <v>153</v>
      </c>
      <c r="AW1741" s="347" t="s">
        <v>34</v>
      </c>
      <c r="AX1741" s="347" t="s">
        <v>81</v>
      </c>
      <c r="AY1741" s="349" t="s">
        <v>146</v>
      </c>
    </row>
    <row r="1742" spans="1:65" s="225" customFormat="1" ht="80.25" customHeight="1">
      <c r="A1742" s="222"/>
      <c r="B1742" s="223"/>
      <c r="C1742" s="358">
        <v>358</v>
      </c>
      <c r="D1742" s="358" t="s">
        <v>208</v>
      </c>
      <c r="E1742" s="359"/>
      <c r="F1742" s="360" t="s">
        <v>3761</v>
      </c>
      <c r="G1742" s="361" t="s">
        <v>151</v>
      </c>
      <c r="H1742" s="362">
        <f>H1744</f>
        <v>126.01496250000001</v>
      </c>
      <c r="I1742" s="80"/>
      <c r="J1742" s="363">
        <f>ROUND(I1742*H1742,2)</f>
        <v>0</v>
      </c>
      <c r="K1742" s="364"/>
      <c r="L1742" s="365"/>
      <c r="M1742" s="366" t="s">
        <v>1</v>
      </c>
      <c r="N1742" s="367" t="s">
        <v>42</v>
      </c>
      <c r="O1742" s="322">
        <v>0</v>
      </c>
      <c r="P1742" s="322">
        <f>O1742*H1742</f>
        <v>0</v>
      </c>
      <c r="Q1742" s="322">
        <v>0.023</v>
      </c>
      <c r="R1742" s="322">
        <f>Q1742*H1742</f>
        <v>2.8983441375</v>
      </c>
      <c r="S1742" s="322">
        <v>0</v>
      </c>
      <c r="T1742" s="323">
        <f>S1742*H1742</f>
        <v>0</v>
      </c>
      <c r="U1742" s="222"/>
      <c r="V1742" s="222"/>
      <c r="W1742" s="222"/>
      <c r="X1742" s="222"/>
      <c r="Y1742" s="222"/>
      <c r="Z1742" s="222"/>
      <c r="AA1742" s="222"/>
      <c r="AB1742" s="222"/>
      <c r="AC1742" s="222"/>
      <c r="AD1742" s="222"/>
      <c r="AE1742" s="222"/>
      <c r="AR1742" s="324" t="s">
        <v>298</v>
      </c>
      <c r="AT1742" s="324" t="s">
        <v>208</v>
      </c>
      <c r="AU1742" s="324" t="s">
        <v>83</v>
      </c>
      <c r="AY1742" s="214" t="s">
        <v>146</v>
      </c>
      <c r="BE1742" s="325">
        <f>IF(N1742="základní",J1742,0)</f>
        <v>0</v>
      </c>
      <c r="BF1742" s="325">
        <f>IF(N1742="snížená",J1742,0)</f>
        <v>0</v>
      </c>
      <c r="BG1742" s="325">
        <f>IF(N1742="zákl. přenesená",J1742,0)</f>
        <v>0</v>
      </c>
      <c r="BH1742" s="325">
        <f>IF(N1742="sníž. přenesená",J1742,0)</f>
        <v>0</v>
      </c>
      <c r="BI1742" s="325">
        <f>IF(N1742="nulová",J1742,0)</f>
        <v>0</v>
      </c>
      <c r="BJ1742" s="214" t="s">
        <v>81</v>
      </c>
      <c r="BK1742" s="325">
        <f>ROUND(I1742*H1742,2)</f>
        <v>0</v>
      </c>
      <c r="BL1742" s="214" t="s">
        <v>212</v>
      </c>
      <c r="BM1742" s="324" t="s">
        <v>1238</v>
      </c>
    </row>
    <row r="1743" spans="2:51" s="326" customFormat="1" ht="22.5">
      <c r="B1743" s="327"/>
      <c r="D1743" s="328" t="s">
        <v>155</v>
      </c>
      <c r="E1743" s="329" t="s">
        <v>1</v>
      </c>
      <c r="F1743" s="345" t="s">
        <v>3035</v>
      </c>
      <c r="H1743" s="329" t="s">
        <v>1</v>
      </c>
      <c r="I1743" s="497"/>
      <c r="L1743" s="331"/>
      <c r="M1743" s="332"/>
      <c r="N1743" s="333"/>
      <c r="O1743" s="333"/>
      <c r="P1743" s="333"/>
      <c r="Q1743" s="333"/>
      <c r="R1743" s="333"/>
      <c r="S1743" s="333"/>
      <c r="T1743" s="334"/>
      <c r="AT1743" s="329" t="s">
        <v>155</v>
      </c>
      <c r="AU1743" s="329" t="s">
        <v>83</v>
      </c>
      <c r="AV1743" s="326" t="s">
        <v>81</v>
      </c>
      <c r="AW1743" s="326" t="s">
        <v>34</v>
      </c>
      <c r="AX1743" s="326" t="s">
        <v>76</v>
      </c>
      <c r="AY1743" s="329" t="s">
        <v>146</v>
      </c>
    </row>
    <row r="1744" spans="2:51" s="335" customFormat="1" ht="12">
      <c r="B1744" s="336"/>
      <c r="D1744" s="328" t="s">
        <v>155</v>
      </c>
      <c r="F1744" s="346" t="s">
        <v>2814</v>
      </c>
      <c r="H1744" s="339">
        <f>(H1719+H1730+H1731+H1732+H1733+H1734+H1735)*1.05</f>
        <v>126.01496250000001</v>
      </c>
      <c r="I1744" s="498"/>
      <c r="L1744" s="340"/>
      <c r="M1744" s="341"/>
      <c r="N1744" s="342"/>
      <c r="O1744" s="342"/>
      <c r="P1744" s="342"/>
      <c r="Q1744" s="342"/>
      <c r="R1744" s="342"/>
      <c r="S1744" s="342"/>
      <c r="T1744" s="343"/>
      <c r="AT1744" s="337" t="s">
        <v>155</v>
      </c>
      <c r="AU1744" s="337" t="s">
        <v>83</v>
      </c>
      <c r="AV1744" s="335" t="s">
        <v>83</v>
      </c>
      <c r="AW1744" s="335" t="s">
        <v>3</v>
      </c>
      <c r="AX1744" s="335" t="s">
        <v>81</v>
      </c>
      <c r="AY1744" s="337" t="s">
        <v>146</v>
      </c>
    </row>
    <row r="1745" spans="1:65" s="225" customFormat="1" ht="72.75" customHeight="1">
      <c r="A1745" s="222"/>
      <c r="B1745" s="223"/>
      <c r="C1745" s="358">
        <v>359</v>
      </c>
      <c r="D1745" s="358" t="s">
        <v>208</v>
      </c>
      <c r="E1745" s="359"/>
      <c r="F1745" s="360" t="s">
        <v>3762</v>
      </c>
      <c r="G1745" s="361" t="s">
        <v>151</v>
      </c>
      <c r="H1745" s="362">
        <f>H1747</f>
        <v>3.591</v>
      </c>
      <c r="I1745" s="80"/>
      <c r="J1745" s="363">
        <f>ROUND(I1745*H1745,2)</f>
        <v>0</v>
      </c>
      <c r="K1745" s="364"/>
      <c r="L1745" s="365"/>
      <c r="M1745" s="366" t="s">
        <v>1</v>
      </c>
      <c r="N1745" s="367" t="s">
        <v>42</v>
      </c>
      <c r="O1745" s="322">
        <v>0</v>
      </c>
      <c r="P1745" s="322">
        <f>O1745*H1745</f>
        <v>0</v>
      </c>
      <c r="Q1745" s="322">
        <v>0.023</v>
      </c>
      <c r="R1745" s="322">
        <f>Q1745*H1745</f>
        <v>0.082593</v>
      </c>
      <c r="S1745" s="322">
        <v>0</v>
      </c>
      <c r="T1745" s="323">
        <f>S1745*H1745</f>
        <v>0</v>
      </c>
      <c r="U1745" s="222"/>
      <c r="V1745" s="222"/>
      <c r="W1745" s="222"/>
      <c r="X1745" s="222"/>
      <c r="Y1745" s="222"/>
      <c r="Z1745" s="222"/>
      <c r="AA1745" s="222"/>
      <c r="AB1745" s="222"/>
      <c r="AC1745" s="222"/>
      <c r="AD1745" s="222"/>
      <c r="AE1745" s="222"/>
      <c r="AR1745" s="324" t="s">
        <v>298</v>
      </c>
      <c r="AT1745" s="324" t="s">
        <v>208</v>
      </c>
      <c r="AU1745" s="324" t="s">
        <v>83</v>
      </c>
      <c r="AY1745" s="214" t="s">
        <v>146</v>
      </c>
      <c r="BE1745" s="325">
        <f>IF(N1745="základní",J1745,0)</f>
        <v>0</v>
      </c>
      <c r="BF1745" s="325">
        <f>IF(N1745="snížená",J1745,0)</f>
        <v>0</v>
      </c>
      <c r="BG1745" s="325">
        <f>IF(N1745="zákl. přenesená",J1745,0)</f>
        <v>0</v>
      </c>
      <c r="BH1745" s="325">
        <f>IF(N1745="sníž. přenesená",J1745,0)</f>
        <v>0</v>
      </c>
      <c r="BI1745" s="325">
        <f>IF(N1745="nulová",J1745,0)</f>
        <v>0</v>
      </c>
      <c r="BJ1745" s="214" t="s">
        <v>81</v>
      </c>
      <c r="BK1745" s="325">
        <f>ROUND(I1745*H1745,2)</f>
        <v>0</v>
      </c>
      <c r="BL1745" s="214" t="s">
        <v>212</v>
      </c>
      <c r="BM1745" s="324" t="s">
        <v>1238</v>
      </c>
    </row>
    <row r="1746" spans="2:51" s="326" customFormat="1" ht="12">
      <c r="B1746" s="327"/>
      <c r="D1746" s="328" t="s">
        <v>155</v>
      </c>
      <c r="E1746" s="329" t="s">
        <v>1</v>
      </c>
      <c r="F1746" s="345" t="s">
        <v>3034</v>
      </c>
      <c r="H1746" s="329" t="s">
        <v>1</v>
      </c>
      <c r="I1746" s="497"/>
      <c r="L1746" s="331"/>
      <c r="M1746" s="332"/>
      <c r="N1746" s="333"/>
      <c r="O1746" s="333"/>
      <c r="P1746" s="333"/>
      <c r="Q1746" s="333"/>
      <c r="R1746" s="333"/>
      <c r="S1746" s="333"/>
      <c r="T1746" s="334"/>
      <c r="AT1746" s="329" t="s">
        <v>155</v>
      </c>
      <c r="AU1746" s="329" t="s">
        <v>83</v>
      </c>
      <c r="AV1746" s="326" t="s">
        <v>81</v>
      </c>
      <c r="AW1746" s="326" t="s">
        <v>34</v>
      </c>
      <c r="AX1746" s="326" t="s">
        <v>76</v>
      </c>
      <c r="AY1746" s="329" t="s">
        <v>146</v>
      </c>
    </row>
    <row r="1747" spans="2:51" s="335" customFormat="1" ht="12">
      <c r="B1747" s="336"/>
      <c r="D1747" s="328" t="s">
        <v>155</v>
      </c>
      <c r="F1747" s="338" t="s">
        <v>3033</v>
      </c>
      <c r="H1747" s="339">
        <f>(0.9*0.95*4)*1.05</f>
        <v>3.591</v>
      </c>
      <c r="I1747" s="498"/>
      <c r="L1747" s="340"/>
      <c r="M1747" s="341"/>
      <c r="N1747" s="342"/>
      <c r="O1747" s="342"/>
      <c r="P1747" s="342"/>
      <c r="Q1747" s="342"/>
      <c r="R1747" s="342"/>
      <c r="S1747" s="342"/>
      <c r="T1747" s="343"/>
      <c r="AT1747" s="337" t="s">
        <v>155</v>
      </c>
      <c r="AU1747" s="337" t="s">
        <v>83</v>
      </c>
      <c r="AV1747" s="335" t="s">
        <v>83</v>
      </c>
      <c r="AW1747" s="335" t="s">
        <v>3</v>
      </c>
      <c r="AX1747" s="335" t="s">
        <v>81</v>
      </c>
      <c r="AY1747" s="337" t="s">
        <v>146</v>
      </c>
    </row>
    <row r="1748" spans="1:65" s="225" customFormat="1" ht="81.75" customHeight="1">
      <c r="A1748" s="222"/>
      <c r="B1748" s="223"/>
      <c r="C1748" s="358">
        <v>360</v>
      </c>
      <c r="D1748" s="358" t="s">
        <v>208</v>
      </c>
      <c r="E1748" s="359"/>
      <c r="F1748" s="360" t="s">
        <v>3763</v>
      </c>
      <c r="G1748" s="361" t="s">
        <v>151</v>
      </c>
      <c r="H1748" s="362">
        <f>H1750</f>
        <v>59.7725625</v>
      </c>
      <c r="I1748" s="80"/>
      <c r="J1748" s="363">
        <f>ROUND(I1748*H1748,2)</f>
        <v>0</v>
      </c>
      <c r="K1748" s="364"/>
      <c r="L1748" s="365"/>
      <c r="M1748" s="366" t="s">
        <v>1</v>
      </c>
      <c r="N1748" s="367" t="s">
        <v>42</v>
      </c>
      <c r="O1748" s="322">
        <v>0</v>
      </c>
      <c r="P1748" s="322">
        <f>O1748*H1748</f>
        <v>0</v>
      </c>
      <c r="Q1748" s="322">
        <v>0.023</v>
      </c>
      <c r="R1748" s="322">
        <f>Q1748*H1748</f>
        <v>1.3747689375</v>
      </c>
      <c r="S1748" s="322">
        <v>0</v>
      </c>
      <c r="T1748" s="323">
        <f>S1748*H1748</f>
        <v>0</v>
      </c>
      <c r="U1748" s="222"/>
      <c r="V1748" s="222"/>
      <c r="W1748" s="222"/>
      <c r="X1748" s="222"/>
      <c r="Y1748" s="222"/>
      <c r="Z1748" s="222"/>
      <c r="AA1748" s="222"/>
      <c r="AB1748" s="222"/>
      <c r="AC1748" s="222"/>
      <c r="AD1748" s="222"/>
      <c r="AE1748" s="222"/>
      <c r="AR1748" s="324" t="s">
        <v>298</v>
      </c>
      <c r="AT1748" s="324" t="s">
        <v>208</v>
      </c>
      <c r="AU1748" s="324" t="s">
        <v>83</v>
      </c>
      <c r="AY1748" s="214" t="s">
        <v>146</v>
      </c>
      <c r="BE1748" s="325">
        <f>IF(N1748="základní",J1748,0)</f>
        <v>0</v>
      </c>
      <c r="BF1748" s="325">
        <f>IF(N1748="snížená",J1748,0)</f>
        <v>0</v>
      </c>
      <c r="BG1748" s="325">
        <f>IF(N1748="zákl. přenesená",J1748,0)</f>
        <v>0</v>
      </c>
      <c r="BH1748" s="325">
        <f>IF(N1748="sníž. přenesená",J1748,0)</f>
        <v>0</v>
      </c>
      <c r="BI1748" s="325">
        <f>IF(N1748="nulová",J1748,0)</f>
        <v>0</v>
      </c>
      <c r="BJ1748" s="214" t="s">
        <v>81</v>
      </c>
      <c r="BK1748" s="325">
        <f>ROUND(I1748*H1748,2)</f>
        <v>0</v>
      </c>
      <c r="BL1748" s="214" t="s">
        <v>212</v>
      </c>
      <c r="BM1748" s="324" t="s">
        <v>1238</v>
      </c>
    </row>
    <row r="1749" spans="2:51" s="326" customFormat="1" ht="22.5">
      <c r="B1749" s="327"/>
      <c r="D1749" s="328" t="s">
        <v>155</v>
      </c>
      <c r="E1749" s="329" t="s">
        <v>1</v>
      </c>
      <c r="F1749" s="345" t="s">
        <v>3036</v>
      </c>
      <c r="H1749" s="329" t="s">
        <v>1</v>
      </c>
      <c r="I1749" s="497"/>
      <c r="L1749" s="331"/>
      <c r="M1749" s="332"/>
      <c r="N1749" s="333"/>
      <c r="O1749" s="333"/>
      <c r="P1749" s="333"/>
      <c r="Q1749" s="333"/>
      <c r="R1749" s="333"/>
      <c r="S1749" s="333"/>
      <c r="T1749" s="334"/>
      <c r="AT1749" s="329" t="s">
        <v>155</v>
      </c>
      <c r="AU1749" s="329" t="s">
        <v>83</v>
      </c>
      <c r="AV1749" s="326" t="s">
        <v>81</v>
      </c>
      <c r="AW1749" s="326" t="s">
        <v>34</v>
      </c>
      <c r="AX1749" s="326" t="s">
        <v>76</v>
      </c>
      <c r="AY1749" s="329" t="s">
        <v>146</v>
      </c>
    </row>
    <row r="1750" spans="2:51" s="335" customFormat="1" ht="12">
      <c r="B1750" s="336"/>
      <c r="D1750" s="328" t="s">
        <v>155</v>
      </c>
      <c r="F1750" s="346" t="s">
        <v>2814</v>
      </c>
      <c r="H1750" s="339">
        <f>(SUM(H1720:H1729,H1736:H1738)-4*0.9*0.95)*1.05</f>
        <v>59.7725625</v>
      </c>
      <c r="I1750" s="498"/>
      <c r="L1750" s="340"/>
      <c r="M1750" s="341"/>
      <c r="N1750" s="342"/>
      <c r="O1750" s="342"/>
      <c r="P1750" s="342"/>
      <c r="Q1750" s="342"/>
      <c r="R1750" s="342"/>
      <c r="S1750" s="342"/>
      <c r="T1750" s="343"/>
      <c r="AT1750" s="337" t="s">
        <v>155</v>
      </c>
      <c r="AU1750" s="337" t="s">
        <v>83</v>
      </c>
      <c r="AV1750" s="335" t="s">
        <v>83</v>
      </c>
      <c r="AW1750" s="335" t="s">
        <v>3</v>
      </c>
      <c r="AX1750" s="335" t="s">
        <v>81</v>
      </c>
      <c r="AY1750" s="337" t="s">
        <v>146</v>
      </c>
    </row>
    <row r="1751" spans="1:65" s="225" customFormat="1" ht="72.75" customHeight="1">
      <c r="A1751" s="222"/>
      <c r="B1751" s="223"/>
      <c r="C1751" s="358">
        <v>361</v>
      </c>
      <c r="D1751" s="358" t="s">
        <v>208</v>
      </c>
      <c r="E1751" s="359"/>
      <c r="F1751" s="360" t="s">
        <v>3763</v>
      </c>
      <c r="G1751" s="361" t="s">
        <v>151</v>
      </c>
      <c r="H1751" s="362">
        <f>H1753</f>
        <v>5.0149574999999995</v>
      </c>
      <c r="I1751" s="80"/>
      <c r="J1751" s="363">
        <f>ROUND(I1751*H1751,2)</f>
        <v>0</v>
      </c>
      <c r="K1751" s="364"/>
      <c r="L1751" s="365"/>
      <c r="M1751" s="366" t="s">
        <v>1</v>
      </c>
      <c r="N1751" s="367" t="s">
        <v>42</v>
      </c>
      <c r="O1751" s="322">
        <v>0</v>
      </c>
      <c r="P1751" s="322">
        <f>O1751*H1751</f>
        <v>0</v>
      </c>
      <c r="Q1751" s="322">
        <v>0.023</v>
      </c>
      <c r="R1751" s="322">
        <f>Q1751*H1751</f>
        <v>0.11534402249999999</v>
      </c>
      <c r="S1751" s="322">
        <v>0</v>
      </c>
      <c r="T1751" s="323">
        <f>S1751*H1751</f>
        <v>0</v>
      </c>
      <c r="U1751" s="222"/>
      <c r="V1751" s="222"/>
      <c r="W1751" s="222"/>
      <c r="X1751" s="222"/>
      <c r="Y1751" s="222"/>
      <c r="Z1751" s="222"/>
      <c r="AA1751" s="222"/>
      <c r="AB1751" s="222"/>
      <c r="AC1751" s="222"/>
      <c r="AD1751" s="222"/>
      <c r="AE1751" s="222"/>
      <c r="AR1751" s="324" t="s">
        <v>298</v>
      </c>
      <c r="AT1751" s="324" t="s">
        <v>208</v>
      </c>
      <c r="AU1751" s="324" t="s">
        <v>83</v>
      </c>
      <c r="AY1751" s="214" t="s">
        <v>146</v>
      </c>
      <c r="BE1751" s="325">
        <f>IF(N1751="základní",J1751,0)</f>
        <v>0</v>
      </c>
      <c r="BF1751" s="325">
        <f>IF(N1751="snížená",J1751,0)</f>
        <v>0</v>
      </c>
      <c r="BG1751" s="325">
        <f>IF(N1751="zákl. přenesená",J1751,0)</f>
        <v>0</v>
      </c>
      <c r="BH1751" s="325">
        <f>IF(N1751="sníž. přenesená",J1751,0)</f>
        <v>0</v>
      </c>
      <c r="BI1751" s="325">
        <f>IF(N1751="nulová",J1751,0)</f>
        <v>0</v>
      </c>
      <c r="BJ1751" s="214" t="s">
        <v>81</v>
      </c>
      <c r="BK1751" s="325">
        <f>ROUND(I1751*H1751,2)</f>
        <v>0</v>
      </c>
      <c r="BL1751" s="214" t="s">
        <v>212</v>
      </c>
      <c r="BM1751" s="324" t="s">
        <v>1238</v>
      </c>
    </row>
    <row r="1752" spans="2:51" s="326" customFormat="1" ht="12">
      <c r="B1752" s="327"/>
      <c r="D1752" s="328" t="s">
        <v>155</v>
      </c>
      <c r="E1752" s="329" t="s">
        <v>1</v>
      </c>
      <c r="F1752" s="345" t="s">
        <v>3037</v>
      </c>
      <c r="H1752" s="329" t="s">
        <v>1</v>
      </c>
      <c r="I1752" s="497"/>
      <c r="L1752" s="331"/>
      <c r="M1752" s="332"/>
      <c r="N1752" s="333"/>
      <c r="O1752" s="333"/>
      <c r="P1752" s="333"/>
      <c r="Q1752" s="333"/>
      <c r="R1752" s="333"/>
      <c r="S1752" s="333"/>
      <c r="T1752" s="334"/>
      <c r="AT1752" s="329" t="s">
        <v>155</v>
      </c>
      <c r="AU1752" s="329" t="s">
        <v>83</v>
      </c>
      <c r="AV1752" s="326" t="s">
        <v>81</v>
      </c>
      <c r="AW1752" s="326" t="s">
        <v>34</v>
      </c>
      <c r="AX1752" s="326" t="s">
        <v>76</v>
      </c>
      <c r="AY1752" s="329" t="s">
        <v>146</v>
      </c>
    </row>
    <row r="1753" spans="2:51" s="335" customFormat="1" ht="12">
      <c r="B1753" s="336"/>
      <c r="D1753" s="328" t="s">
        <v>155</v>
      </c>
      <c r="F1753" s="346" t="s">
        <v>2814</v>
      </c>
      <c r="H1753" s="339">
        <f>SUM(H1739:H1740)*1.05</f>
        <v>5.0149574999999995</v>
      </c>
      <c r="I1753" s="498"/>
      <c r="L1753" s="340"/>
      <c r="M1753" s="341"/>
      <c r="N1753" s="342"/>
      <c r="O1753" s="342"/>
      <c r="P1753" s="342"/>
      <c r="Q1753" s="342"/>
      <c r="R1753" s="342"/>
      <c r="S1753" s="342"/>
      <c r="T1753" s="343"/>
      <c r="AT1753" s="337" t="s">
        <v>155</v>
      </c>
      <c r="AU1753" s="337" t="s">
        <v>83</v>
      </c>
      <c r="AV1753" s="335" t="s">
        <v>83</v>
      </c>
      <c r="AW1753" s="335" t="s">
        <v>3</v>
      </c>
      <c r="AX1753" s="335" t="s">
        <v>81</v>
      </c>
      <c r="AY1753" s="337" t="s">
        <v>146</v>
      </c>
    </row>
    <row r="1754" spans="1:65" s="225" customFormat="1" ht="70.5" customHeight="1">
      <c r="A1754" s="222"/>
      <c r="B1754" s="223"/>
      <c r="C1754" s="314">
        <v>362</v>
      </c>
      <c r="D1754" s="314" t="s">
        <v>148</v>
      </c>
      <c r="E1754" s="315"/>
      <c r="F1754" s="344" t="s">
        <v>3288</v>
      </c>
      <c r="G1754" s="317" t="s">
        <v>151</v>
      </c>
      <c r="H1754" s="318">
        <f>H1766</f>
        <v>57.902625</v>
      </c>
      <c r="I1754" s="79"/>
      <c r="J1754" s="319">
        <f>ROUND(I1754*H1754,2)</f>
        <v>0</v>
      </c>
      <c r="K1754" s="316"/>
      <c r="L1754" s="229"/>
      <c r="M1754" s="320" t="s">
        <v>1</v>
      </c>
      <c r="N1754" s="321" t="s">
        <v>42</v>
      </c>
      <c r="O1754" s="322">
        <v>0.278</v>
      </c>
      <c r="P1754" s="322">
        <f>O1754*H1754</f>
        <v>16.09692975</v>
      </c>
      <c r="Q1754" s="322">
        <v>0.0015</v>
      </c>
      <c r="R1754" s="322">
        <f>Q1754*H1754</f>
        <v>0.0868539375</v>
      </c>
      <c r="S1754" s="322">
        <v>0</v>
      </c>
      <c r="T1754" s="323">
        <f>S1754*H1754</f>
        <v>0</v>
      </c>
      <c r="U1754" s="222"/>
      <c r="V1754" s="222"/>
      <c r="W1754" s="222"/>
      <c r="X1754" s="222"/>
      <c r="Y1754" s="222"/>
      <c r="Z1754" s="222"/>
      <c r="AA1754" s="222"/>
      <c r="AB1754" s="222"/>
      <c r="AC1754" s="222"/>
      <c r="AD1754" s="222"/>
      <c r="AE1754" s="222"/>
      <c r="AR1754" s="324" t="s">
        <v>212</v>
      </c>
      <c r="AT1754" s="324" t="s">
        <v>148</v>
      </c>
      <c r="AU1754" s="324" t="s">
        <v>83</v>
      </c>
      <c r="AY1754" s="214" t="s">
        <v>146</v>
      </c>
      <c r="BE1754" s="325">
        <f>IF(N1754="základní",J1754,0)</f>
        <v>0</v>
      </c>
      <c r="BF1754" s="325">
        <f>IF(N1754="snížená",J1754,0)</f>
        <v>0</v>
      </c>
      <c r="BG1754" s="325">
        <f>IF(N1754="zákl. přenesená",J1754,0)</f>
        <v>0</v>
      </c>
      <c r="BH1754" s="325">
        <f>IF(N1754="sníž. přenesená",J1754,0)</f>
        <v>0</v>
      </c>
      <c r="BI1754" s="325">
        <f>IF(N1754="nulová",J1754,0)</f>
        <v>0</v>
      </c>
      <c r="BJ1754" s="214" t="s">
        <v>81</v>
      </c>
      <c r="BK1754" s="325">
        <f>ROUND(I1754*H1754,2)</f>
        <v>0</v>
      </c>
      <c r="BL1754" s="214" t="s">
        <v>212</v>
      </c>
      <c r="BM1754" s="324" t="s">
        <v>1239</v>
      </c>
    </row>
    <row r="1755" spans="2:51" s="335" customFormat="1" ht="12">
      <c r="B1755" s="336"/>
      <c r="D1755" s="328" t="s">
        <v>155</v>
      </c>
      <c r="E1755" s="337" t="s">
        <v>1</v>
      </c>
      <c r="F1755" s="346" t="s">
        <v>3005</v>
      </c>
      <c r="H1755" s="339">
        <f>(2.675*2.85-0.4*0.4-0.9*0.1)</f>
        <v>7.373749999999999</v>
      </c>
      <c r="I1755" s="498"/>
      <c r="L1755" s="340"/>
      <c r="M1755" s="341"/>
      <c r="N1755" s="342"/>
      <c r="O1755" s="342"/>
      <c r="P1755" s="342"/>
      <c r="Q1755" s="342"/>
      <c r="R1755" s="342"/>
      <c r="S1755" s="342"/>
      <c r="T1755" s="343"/>
      <c r="AT1755" s="337" t="s">
        <v>155</v>
      </c>
      <c r="AU1755" s="337" t="s">
        <v>83</v>
      </c>
      <c r="AV1755" s="335" t="s">
        <v>83</v>
      </c>
      <c r="AW1755" s="335" t="s">
        <v>34</v>
      </c>
      <c r="AX1755" s="335" t="s">
        <v>76</v>
      </c>
      <c r="AY1755" s="337" t="s">
        <v>146</v>
      </c>
    </row>
    <row r="1756" spans="2:51" s="335" customFormat="1" ht="12">
      <c r="B1756" s="336"/>
      <c r="D1756" s="328" t="s">
        <v>155</v>
      </c>
      <c r="E1756" s="337" t="s">
        <v>1</v>
      </c>
      <c r="F1756" s="346" t="s">
        <v>2999</v>
      </c>
      <c r="H1756" s="339">
        <f>(1.2*1.825+0.8*0.15)</f>
        <v>2.31</v>
      </c>
      <c r="I1756" s="498"/>
      <c r="L1756" s="340"/>
      <c r="M1756" s="341"/>
      <c r="N1756" s="342"/>
      <c r="O1756" s="342"/>
      <c r="P1756" s="342"/>
      <c r="Q1756" s="342"/>
      <c r="R1756" s="342"/>
      <c r="S1756" s="342"/>
      <c r="T1756" s="343"/>
      <c r="AT1756" s="337" t="s">
        <v>155</v>
      </c>
      <c r="AU1756" s="337" t="s">
        <v>83</v>
      </c>
      <c r="AV1756" s="335" t="s">
        <v>83</v>
      </c>
      <c r="AW1756" s="335" t="s">
        <v>34</v>
      </c>
      <c r="AX1756" s="335" t="s">
        <v>76</v>
      </c>
      <c r="AY1756" s="337" t="s">
        <v>146</v>
      </c>
    </row>
    <row r="1757" spans="2:51" s="335" customFormat="1" ht="12">
      <c r="B1757" s="336"/>
      <c r="D1757" s="328" t="s">
        <v>155</v>
      </c>
      <c r="E1757" s="337" t="s">
        <v>1</v>
      </c>
      <c r="F1757" s="346" t="s">
        <v>3000</v>
      </c>
      <c r="H1757" s="339">
        <f>(1.15*1.95)</f>
        <v>2.2424999999999997</v>
      </c>
      <c r="I1757" s="498"/>
      <c r="L1757" s="340"/>
      <c r="M1757" s="341"/>
      <c r="N1757" s="342"/>
      <c r="O1757" s="342"/>
      <c r="P1757" s="342"/>
      <c r="Q1757" s="342"/>
      <c r="R1757" s="342"/>
      <c r="S1757" s="342"/>
      <c r="T1757" s="343"/>
      <c r="AT1757" s="337" t="s">
        <v>155</v>
      </c>
      <c r="AU1757" s="337" t="s">
        <v>83</v>
      </c>
      <c r="AV1757" s="335" t="s">
        <v>83</v>
      </c>
      <c r="AW1757" s="335" t="s">
        <v>34</v>
      </c>
      <c r="AX1757" s="335" t="s">
        <v>76</v>
      </c>
      <c r="AY1757" s="337" t="s">
        <v>146</v>
      </c>
    </row>
    <row r="1758" spans="2:51" s="335" customFormat="1" ht="12">
      <c r="B1758" s="336"/>
      <c r="D1758" s="328" t="s">
        <v>155</v>
      </c>
      <c r="E1758" s="337" t="s">
        <v>1</v>
      </c>
      <c r="F1758" s="346" t="s">
        <v>3001</v>
      </c>
      <c r="H1758" s="339">
        <f>(1.95*1.95+2.1*1.35+0.85*0.1+0.8*(0.2+0.15))</f>
        <v>7.0025</v>
      </c>
      <c r="I1758" s="498"/>
      <c r="L1758" s="340"/>
      <c r="M1758" s="341"/>
      <c r="N1758" s="342"/>
      <c r="O1758" s="342"/>
      <c r="P1758" s="342"/>
      <c r="Q1758" s="342"/>
      <c r="R1758" s="342"/>
      <c r="S1758" s="342"/>
      <c r="T1758" s="343"/>
      <c r="AT1758" s="337" t="s">
        <v>155</v>
      </c>
      <c r="AU1758" s="337" t="s">
        <v>83</v>
      </c>
      <c r="AV1758" s="335" t="s">
        <v>83</v>
      </c>
      <c r="AW1758" s="335" t="s">
        <v>34</v>
      </c>
      <c r="AX1758" s="335" t="s">
        <v>76</v>
      </c>
      <c r="AY1758" s="337" t="s">
        <v>146</v>
      </c>
    </row>
    <row r="1759" spans="2:51" s="335" customFormat="1" ht="12">
      <c r="B1759" s="336"/>
      <c r="D1759" s="328" t="s">
        <v>155</v>
      </c>
      <c r="E1759" s="337" t="s">
        <v>1</v>
      </c>
      <c r="F1759" s="346" t="s">
        <v>3002</v>
      </c>
      <c r="H1759" s="339">
        <f>(1.55*1+0.7*0.1)</f>
        <v>1.62</v>
      </c>
      <c r="I1759" s="498"/>
      <c r="L1759" s="340"/>
      <c r="M1759" s="341"/>
      <c r="N1759" s="342"/>
      <c r="O1759" s="342"/>
      <c r="P1759" s="342"/>
      <c r="Q1759" s="342"/>
      <c r="R1759" s="342"/>
      <c r="S1759" s="342"/>
      <c r="T1759" s="343"/>
      <c r="AT1759" s="337" t="s">
        <v>155</v>
      </c>
      <c r="AU1759" s="337" t="s">
        <v>83</v>
      </c>
      <c r="AV1759" s="335" t="s">
        <v>83</v>
      </c>
      <c r="AW1759" s="335" t="s">
        <v>34</v>
      </c>
      <c r="AX1759" s="335" t="s">
        <v>76</v>
      </c>
      <c r="AY1759" s="337" t="s">
        <v>146</v>
      </c>
    </row>
    <row r="1760" spans="2:51" s="335" customFormat="1" ht="12">
      <c r="B1760" s="336"/>
      <c r="D1760" s="328" t="s">
        <v>155</v>
      </c>
      <c r="E1760" s="337" t="s">
        <v>1</v>
      </c>
      <c r="F1760" s="346" t="s">
        <v>3003</v>
      </c>
      <c r="H1760" s="339">
        <f>(1.55*1+0.7*0.1-0.25*0.2)</f>
        <v>1.57</v>
      </c>
      <c r="I1760" s="498"/>
      <c r="L1760" s="340"/>
      <c r="M1760" s="341"/>
      <c r="N1760" s="342"/>
      <c r="O1760" s="342"/>
      <c r="P1760" s="342"/>
      <c r="Q1760" s="342"/>
      <c r="R1760" s="342"/>
      <c r="S1760" s="342"/>
      <c r="T1760" s="343"/>
      <c r="AT1760" s="337" t="s">
        <v>155</v>
      </c>
      <c r="AU1760" s="337" t="s">
        <v>83</v>
      </c>
      <c r="AV1760" s="335" t="s">
        <v>83</v>
      </c>
      <c r="AW1760" s="335" t="s">
        <v>34</v>
      </c>
      <c r="AX1760" s="335" t="s">
        <v>76</v>
      </c>
      <c r="AY1760" s="337" t="s">
        <v>146</v>
      </c>
    </row>
    <row r="1761" spans="2:51" s="335" customFormat="1" ht="12">
      <c r="B1761" s="336"/>
      <c r="D1761" s="328" t="s">
        <v>155</v>
      </c>
      <c r="E1761" s="337" t="s">
        <v>1</v>
      </c>
      <c r="F1761" s="346" t="s">
        <v>3006</v>
      </c>
      <c r="H1761" s="339">
        <f>(2.025*2.025+3.025*1+0.7*0.1-0.9*0.1*2)</f>
        <v>7.015625</v>
      </c>
      <c r="I1761" s="498"/>
      <c r="L1761" s="340"/>
      <c r="M1761" s="341"/>
      <c r="N1761" s="342"/>
      <c r="O1761" s="342"/>
      <c r="P1761" s="342"/>
      <c r="Q1761" s="342"/>
      <c r="R1761" s="342"/>
      <c r="S1761" s="342"/>
      <c r="T1761" s="343"/>
      <c r="AT1761" s="337" t="s">
        <v>155</v>
      </c>
      <c r="AU1761" s="337" t="s">
        <v>83</v>
      </c>
      <c r="AV1761" s="335" t="s">
        <v>83</v>
      </c>
      <c r="AW1761" s="335" t="s">
        <v>34</v>
      </c>
      <c r="AX1761" s="335" t="s">
        <v>76</v>
      </c>
      <c r="AY1761" s="337" t="s">
        <v>146</v>
      </c>
    </row>
    <row r="1762" spans="2:51" s="335" customFormat="1" ht="12">
      <c r="B1762" s="336"/>
      <c r="D1762" s="328" t="s">
        <v>155</v>
      </c>
      <c r="E1762" s="337" t="s">
        <v>1</v>
      </c>
      <c r="F1762" s="346" t="s">
        <v>3007</v>
      </c>
      <c r="H1762" s="339">
        <f>(3.525*1.55+2.55*5.9-0.25*0.25-0.1*0.5)</f>
        <v>20.39625</v>
      </c>
      <c r="I1762" s="498"/>
      <c r="L1762" s="340"/>
      <c r="M1762" s="341"/>
      <c r="N1762" s="342"/>
      <c r="O1762" s="342"/>
      <c r="P1762" s="342"/>
      <c r="Q1762" s="342"/>
      <c r="R1762" s="342"/>
      <c r="S1762" s="342"/>
      <c r="T1762" s="343"/>
      <c r="AT1762" s="337" t="s">
        <v>155</v>
      </c>
      <c r="AU1762" s="337" t="s">
        <v>83</v>
      </c>
      <c r="AV1762" s="335" t="s">
        <v>83</v>
      </c>
      <c r="AW1762" s="335" t="s">
        <v>34</v>
      </c>
      <c r="AX1762" s="335" t="s">
        <v>76</v>
      </c>
      <c r="AY1762" s="337" t="s">
        <v>146</v>
      </c>
    </row>
    <row r="1763" spans="2:51" s="335" customFormat="1" ht="12">
      <c r="B1763" s="336"/>
      <c r="D1763" s="328" t="s">
        <v>155</v>
      </c>
      <c r="E1763" s="337" t="s">
        <v>1</v>
      </c>
      <c r="F1763" s="346" t="s">
        <v>2993</v>
      </c>
      <c r="H1763" s="339">
        <f>1.85*1.6</f>
        <v>2.9600000000000004</v>
      </c>
      <c r="I1763" s="498"/>
      <c r="L1763" s="340"/>
      <c r="M1763" s="341"/>
      <c r="N1763" s="342"/>
      <c r="O1763" s="342"/>
      <c r="P1763" s="342"/>
      <c r="Q1763" s="342"/>
      <c r="R1763" s="342"/>
      <c r="S1763" s="342"/>
      <c r="T1763" s="343"/>
      <c r="AT1763" s="337" t="s">
        <v>155</v>
      </c>
      <c r="AU1763" s="337" t="s">
        <v>83</v>
      </c>
      <c r="AV1763" s="335" t="s">
        <v>83</v>
      </c>
      <c r="AW1763" s="335" t="s">
        <v>34</v>
      </c>
      <c r="AX1763" s="335" t="s">
        <v>76</v>
      </c>
      <c r="AY1763" s="337" t="s">
        <v>146</v>
      </c>
    </row>
    <row r="1764" spans="2:51" s="335" customFormat="1" ht="12">
      <c r="B1764" s="336"/>
      <c r="D1764" s="328" t="s">
        <v>155</v>
      </c>
      <c r="E1764" s="337" t="s">
        <v>1</v>
      </c>
      <c r="F1764" s="346" t="s">
        <v>3038</v>
      </c>
      <c r="H1764" s="339">
        <f>(2.28*1.65)</f>
        <v>3.7619999999999996</v>
      </c>
      <c r="I1764" s="498"/>
      <c r="L1764" s="340"/>
      <c r="M1764" s="341"/>
      <c r="N1764" s="342"/>
      <c r="O1764" s="342"/>
      <c r="P1764" s="342"/>
      <c r="Q1764" s="342"/>
      <c r="R1764" s="342"/>
      <c r="S1764" s="342"/>
      <c r="T1764" s="343"/>
      <c r="AT1764" s="337" t="s">
        <v>155</v>
      </c>
      <c r="AU1764" s="337" t="s">
        <v>83</v>
      </c>
      <c r="AV1764" s="335" t="s">
        <v>83</v>
      </c>
      <c r="AW1764" s="335" t="s">
        <v>34</v>
      </c>
      <c r="AX1764" s="335" t="s">
        <v>76</v>
      </c>
      <c r="AY1764" s="337" t="s">
        <v>146</v>
      </c>
    </row>
    <row r="1765" spans="2:51" s="335" customFormat="1" ht="12">
      <c r="B1765" s="336"/>
      <c r="D1765" s="328" t="s">
        <v>155</v>
      </c>
      <c r="E1765" s="337" t="s">
        <v>1</v>
      </c>
      <c r="F1765" s="346" t="s">
        <v>2995</v>
      </c>
      <c r="H1765" s="339">
        <f>1*1.65</f>
        <v>1.65</v>
      </c>
      <c r="I1765" s="498"/>
      <c r="L1765" s="340"/>
      <c r="M1765" s="341"/>
      <c r="N1765" s="342"/>
      <c r="O1765" s="342"/>
      <c r="P1765" s="342"/>
      <c r="Q1765" s="342"/>
      <c r="R1765" s="342"/>
      <c r="S1765" s="342"/>
      <c r="T1765" s="343"/>
      <c r="AT1765" s="337" t="s">
        <v>155</v>
      </c>
      <c r="AU1765" s="337" t="s">
        <v>83</v>
      </c>
      <c r="AV1765" s="335" t="s">
        <v>83</v>
      </c>
      <c r="AW1765" s="335" t="s">
        <v>34</v>
      </c>
      <c r="AX1765" s="335" t="s">
        <v>76</v>
      </c>
      <c r="AY1765" s="337" t="s">
        <v>146</v>
      </c>
    </row>
    <row r="1766" spans="2:51" s="347" customFormat="1" ht="12">
      <c r="B1766" s="348"/>
      <c r="D1766" s="328" t="s">
        <v>155</v>
      </c>
      <c r="E1766" s="349" t="s">
        <v>1</v>
      </c>
      <c r="F1766" s="356" t="s">
        <v>157</v>
      </c>
      <c r="H1766" s="351">
        <f>SUM(H1755:H1765)</f>
        <v>57.902625</v>
      </c>
      <c r="I1766" s="499"/>
      <c r="L1766" s="352"/>
      <c r="M1766" s="353"/>
      <c r="N1766" s="354"/>
      <c r="O1766" s="354"/>
      <c r="P1766" s="354"/>
      <c r="Q1766" s="354"/>
      <c r="R1766" s="354"/>
      <c r="S1766" s="354"/>
      <c r="T1766" s="355"/>
      <c r="AT1766" s="349" t="s">
        <v>155</v>
      </c>
      <c r="AU1766" s="349" t="s">
        <v>83</v>
      </c>
      <c r="AV1766" s="347" t="s">
        <v>153</v>
      </c>
      <c r="AW1766" s="347" t="s">
        <v>34</v>
      </c>
      <c r="AX1766" s="347" t="s">
        <v>81</v>
      </c>
      <c r="AY1766" s="349" t="s">
        <v>146</v>
      </c>
    </row>
    <row r="1767" spans="1:65" s="225" customFormat="1" ht="24.2" customHeight="1">
      <c r="A1767" s="222"/>
      <c r="B1767" s="223"/>
      <c r="C1767" s="314">
        <v>363</v>
      </c>
      <c r="D1767" s="314" t="s">
        <v>148</v>
      </c>
      <c r="E1767" s="315" t="s">
        <v>1240</v>
      </c>
      <c r="F1767" s="316" t="s">
        <v>3039</v>
      </c>
      <c r="G1767" s="317" t="s">
        <v>194</v>
      </c>
      <c r="H1767" s="318">
        <f>R1673</f>
        <v>7.370458735000001</v>
      </c>
      <c r="I1767" s="79"/>
      <c r="J1767" s="319">
        <f>ROUND(I1767*H1767,2)</f>
        <v>0</v>
      </c>
      <c r="K1767" s="316"/>
      <c r="L1767" s="229"/>
      <c r="M1767" s="320" t="s">
        <v>1</v>
      </c>
      <c r="N1767" s="321" t="s">
        <v>42</v>
      </c>
      <c r="O1767" s="322">
        <v>0</v>
      </c>
      <c r="P1767" s="322">
        <f>O1767*H1767</f>
        <v>0</v>
      </c>
      <c r="Q1767" s="322"/>
      <c r="R1767" s="322"/>
      <c r="S1767" s="322"/>
      <c r="T1767" s="323"/>
      <c r="U1767" s="222"/>
      <c r="V1767" s="222"/>
      <c r="W1767" s="222"/>
      <c r="X1767" s="222"/>
      <c r="Y1767" s="222"/>
      <c r="Z1767" s="222"/>
      <c r="AA1767" s="222"/>
      <c r="AB1767" s="222"/>
      <c r="AC1767" s="222"/>
      <c r="AD1767" s="222"/>
      <c r="AE1767" s="222"/>
      <c r="AR1767" s="324" t="s">
        <v>212</v>
      </c>
      <c r="AT1767" s="324" t="s">
        <v>148</v>
      </c>
      <c r="AU1767" s="324" t="s">
        <v>83</v>
      </c>
      <c r="AY1767" s="214" t="s">
        <v>146</v>
      </c>
      <c r="BE1767" s="325">
        <f>IF(N1767="základní",J1767,0)</f>
        <v>0</v>
      </c>
      <c r="BF1767" s="325">
        <f>IF(N1767="snížená",J1767,0)</f>
        <v>0</v>
      </c>
      <c r="BG1767" s="325">
        <f>IF(N1767="zákl. přenesená",J1767,0)</f>
        <v>0</v>
      </c>
      <c r="BH1767" s="325">
        <f>IF(N1767="sníž. přenesená",J1767,0)</f>
        <v>0</v>
      </c>
      <c r="BI1767" s="325">
        <f>IF(N1767="nulová",J1767,0)</f>
        <v>0</v>
      </c>
      <c r="BJ1767" s="214" t="s">
        <v>81</v>
      </c>
      <c r="BK1767" s="325">
        <f>ROUND(I1767*H1767,2)</f>
        <v>0</v>
      </c>
      <c r="BL1767" s="214" t="s">
        <v>212</v>
      </c>
      <c r="BM1767" s="324" t="s">
        <v>1241</v>
      </c>
    </row>
    <row r="1768" spans="2:63" s="297" customFormat="1" ht="22.9" customHeight="1">
      <c r="B1768" s="298"/>
      <c r="D1768" s="299" t="s">
        <v>75</v>
      </c>
      <c r="E1768" s="310" t="s">
        <v>1242</v>
      </c>
      <c r="F1768" s="310" t="s">
        <v>1243</v>
      </c>
      <c r="I1768" s="501"/>
      <c r="J1768" s="311">
        <f>SUM(J1769:J1772)</f>
        <v>0</v>
      </c>
      <c r="L1768" s="302"/>
      <c r="M1768" s="303"/>
      <c r="N1768" s="304"/>
      <c r="O1768" s="304"/>
      <c r="P1768" s="305">
        <f>SUM(P1769:P1772)</f>
        <v>0</v>
      </c>
      <c r="Q1768" s="304"/>
      <c r="R1768" s="305">
        <f>SUM(R1769:R1772)</f>
        <v>2.024649</v>
      </c>
      <c r="S1768" s="304"/>
      <c r="T1768" s="313">
        <f>SUM(T1769:T1772)</f>
        <v>0</v>
      </c>
      <c r="AR1768" s="299" t="s">
        <v>83</v>
      </c>
      <c r="AT1768" s="308" t="s">
        <v>75</v>
      </c>
      <c r="AU1768" s="308" t="s">
        <v>81</v>
      </c>
      <c r="AY1768" s="299" t="s">
        <v>146</v>
      </c>
      <c r="BK1768" s="309">
        <f>SUM(BK1769:BK1772)</f>
        <v>0</v>
      </c>
    </row>
    <row r="1769" spans="1:65" s="225" customFormat="1" ht="24.2" customHeight="1">
      <c r="A1769" s="222"/>
      <c r="B1769" s="223"/>
      <c r="C1769" s="314">
        <v>364</v>
      </c>
      <c r="D1769" s="314" t="s">
        <v>148</v>
      </c>
      <c r="E1769" s="315" t="s">
        <v>1244</v>
      </c>
      <c r="F1769" s="344" t="s">
        <v>1245</v>
      </c>
      <c r="G1769" s="317" t="s">
        <v>158</v>
      </c>
      <c r="H1769" s="318">
        <f>H1771</f>
        <v>12.03</v>
      </c>
      <c r="I1769" s="79"/>
      <c r="J1769" s="319">
        <f>ROUND(I1769*H1769,2)</f>
        <v>0</v>
      </c>
      <c r="K1769" s="316"/>
      <c r="L1769" s="229"/>
      <c r="M1769" s="320" t="s">
        <v>1</v>
      </c>
      <c r="N1769" s="321" t="s">
        <v>42</v>
      </c>
      <c r="O1769" s="322">
        <v>0</v>
      </c>
      <c r="P1769" s="322">
        <f>O1769*H1769</f>
        <v>0</v>
      </c>
      <c r="Q1769" s="322">
        <f>0.15*0.33*3.4</f>
        <v>0.1683</v>
      </c>
      <c r="R1769" s="322">
        <f>Q1769*H1769</f>
        <v>2.024649</v>
      </c>
      <c r="S1769" s="322">
        <v>0</v>
      </c>
      <c r="T1769" s="323">
        <f>S1769*H1769</f>
        <v>0</v>
      </c>
      <c r="U1769" s="222"/>
      <c r="V1769" s="222"/>
      <c r="W1769" s="222"/>
      <c r="X1769" s="222"/>
      <c r="Y1769" s="222"/>
      <c r="Z1769" s="222"/>
      <c r="AA1769" s="222"/>
      <c r="AB1769" s="222"/>
      <c r="AC1769" s="222"/>
      <c r="AD1769" s="222"/>
      <c r="AE1769" s="222"/>
      <c r="AR1769" s="324" t="s">
        <v>212</v>
      </c>
      <c r="AT1769" s="324" t="s">
        <v>148</v>
      </c>
      <c r="AU1769" s="324" t="s">
        <v>83</v>
      </c>
      <c r="AY1769" s="214" t="s">
        <v>146</v>
      </c>
      <c r="BE1769" s="325">
        <f>IF(N1769="základní",J1769,0)</f>
        <v>0</v>
      </c>
      <c r="BF1769" s="325">
        <f>IF(N1769="snížená",J1769,0)</f>
        <v>0</v>
      </c>
      <c r="BG1769" s="325">
        <f>IF(N1769="zákl. přenesená",J1769,0)</f>
        <v>0</v>
      </c>
      <c r="BH1769" s="325">
        <f>IF(N1769="sníž. přenesená",J1769,0)</f>
        <v>0</v>
      </c>
      <c r="BI1769" s="325">
        <f>IF(N1769="nulová",J1769,0)</f>
        <v>0</v>
      </c>
      <c r="BJ1769" s="214" t="s">
        <v>81</v>
      </c>
      <c r="BK1769" s="325">
        <f>ROUND(I1769*H1769,2)</f>
        <v>0</v>
      </c>
      <c r="BL1769" s="214" t="s">
        <v>212</v>
      </c>
      <c r="BM1769" s="324" t="s">
        <v>1246</v>
      </c>
    </row>
    <row r="1770" spans="2:51" s="326" customFormat="1" ht="12">
      <c r="B1770" s="327"/>
      <c r="D1770" s="328" t="s">
        <v>155</v>
      </c>
      <c r="E1770" s="329" t="s">
        <v>1</v>
      </c>
      <c r="F1770" s="345" t="s">
        <v>1247</v>
      </c>
      <c r="H1770" s="329" t="s">
        <v>1</v>
      </c>
      <c r="I1770" s="497"/>
      <c r="L1770" s="331"/>
      <c r="M1770" s="332"/>
      <c r="N1770" s="333"/>
      <c r="O1770" s="333"/>
      <c r="P1770" s="333"/>
      <c r="Q1770" s="333"/>
      <c r="R1770" s="333"/>
      <c r="S1770" s="333"/>
      <c r="T1770" s="334"/>
      <c r="AT1770" s="329" t="s">
        <v>155</v>
      </c>
      <c r="AU1770" s="329" t="s">
        <v>83</v>
      </c>
      <c r="AV1770" s="326" t="s">
        <v>81</v>
      </c>
      <c r="AW1770" s="326" t="s">
        <v>34</v>
      </c>
      <c r="AX1770" s="326" t="s">
        <v>76</v>
      </c>
      <c r="AY1770" s="329" t="s">
        <v>146</v>
      </c>
    </row>
    <row r="1771" spans="2:51" s="335" customFormat="1" ht="12">
      <c r="B1771" s="336"/>
      <c r="D1771" s="328" t="s">
        <v>155</v>
      </c>
      <c r="E1771" s="337" t="s">
        <v>1</v>
      </c>
      <c r="F1771" s="346" t="s">
        <v>1248</v>
      </c>
      <c r="H1771" s="339">
        <f>2.46+1.955*2+1.8+1.93*2</f>
        <v>12.03</v>
      </c>
      <c r="I1771" s="498"/>
      <c r="L1771" s="340"/>
      <c r="M1771" s="341"/>
      <c r="N1771" s="342"/>
      <c r="O1771" s="342"/>
      <c r="P1771" s="342"/>
      <c r="Q1771" s="342"/>
      <c r="R1771" s="342"/>
      <c r="S1771" s="342"/>
      <c r="T1771" s="343"/>
      <c r="AT1771" s="337" t="s">
        <v>155</v>
      </c>
      <c r="AU1771" s="337" t="s">
        <v>83</v>
      </c>
      <c r="AV1771" s="335" t="s">
        <v>83</v>
      </c>
      <c r="AW1771" s="335" t="s">
        <v>34</v>
      </c>
      <c r="AX1771" s="335" t="s">
        <v>81</v>
      </c>
      <c r="AY1771" s="337" t="s">
        <v>146</v>
      </c>
    </row>
    <row r="1772" spans="1:65" s="225" customFormat="1" ht="24.2" customHeight="1">
      <c r="A1772" s="222"/>
      <c r="B1772" s="223"/>
      <c r="C1772" s="314">
        <v>365</v>
      </c>
      <c r="D1772" s="314" t="s">
        <v>148</v>
      </c>
      <c r="E1772" s="315" t="s">
        <v>1249</v>
      </c>
      <c r="F1772" s="344" t="s">
        <v>3040</v>
      </c>
      <c r="G1772" s="317" t="s">
        <v>194</v>
      </c>
      <c r="H1772" s="318">
        <f>R1768</f>
        <v>2.024649</v>
      </c>
      <c r="I1772" s="79"/>
      <c r="J1772" s="319">
        <f>ROUND(I1772*H1772,2)</f>
        <v>0</v>
      </c>
      <c r="K1772" s="316"/>
      <c r="L1772" s="229"/>
      <c r="M1772" s="320" t="s">
        <v>1</v>
      </c>
      <c r="N1772" s="321" t="s">
        <v>42</v>
      </c>
      <c r="O1772" s="322">
        <v>0</v>
      </c>
      <c r="P1772" s="322">
        <f>O1772*H1772</f>
        <v>0</v>
      </c>
      <c r="Q1772" s="322"/>
      <c r="R1772" s="322"/>
      <c r="S1772" s="322"/>
      <c r="T1772" s="323"/>
      <c r="U1772" s="222"/>
      <c r="V1772" s="222"/>
      <c r="W1772" s="222"/>
      <c r="X1772" s="222"/>
      <c r="Y1772" s="222"/>
      <c r="Z1772" s="222"/>
      <c r="AA1772" s="222"/>
      <c r="AB1772" s="222"/>
      <c r="AC1772" s="222"/>
      <c r="AD1772" s="222"/>
      <c r="AE1772" s="222"/>
      <c r="AR1772" s="324" t="s">
        <v>212</v>
      </c>
      <c r="AT1772" s="324" t="s">
        <v>148</v>
      </c>
      <c r="AU1772" s="324" t="s">
        <v>83</v>
      </c>
      <c r="AY1772" s="214" t="s">
        <v>146</v>
      </c>
      <c r="BE1772" s="325">
        <f>IF(N1772="základní",J1772,0)</f>
        <v>0</v>
      </c>
      <c r="BF1772" s="325">
        <f>IF(N1772="snížená",J1772,0)</f>
        <v>0</v>
      </c>
      <c r="BG1772" s="325">
        <f>IF(N1772="zákl. přenesená",J1772,0)</f>
        <v>0</v>
      </c>
      <c r="BH1772" s="325">
        <f>IF(N1772="sníž. přenesená",J1772,0)</f>
        <v>0</v>
      </c>
      <c r="BI1772" s="325">
        <f>IF(N1772="nulová",J1772,0)</f>
        <v>0</v>
      </c>
      <c r="BJ1772" s="214" t="s">
        <v>81</v>
      </c>
      <c r="BK1772" s="325">
        <f>ROUND(I1772*H1772,2)</f>
        <v>0</v>
      </c>
      <c r="BL1772" s="214" t="s">
        <v>212</v>
      </c>
      <c r="BM1772" s="324" t="s">
        <v>1250</v>
      </c>
    </row>
    <row r="1773" spans="2:63" s="297" customFormat="1" ht="22.9" customHeight="1">
      <c r="B1773" s="298"/>
      <c r="D1773" s="299" t="s">
        <v>75</v>
      </c>
      <c r="E1773" s="310" t="s">
        <v>1251</v>
      </c>
      <c r="F1773" s="310" t="s">
        <v>1252</v>
      </c>
      <c r="I1773" s="501"/>
      <c r="J1773" s="311">
        <f>SUM(J1774:J1841)</f>
        <v>0</v>
      </c>
      <c r="L1773" s="302"/>
      <c r="M1773" s="303"/>
      <c r="N1773" s="304"/>
      <c r="O1773" s="304"/>
      <c r="P1773" s="305">
        <f>SUM(P1774:P1841)</f>
        <v>176.6982745</v>
      </c>
      <c r="Q1773" s="304"/>
      <c r="R1773" s="305">
        <f>SUM(R1774:R1841)</f>
        <v>0.86054511886</v>
      </c>
      <c r="S1773" s="304"/>
      <c r="T1773" s="313">
        <f>SUM(T1774:T1841)</f>
        <v>0.6824229999999999</v>
      </c>
      <c r="AR1773" s="299" t="s">
        <v>83</v>
      </c>
      <c r="AT1773" s="308" t="s">
        <v>75</v>
      </c>
      <c r="AU1773" s="308" t="s">
        <v>81</v>
      </c>
      <c r="AY1773" s="299" t="s">
        <v>146</v>
      </c>
      <c r="BK1773" s="309">
        <f>SUM(BK1774:BK1841)</f>
        <v>0</v>
      </c>
    </row>
    <row r="1774" spans="1:65" s="225" customFormat="1" ht="24.2" customHeight="1">
      <c r="A1774" s="222"/>
      <c r="B1774" s="223"/>
      <c r="C1774" s="314">
        <v>366</v>
      </c>
      <c r="D1774" s="314" t="s">
        <v>148</v>
      </c>
      <c r="E1774" s="315" t="s">
        <v>1253</v>
      </c>
      <c r="F1774" s="344" t="s">
        <v>3065</v>
      </c>
      <c r="G1774" s="317" t="s">
        <v>151</v>
      </c>
      <c r="H1774" s="318">
        <f>H1777</f>
        <v>101.27</v>
      </c>
      <c r="I1774" s="79"/>
      <c r="J1774" s="319">
        <f>ROUND(I1774*H1774,2)</f>
        <v>0</v>
      </c>
      <c r="K1774" s="316"/>
      <c r="L1774" s="229"/>
      <c r="M1774" s="320" t="s">
        <v>1</v>
      </c>
      <c r="N1774" s="321" t="s">
        <v>42</v>
      </c>
      <c r="O1774" s="322">
        <v>0.073</v>
      </c>
      <c r="P1774" s="322">
        <f>O1774*H1774</f>
        <v>7.392709999999999</v>
      </c>
      <c r="Q1774" s="322">
        <v>7.68E-07</v>
      </c>
      <c r="R1774" s="322">
        <f>Q1774*H1774</f>
        <v>7.777535999999999E-05</v>
      </c>
      <c r="S1774" s="322">
        <v>0</v>
      </c>
      <c r="T1774" s="323">
        <f>S1774*H1774</f>
        <v>0</v>
      </c>
      <c r="U1774" s="222"/>
      <c r="V1774" s="222"/>
      <c r="W1774" s="222"/>
      <c r="X1774" s="222"/>
      <c r="Y1774" s="222"/>
      <c r="Z1774" s="222"/>
      <c r="AA1774" s="222"/>
      <c r="AB1774" s="222"/>
      <c r="AC1774" s="222"/>
      <c r="AD1774" s="222"/>
      <c r="AE1774" s="222"/>
      <c r="AR1774" s="324" t="s">
        <v>212</v>
      </c>
      <c r="AT1774" s="324" t="s">
        <v>148</v>
      </c>
      <c r="AU1774" s="324" t="s">
        <v>83</v>
      </c>
      <c r="AY1774" s="214" t="s">
        <v>146</v>
      </c>
      <c r="BE1774" s="325">
        <f>IF(N1774="základní",J1774,0)</f>
        <v>0</v>
      </c>
      <c r="BF1774" s="325">
        <f>IF(N1774="snížená",J1774,0)</f>
        <v>0</v>
      </c>
      <c r="BG1774" s="325">
        <f>IF(N1774="zákl. přenesená",J1774,0)</f>
        <v>0</v>
      </c>
      <c r="BH1774" s="325">
        <f>IF(N1774="sníž. přenesená",J1774,0)</f>
        <v>0</v>
      </c>
      <c r="BI1774" s="325">
        <f>IF(N1774="nulová",J1774,0)</f>
        <v>0</v>
      </c>
      <c r="BJ1774" s="214" t="s">
        <v>81</v>
      </c>
      <c r="BK1774" s="325">
        <f>ROUND(I1774*H1774,2)</f>
        <v>0</v>
      </c>
      <c r="BL1774" s="214" t="s">
        <v>212</v>
      </c>
      <c r="BM1774" s="324" t="s">
        <v>1254</v>
      </c>
    </row>
    <row r="1775" spans="2:51" s="326" customFormat="1" ht="12">
      <c r="B1775" s="327"/>
      <c r="D1775" s="328" t="s">
        <v>155</v>
      </c>
      <c r="E1775" s="329" t="s">
        <v>1</v>
      </c>
      <c r="F1775" s="345" t="s">
        <v>495</v>
      </c>
      <c r="H1775" s="329" t="s">
        <v>1</v>
      </c>
      <c r="I1775" s="497"/>
      <c r="L1775" s="331"/>
      <c r="M1775" s="332"/>
      <c r="N1775" s="333"/>
      <c r="O1775" s="333"/>
      <c r="P1775" s="333"/>
      <c r="Q1775" s="333"/>
      <c r="R1775" s="333"/>
      <c r="S1775" s="333"/>
      <c r="T1775" s="334"/>
      <c r="AT1775" s="329" t="s">
        <v>155</v>
      </c>
      <c r="AU1775" s="329" t="s">
        <v>83</v>
      </c>
      <c r="AV1775" s="326" t="s">
        <v>81</v>
      </c>
      <c r="AW1775" s="326" t="s">
        <v>34</v>
      </c>
      <c r="AX1775" s="326" t="s">
        <v>76</v>
      </c>
      <c r="AY1775" s="329" t="s">
        <v>146</v>
      </c>
    </row>
    <row r="1776" spans="2:51" s="326" customFormat="1" ht="12">
      <c r="B1776" s="327"/>
      <c r="D1776" s="328" t="s">
        <v>155</v>
      </c>
      <c r="E1776" s="329" t="s">
        <v>1</v>
      </c>
      <c r="F1776" s="345" t="s">
        <v>3285</v>
      </c>
      <c r="H1776" s="329" t="s">
        <v>1</v>
      </c>
      <c r="I1776" s="497"/>
      <c r="L1776" s="331"/>
      <c r="M1776" s="332"/>
      <c r="N1776" s="333"/>
      <c r="O1776" s="333"/>
      <c r="P1776" s="333"/>
      <c r="Q1776" s="333"/>
      <c r="R1776" s="333"/>
      <c r="S1776" s="333"/>
      <c r="T1776" s="334"/>
      <c r="AT1776" s="329" t="s">
        <v>155</v>
      </c>
      <c r="AU1776" s="329" t="s">
        <v>83</v>
      </c>
      <c r="AV1776" s="326" t="s">
        <v>81</v>
      </c>
      <c r="AW1776" s="326" t="s">
        <v>34</v>
      </c>
      <c r="AX1776" s="326" t="s">
        <v>76</v>
      </c>
      <c r="AY1776" s="329" t="s">
        <v>146</v>
      </c>
    </row>
    <row r="1777" spans="2:51" s="335" customFormat="1" ht="12">
      <c r="B1777" s="336"/>
      <c r="D1777" s="328" t="s">
        <v>155</v>
      </c>
      <c r="E1777" s="337" t="s">
        <v>1</v>
      </c>
      <c r="F1777" s="346" t="s">
        <v>3286</v>
      </c>
      <c r="H1777" s="339">
        <f>21.72+18.28+30.44+30.83</f>
        <v>101.27</v>
      </c>
      <c r="I1777" s="498"/>
      <c r="L1777" s="340"/>
      <c r="M1777" s="341"/>
      <c r="N1777" s="342"/>
      <c r="O1777" s="342"/>
      <c r="P1777" s="342"/>
      <c r="Q1777" s="342"/>
      <c r="R1777" s="342"/>
      <c r="S1777" s="342"/>
      <c r="T1777" s="343"/>
      <c r="AT1777" s="337" t="s">
        <v>155</v>
      </c>
      <c r="AU1777" s="337" t="s">
        <v>83</v>
      </c>
      <c r="AV1777" s="335" t="s">
        <v>83</v>
      </c>
      <c r="AW1777" s="335" t="s">
        <v>34</v>
      </c>
      <c r="AX1777" s="335" t="s">
        <v>76</v>
      </c>
      <c r="AY1777" s="337" t="s">
        <v>146</v>
      </c>
    </row>
    <row r="1778" spans="1:65" s="225" customFormat="1" ht="24.2" customHeight="1">
      <c r="A1778" s="222"/>
      <c r="B1778" s="223"/>
      <c r="C1778" s="314">
        <v>367</v>
      </c>
      <c r="D1778" s="314" t="s">
        <v>148</v>
      </c>
      <c r="E1778" s="315" t="s">
        <v>1255</v>
      </c>
      <c r="F1778" s="344" t="s">
        <v>1256</v>
      </c>
      <c r="G1778" s="317" t="s">
        <v>151</v>
      </c>
      <c r="H1778" s="318">
        <f>H1779</f>
        <v>262.641</v>
      </c>
      <c r="I1778" s="79"/>
      <c r="J1778" s="319">
        <f>ROUND(I1778*H1778,2)</f>
        <v>0</v>
      </c>
      <c r="K1778" s="316"/>
      <c r="L1778" s="229"/>
      <c r="M1778" s="320" t="s">
        <v>1</v>
      </c>
      <c r="N1778" s="321" t="s">
        <v>42</v>
      </c>
      <c r="O1778" s="322">
        <v>0.058</v>
      </c>
      <c r="P1778" s="322">
        <f>O1778*H1778</f>
        <v>15.233178000000002</v>
      </c>
      <c r="Q1778" s="322">
        <v>3.3E-05</v>
      </c>
      <c r="R1778" s="322">
        <f>Q1778*H1778</f>
        <v>0.008667153000000002</v>
      </c>
      <c r="S1778" s="322">
        <v>0</v>
      </c>
      <c r="T1778" s="323">
        <f>S1778*H1778</f>
        <v>0</v>
      </c>
      <c r="U1778" s="222"/>
      <c r="V1778" s="222"/>
      <c r="W1778" s="222"/>
      <c r="X1778" s="222"/>
      <c r="Y1778" s="222"/>
      <c r="Z1778" s="222"/>
      <c r="AA1778" s="222"/>
      <c r="AB1778" s="222"/>
      <c r="AC1778" s="222"/>
      <c r="AD1778" s="222"/>
      <c r="AE1778" s="222"/>
      <c r="AR1778" s="324" t="s">
        <v>212</v>
      </c>
      <c r="AT1778" s="324" t="s">
        <v>148</v>
      </c>
      <c r="AU1778" s="324" t="s">
        <v>83</v>
      </c>
      <c r="AY1778" s="214" t="s">
        <v>146</v>
      </c>
      <c r="BE1778" s="325">
        <f>IF(N1778="základní",J1778,0)</f>
        <v>0</v>
      </c>
      <c r="BF1778" s="325">
        <f>IF(N1778="snížená",J1778,0)</f>
        <v>0</v>
      </c>
      <c r="BG1778" s="325">
        <f>IF(N1778="zákl. přenesená",J1778,0)</f>
        <v>0</v>
      </c>
      <c r="BH1778" s="325">
        <f>IF(N1778="sníž. přenesená",J1778,0)</f>
        <v>0</v>
      </c>
      <c r="BI1778" s="325">
        <f>IF(N1778="nulová",J1778,0)</f>
        <v>0</v>
      </c>
      <c r="BJ1778" s="214" t="s">
        <v>81</v>
      </c>
      <c r="BK1778" s="325">
        <f>ROUND(I1778*H1778,2)</f>
        <v>0</v>
      </c>
      <c r="BL1778" s="214" t="s">
        <v>212</v>
      </c>
      <c r="BM1778" s="324" t="s">
        <v>1257</v>
      </c>
    </row>
    <row r="1779" spans="2:51" s="335" customFormat="1" ht="12">
      <c r="B1779" s="336"/>
      <c r="D1779" s="328" t="s">
        <v>155</v>
      </c>
      <c r="E1779" s="337" t="s">
        <v>1</v>
      </c>
      <c r="F1779" s="346" t="s">
        <v>3287</v>
      </c>
      <c r="H1779" s="339">
        <f>253.131+9.51</f>
        <v>262.641</v>
      </c>
      <c r="I1779" s="498"/>
      <c r="L1779" s="340"/>
      <c r="M1779" s="341"/>
      <c r="N1779" s="342"/>
      <c r="O1779" s="342"/>
      <c r="P1779" s="342"/>
      <c r="Q1779" s="342"/>
      <c r="R1779" s="342"/>
      <c r="S1779" s="342"/>
      <c r="T1779" s="343"/>
      <c r="AT1779" s="337" t="s">
        <v>155</v>
      </c>
      <c r="AU1779" s="337" t="s">
        <v>83</v>
      </c>
      <c r="AV1779" s="335" t="s">
        <v>83</v>
      </c>
      <c r="AW1779" s="335" t="s">
        <v>34</v>
      </c>
      <c r="AX1779" s="335" t="s">
        <v>76</v>
      </c>
      <c r="AY1779" s="337" t="s">
        <v>146</v>
      </c>
    </row>
    <row r="1780" spans="1:65" s="225" customFormat="1" ht="24.2" customHeight="1">
      <c r="A1780" s="222"/>
      <c r="B1780" s="223"/>
      <c r="C1780" s="314">
        <v>368</v>
      </c>
      <c r="D1780" s="314" t="s">
        <v>148</v>
      </c>
      <c r="E1780" s="315" t="s">
        <v>1258</v>
      </c>
      <c r="F1780" s="344" t="s">
        <v>1259</v>
      </c>
      <c r="G1780" s="317" t="s">
        <v>151</v>
      </c>
      <c r="H1780" s="318">
        <f>H1787</f>
        <v>248.10999999999996</v>
      </c>
      <c r="I1780" s="79"/>
      <c r="J1780" s="319">
        <f>ROUND(I1780*H1780,2)</f>
        <v>0</v>
      </c>
      <c r="K1780" s="316"/>
      <c r="L1780" s="229"/>
      <c r="M1780" s="320" t="s">
        <v>1</v>
      </c>
      <c r="N1780" s="321" t="s">
        <v>42</v>
      </c>
      <c r="O1780" s="322">
        <v>0.105</v>
      </c>
      <c r="P1780" s="322">
        <f>O1780*H1780</f>
        <v>26.051549999999995</v>
      </c>
      <c r="Q1780" s="322">
        <v>0</v>
      </c>
      <c r="R1780" s="322">
        <f>Q1780*H1780</f>
        <v>0</v>
      </c>
      <c r="S1780" s="322">
        <v>0.0025</v>
      </c>
      <c r="T1780" s="479">
        <f>S1780*H1780</f>
        <v>0.6202749999999999</v>
      </c>
      <c r="U1780" s="222"/>
      <c r="V1780" s="222"/>
      <c r="W1780" s="222"/>
      <c r="X1780" s="222"/>
      <c r="Y1780" s="222"/>
      <c r="Z1780" s="222"/>
      <c r="AA1780" s="222"/>
      <c r="AB1780" s="222"/>
      <c r="AC1780" s="222"/>
      <c r="AD1780" s="222"/>
      <c r="AE1780" s="222"/>
      <c r="AR1780" s="324" t="s">
        <v>212</v>
      </c>
      <c r="AT1780" s="324" t="s">
        <v>148</v>
      </c>
      <c r="AU1780" s="324" t="s">
        <v>83</v>
      </c>
      <c r="AY1780" s="214" t="s">
        <v>146</v>
      </c>
      <c r="BE1780" s="325">
        <f>IF(N1780="základní",J1780,0)</f>
        <v>0</v>
      </c>
      <c r="BF1780" s="325">
        <f>IF(N1780="snížená",J1780,0)</f>
        <v>0</v>
      </c>
      <c r="BG1780" s="325">
        <f>IF(N1780="zákl. přenesená",J1780,0)</f>
        <v>0</v>
      </c>
      <c r="BH1780" s="325">
        <f>IF(N1780="sníž. přenesená",J1780,0)</f>
        <v>0</v>
      </c>
      <c r="BI1780" s="325">
        <f>IF(N1780="nulová",J1780,0)</f>
        <v>0</v>
      </c>
      <c r="BJ1780" s="214" t="s">
        <v>81</v>
      </c>
      <c r="BK1780" s="325">
        <f>ROUND(I1780*H1780,2)</f>
        <v>0</v>
      </c>
      <c r="BL1780" s="214" t="s">
        <v>212</v>
      </c>
      <c r="BM1780" s="324" t="s">
        <v>1260</v>
      </c>
    </row>
    <row r="1781" spans="2:51" s="326" customFormat="1" ht="12">
      <c r="B1781" s="327"/>
      <c r="D1781" s="328" t="s">
        <v>155</v>
      </c>
      <c r="E1781" s="329" t="s">
        <v>1</v>
      </c>
      <c r="F1781" s="345" t="s">
        <v>492</v>
      </c>
      <c r="H1781" s="329" t="s">
        <v>1</v>
      </c>
      <c r="I1781" s="497"/>
      <c r="L1781" s="331"/>
      <c r="M1781" s="332"/>
      <c r="N1781" s="333"/>
      <c r="O1781" s="333"/>
      <c r="P1781" s="333"/>
      <c r="Q1781" s="333"/>
      <c r="R1781" s="333"/>
      <c r="S1781" s="333"/>
      <c r="T1781" s="334"/>
      <c r="AT1781" s="329" t="s">
        <v>155</v>
      </c>
      <c r="AU1781" s="329" t="s">
        <v>83</v>
      </c>
      <c r="AV1781" s="326" t="s">
        <v>81</v>
      </c>
      <c r="AW1781" s="326" t="s">
        <v>34</v>
      </c>
      <c r="AX1781" s="326" t="s">
        <v>76</v>
      </c>
      <c r="AY1781" s="329" t="s">
        <v>146</v>
      </c>
    </row>
    <row r="1782" spans="2:51" s="326" customFormat="1" ht="12">
      <c r="B1782" s="327"/>
      <c r="D1782" s="328" t="s">
        <v>155</v>
      </c>
      <c r="E1782" s="329" t="s">
        <v>1</v>
      </c>
      <c r="F1782" s="345" t="s">
        <v>1261</v>
      </c>
      <c r="H1782" s="329" t="s">
        <v>1</v>
      </c>
      <c r="I1782" s="497"/>
      <c r="L1782" s="331"/>
      <c r="M1782" s="332"/>
      <c r="N1782" s="333"/>
      <c r="O1782" s="333"/>
      <c r="P1782" s="333"/>
      <c r="Q1782" s="333"/>
      <c r="R1782" s="333"/>
      <c r="S1782" s="333"/>
      <c r="T1782" s="334"/>
      <c r="AT1782" s="329" t="s">
        <v>155</v>
      </c>
      <c r="AU1782" s="329" t="s">
        <v>83</v>
      </c>
      <c r="AV1782" s="326" t="s">
        <v>81</v>
      </c>
      <c r="AW1782" s="326" t="s">
        <v>34</v>
      </c>
      <c r="AX1782" s="326" t="s">
        <v>76</v>
      </c>
      <c r="AY1782" s="329" t="s">
        <v>146</v>
      </c>
    </row>
    <row r="1783" spans="2:51" s="335" customFormat="1" ht="12">
      <c r="B1783" s="336"/>
      <c r="D1783" s="328" t="s">
        <v>155</v>
      </c>
      <c r="E1783" s="337" t="s">
        <v>1</v>
      </c>
      <c r="F1783" s="346" t="s">
        <v>1262</v>
      </c>
      <c r="H1783" s="339">
        <f>26.73+16.96+15.16+13.16</f>
        <v>72.00999999999999</v>
      </c>
      <c r="I1783" s="498"/>
      <c r="L1783" s="340"/>
      <c r="M1783" s="341"/>
      <c r="N1783" s="342"/>
      <c r="O1783" s="342"/>
      <c r="P1783" s="342"/>
      <c r="Q1783" s="342"/>
      <c r="R1783" s="342"/>
      <c r="S1783" s="342"/>
      <c r="T1783" s="343"/>
      <c r="AT1783" s="337" t="s">
        <v>155</v>
      </c>
      <c r="AU1783" s="337" t="s">
        <v>83</v>
      </c>
      <c r="AV1783" s="335" t="s">
        <v>83</v>
      </c>
      <c r="AW1783" s="335" t="s">
        <v>34</v>
      </c>
      <c r="AX1783" s="335" t="s">
        <v>76</v>
      </c>
      <c r="AY1783" s="337" t="s">
        <v>146</v>
      </c>
    </row>
    <row r="1784" spans="2:51" s="326" customFormat="1" ht="12">
      <c r="B1784" s="327"/>
      <c r="D1784" s="328" t="s">
        <v>155</v>
      </c>
      <c r="E1784" s="329" t="s">
        <v>1</v>
      </c>
      <c r="F1784" s="345" t="s">
        <v>495</v>
      </c>
      <c r="H1784" s="329" t="s">
        <v>1</v>
      </c>
      <c r="I1784" s="497"/>
      <c r="L1784" s="331"/>
      <c r="M1784" s="332"/>
      <c r="N1784" s="333"/>
      <c r="O1784" s="333"/>
      <c r="P1784" s="333"/>
      <c r="Q1784" s="333"/>
      <c r="R1784" s="333"/>
      <c r="S1784" s="333"/>
      <c r="T1784" s="334"/>
      <c r="AT1784" s="329" t="s">
        <v>155</v>
      </c>
      <c r="AU1784" s="329" t="s">
        <v>83</v>
      </c>
      <c r="AV1784" s="326" t="s">
        <v>81</v>
      </c>
      <c r="AW1784" s="326" t="s">
        <v>34</v>
      </c>
      <c r="AX1784" s="326" t="s">
        <v>76</v>
      </c>
      <c r="AY1784" s="329" t="s">
        <v>146</v>
      </c>
    </row>
    <row r="1785" spans="2:51" s="326" customFormat="1" ht="12">
      <c r="B1785" s="327"/>
      <c r="D1785" s="328" t="s">
        <v>155</v>
      </c>
      <c r="E1785" s="329" t="s">
        <v>1</v>
      </c>
      <c r="F1785" s="345" t="s">
        <v>3042</v>
      </c>
      <c r="H1785" s="329" t="s">
        <v>1</v>
      </c>
      <c r="I1785" s="497"/>
      <c r="L1785" s="331"/>
      <c r="M1785" s="332"/>
      <c r="N1785" s="333"/>
      <c r="O1785" s="333"/>
      <c r="P1785" s="333"/>
      <c r="Q1785" s="333"/>
      <c r="R1785" s="333"/>
      <c r="S1785" s="333"/>
      <c r="T1785" s="334"/>
      <c r="AT1785" s="329" t="s">
        <v>155</v>
      </c>
      <c r="AU1785" s="329" t="s">
        <v>83</v>
      </c>
      <c r="AV1785" s="326" t="s">
        <v>81</v>
      </c>
      <c r="AW1785" s="326" t="s">
        <v>34</v>
      </c>
      <c r="AX1785" s="326" t="s">
        <v>76</v>
      </c>
      <c r="AY1785" s="329" t="s">
        <v>146</v>
      </c>
    </row>
    <row r="1786" spans="2:51" s="335" customFormat="1" ht="12">
      <c r="B1786" s="336"/>
      <c r="D1786" s="328" t="s">
        <v>155</v>
      </c>
      <c r="E1786" s="337" t="s">
        <v>1</v>
      </c>
      <c r="F1786" s="346" t="s">
        <v>3041</v>
      </c>
      <c r="H1786" s="339">
        <f>21.72+18.28+18.13+28.29+28.41+30.44+30.83</f>
        <v>176.09999999999997</v>
      </c>
      <c r="I1786" s="498"/>
      <c r="L1786" s="340"/>
      <c r="M1786" s="341"/>
      <c r="N1786" s="342"/>
      <c r="O1786" s="342"/>
      <c r="P1786" s="342"/>
      <c r="Q1786" s="342"/>
      <c r="R1786" s="342"/>
      <c r="S1786" s="342"/>
      <c r="T1786" s="343"/>
      <c r="AT1786" s="337" t="s">
        <v>155</v>
      </c>
      <c r="AU1786" s="337" t="s">
        <v>83</v>
      </c>
      <c r="AV1786" s="335" t="s">
        <v>83</v>
      </c>
      <c r="AW1786" s="335" t="s">
        <v>34</v>
      </c>
      <c r="AX1786" s="335" t="s">
        <v>76</v>
      </c>
      <c r="AY1786" s="337" t="s">
        <v>146</v>
      </c>
    </row>
    <row r="1787" spans="2:51" s="347" customFormat="1" ht="12">
      <c r="B1787" s="348"/>
      <c r="D1787" s="328" t="s">
        <v>155</v>
      </c>
      <c r="E1787" s="349" t="s">
        <v>1</v>
      </c>
      <c r="F1787" s="350" t="s">
        <v>157</v>
      </c>
      <c r="H1787" s="351">
        <f>SUM(H1783:H1786)</f>
        <v>248.10999999999996</v>
      </c>
      <c r="I1787" s="499"/>
      <c r="L1787" s="352"/>
      <c r="M1787" s="353"/>
      <c r="N1787" s="354"/>
      <c r="O1787" s="354"/>
      <c r="P1787" s="354"/>
      <c r="Q1787" s="354"/>
      <c r="R1787" s="354"/>
      <c r="S1787" s="354"/>
      <c r="T1787" s="355"/>
      <c r="AT1787" s="349" t="s">
        <v>155</v>
      </c>
      <c r="AU1787" s="349" t="s">
        <v>83</v>
      </c>
      <c r="AV1787" s="347" t="s">
        <v>153</v>
      </c>
      <c r="AW1787" s="347" t="s">
        <v>34</v>
      </c>
      <c r="AX1787" s="347" t="s">
        <v>81</v>
      </c>
      <c r="AY1787" s="349" t="s">
        <v>146</v>
      </c>
    </row>
    <row r="1788" spans="1:65" s="225" customFormat="1" ht="35.25" customHeight="1">
      <c r="A1788" s="222"/>
      <c r="B1788" s="223"/>
      <c r="C1788" s="314">
        <v>369</v>
      </c>
      <c r="D1788" s="314" t="s">
        <v>148</v>
      </c>
      <c r="E1788" s="315" t="s">
        <v>1263</v>
      </c>
      <c r="F1788" s="344" t="s">
        <v>1264</v>
      </c>
      <c r="G1788" s="317" t="s">
        <v>151</v>
      </c>
      <c r="H1788" s="318">
        <f>H1803</f>
        <v>253.13049999999996</v>
      </c>
      <c r="I1788" s="79"/>
      <c r="J1788" s="319">
        <f>ROUND(I1788*H1788,2)</f>
        <v>0</v>
      </c>
      <c r="K1788" s="316"/>
      <c r="L1788" s="229"/>
      <c r="M1788" s="320" t="s">
        <v>1</v>
      </c>
      <c r="N1788" s="321" t="s">
        <v>42</v>
      </c>
      <c r="O1788" s="322">
        <v>0.233</v>
      </c>
      <c r="P1788" s="322">
        <f>O1788*H1788</f>
        <v>58.979406499999996</v>
      </c>
      <c r="Q1788" s="322">
        <v>0.0003</v>
      </c>
      <c r="R1788" s="322">
        <f>Q1788*H1788</f>
        <v>0.07593914999999998</v>
      </c>
      <c r="S1788" s="322">
        <v>0</v>
      </c>
      <c r="T1788" s="323">
        <f>S1788*H1788</f>
        <v>0</v>
      </c>
      <c r="U1788" s="222"/>
      <c r="V1788" s="222"/>
      <c r="W1788" s="222"/>
      <c r="X1788" s="222"/>
      <c r="Y1788" s="222"/>
      <c r="Z1788" s="222"/>
      <c r="AA1788" s="222"/>
      <c r="AB1788" s="222"/>
      <c r="AC1788" s="222"/>
      <c r="AD1788" s="222"/>
      <c r="AE1788" s="222"/>
      <c r="AR1788" s="324" t="s">
        <v>212</v>
      </c>
      <c r="AT1788" s="324" t="s">
        <v>148</v>
      </c>
      <c r="AU1788" s="324" t="s">
        <v>83</v>
      </c>
      <c r="AY1788" s="214" t="s">
        <v>146</v>
      </c>
      <c r="BE1788" s="325">
        <f>IF(N1788="základní",J1788,0)</f>
        <v>0</v>
      </c>
      <c r="BF1788" s="325">
        <f>IF(N1788="snížená",J1788,0)</f>
        <v>0</v>
      </c>
      <c r="BG1788" s="325">
        <f>IF(N1788="zákl. přenesená",J1788,0)</f>
        <v>0</v>
      </c>
      <c r="BH1788" s="325">
        <f>IF(N1788="sníž. přenesená",J1788,0)</f>
        <v>0</v>
      </c>
      <c r="BI1788" s="325">
        <f>IF(N1788="nulová",J1788,0)</f>
        <v>0</v>
      </c>
      <c r="BJ1788" s="214" t="s">
        <v>81</v>
      </c>
      <c r="BK1788" s="325">
        <f>ROUND(I1788*H1788,2)</f>
        <v>0</v>
      </c>
      <c r="BL1788" s="214" t="s">
        <v>212</v>
      </c>
      <c r="BM1788" s="324" t="s">
        <v>1265</v>
      </c>
    </row>
    <row r="1789" spans="2:51" s="335" customFormat="1" ht="12">
      <c r="B1789" s="336"/>
      <c r="D1789" s="328" t="s">
        <v>155</v>
      </c>
      <c r="E1789" s="337" t="s">
        <v>1</v>
      </c>
      <c r="F1789" s="346" t="s">
        <v>3045</v>
      </c>
      <c r="H1789" s="339">
        <f>(3.7*3.6-0.4*0.4)</f>
        <v>13.16</v>
      </c>
      <c r="I1789" s="498"/>
      <c r="L1789" s="340"/>
      <c r="M1789" s="341"/>
      <c r="N1789" s="342"/>
      <c r="O1789" s="342"/>
      <c r="P1789" s="342"/>
      <c r="Q1789" s="342"/>
      <c r="R1789" s="342"/>
      <c r="S1789" s="342"/>
      <c r="T1789" s="343"/>
      <c r="AT1789" s="337" t="s">
        <v>155</v>
      </c>
      <c r="AU1789" s="337" t="s">
        <v>83</v>
      </c>
      <c r="AV1789" s="335" t="s">
        <v>83</v>
      </c>
      <c r="AW1789" s="335" t="s">
        <v>34</v>
      </c>
      <c r="AX1789" s="335" t="s">
        <v>76</v>
      </c>
      <c r="AY1789" s="337" t="s">
        <v>146</v>
      </c>
    </row>
    <row r="1790" spans="2:51" s="335" customFormat="1" ht="12">
      <c r="B1790" s="336"/>
      <c r="D1790" s="328" t="s">
        <v>155</v>
      </c>
      <c r="E1790" s="337" t="s">
        <v>1</v>
      </c>
      <c r="F1790" s="346" t="s">
        <v>3046</v>
      </c>
      <c r="H1790" s="339">
        <f>(6.4*4.15-0.4*0.4+0.9*0.25+1.6*0.25)</f>
        <v>27.025000000000002</v>
      </c>
      <c r="I1790" s="498"/>
      <c r="L1790" s="340"/>
      <c r="M1790" s="341"/>
      <c r="N1790" s="342"/>
      <c r="O1790" s="342"/>
      <c r="P1790" s="342"/>
      <c r="Q1790" s="342"/>
      <c r="R1790" s="342"/>
      <c r="S1790" s="342"/>
      <c r="T1790" s="343"/>
      <c r="AT1790" s="337" t="s">
        <v>155</v>
      </c>
      <c r="AU1790" s="337" t="s">
        <v>83</v>
      </c>
      <c r="AV1790" s="335" t="s">
        <v>83</v>
      </c>
      <c r="AW1790" s="335" t="s">
        <v>34</v>
      </c>
      <c r="AX1790" s="335" t="s">
        <v>76</v>
      </c>
      <c r="AY1790" s="337" t="s">
        <v>146</v>
      </c>
    </row>
    <row r="1791" spans="2:51" s="335" customFormat="1" ht="12">
      <c r="B1791" s="336"/>
      <c r="D1791" s="328" t="s">
        <v>155</v>
      </c>
      <c r="E1791" s="337" t="s">
        <v>1</v>
      </c>
      <c r="F1791" s="346" t="s">
        <v>3047</v>
      </c>
      <c r="H1791" s="339">
        <f>(4.15*4.05-0.15*0.4+1.6*0.25)</f>
        <v>17.1475</v>
      </c>
      <c r="I1791" s="498"/>
      <c r="L1791" s="340"/>
      <c r="M1791" s="341"/>
      <c r="N1791" s="342"/>
      <c r="O1791" s="342"/>
      <c r="P1791" s="342"/>
      <c r="Q1791" s="342"/>
      <c r="R1791" s="342"/>
      <c r="S1791" s="342"/>
      <c r="T1791" s="343"/>
      <c r="AT1791" s="337" t="s">
        <v>155</v>
      </c>
      <c r="AU1791" s="337" t="s">
        <v>83</v>
      </c>
      <c r="AV1791" s="335" t="s">
        <v>83</v>
      </c>
      <c r="AW1791" s="335" t="s">
        <v>34</v>
      </c>
      <c r="AX1791" s="335" t="s">
        <v>76</v>
      </c>
      <c r="AY1791" s="337" t="s">
        <v>146</v>
      </c>
    </row>
    <row r="1792" spans="2:51" s="335" customFormat="1" ht="12">
      <c r="B1792" s="336"/>
      <c r="D1792" s="328" t="s">
        <v>155</v>
      </c>
      <c r="E1792" s="337" t="s">
        <v>1</v>
      </c>
      <c r="F1792" s="346" t="s">
        <v>3048</v>
      </c>
      <c r="H1792" s="339">
        <f>(4.15*3.63+1*0.25)</f>
        <v>15.3145</v>
      </c>
      <c r="I1792" s="498"/>
      <c r="L1792" s="340"/>
      <c r="M1792" s="341"/>
      <c r="N1792" s="342"/>
      <c r="O1792" s="342"/>
      <c r="P1792" s="342"/>
      <c r="Q1792" s="342"/>
      <c r="R1792" s="342"/>
      <c r="S1792" s="342"/>
      <c r="T1792" s="343"/>
      <c r="AT1792" s="337" t="s">
        <v>155</v>
      </c>
      <c r="AU1792" s="337" t="s">
        <v>83</v>
      </c>
      <c r="AV1792" s="335" t="s">
        <v>83</v>
      </c>
      <c r="AW1792" s="335" t="s">
        <v>34</v>
      </c>
      <c r="AX1792" s="335" t="s">
        <v>76</v>
      </c>
      <c r="AY1792" s="337" t="s">
        <v>146</v>
      </c>
    </row>
    <row r="1793" spans="2:51" s="335" customFormat="1" ht="12">
      <c r="B1793" s="336"/>
      <c r="D1793" s="328" t="s">
        <v>155</v>
      </c>
      <c r="E1793" s="337" t="s">
        <v>1</v>
      </c>
      <c r="F1793" s="346" t="s">
        <v>3049</v>
      </c>
      <c r="H1793" s="339">
        <f>(7.2*4.25+2.1*0.6)</f>
        <v>31.860000000000003</v>
      </c>
      <c r="I1793" s="498"/>
      <c r="L1793" s="340"/>
      <c r="M1793" s="341"/>
      <c r="N1793" s="342"/>
      <c r="O1793" s="342"/>
      <c r="P1793" s="342"/>
      <c r="Q1793" s="342"/>
      <c r="R1793" s="342"/>
      <c r="S1793" s="342"/>
      <c r="T1793" s="343"/>
      <c r="AT1793" s="337" t="s">
        <v>155</v>
      </c>
      <c r="AU1793" s="337" t="s">
        <v>83</v>
      </c>
      <c r="AV1793" s="335" t="s">
        <v>83</v>
      </c>
      <c r="AW1793" s="335" t="s">
        <v>34</v>
      </c>
      <c r="AX1793" s="335" t="s">
        <v>76</v>
      </c>
      <c r="AY1793" s="337" t="s">
        <v>146</v>
      </c>
    </row>
    <row r="1794" spans="2:51" s="335" customFormat="1" ht="12">
      <c r="B1794" s="336"/>
      <c r="D1794" s="328" t="s">
        <v>155</v>
      </c>
      <c r="E1794" s="337" t="s">
        <v>1</v>
      </c>
      <c r="F1794" s="346" t="s">
        <v>3050</v>
      </c>
      <c r="H1794" s="339">
        <f>(7.3*4.25-2.25*0.6-0.4*0.4)</f>
        <v>29.514999999999997</v>
      </c>
      <c r="I1794" s="498"/>
      <c r="L1794" s="340"/>
      <c r="M1794" s="341"/>
      <c r="N1794" s="342"/>
      <c r="O1794" s="342"/>
      <c r="P1794" s="342"/>
      <c r="Q1794" s="342"/>
      <c r="R1794" s="342"/>
      <c r="S1794" s="342"/>
      <c r="T1794" s="343"/>
      <c r="AT1794" s="337" t="s">
        <v>155</v>
      </c>
      <c r="AU1794" s="337" t="s">
        <v>83</v>
      </c>
      <c r="AV1794" s="335" t="s">
        <v>83</v>
      </c>
      <c r="AW1794" s="335" t="s">
        <v>34</v>
      </c>
      <c r="AX1794" s="335" t="s">
        <v>76</v>
      </c>
      <c r="AY1794" s="337" t="s">
        <v>146</v>
      </c>
    </row>
    <row r="1795" spans="2:51" s="335" customFormat="1" ht="12">
      <c r="B1795" s="336"/>
      <c r="D1795" s="328" t="s">
        <v>155</v>
      </c>
      <c r="E1795" s="337" t="s">
        <v>1</v>
      </c>
      <c r="F1795" s="346" t="s">
        <v>3051</v>
      </c>
      <c r="H1795" s="339">
        <f>(3.73*4.25)</f>
        <v>15.8525</v>
      </c>
      <c r="I1795" s="498"/>
      <c r="L1795" s="340"/>
      <c r="M1795" s="341"/>
      <c r="N1795" s="342"/>
      <c r="O1795" s="342"/>
      <c r="P1795" s="342"/>
      <c r="Q1795" s="342"/>
      <c r="R1795" s="342"/>
      <c r="S1795" s="342"/>
      <c r="T1795" s="343"/>
      <c r="AT1795" s="337" t="s">
        <v>155</v>
      </c>
      <c r="AU1795" s="337" t="s">
        <v>83</v>
      </c>
      <c r="AV1795" s="335" t="s">
        <v>83</v>
      </c>
      <c r="AW1795" s="335" t="s">
        <v>34</v>
      </c>
      <c r="AX1795" s="335" t="s">
        <v>76</v>
      </c>
      <c r="AY1795" s="337" t="s">
        <v>146</v>
      </c>
    </row>
    <row r="1796" spans="2:51" s="335" customFormat="1" ht="12">
      <c r="B1796" s="336"/>
      <c r="D1796" s="328" t="s">
        <v>155</v>
      </c>
      <c r="E1796" s="337" t="s">
        <v>1</v>
      </c>
      <c r="F1796" s="346" t="s">
        <v>3052</v>
      </c>
      <c r="H1796" s="339">
        <f>(6.25*3.48)</f>
        <v>21.75</v>
      </c>
      <c r="I1796" s="498"/>
      <c r="L1796" s="340"/>
      <c r="M1796" s="341"/>
      <c r="N1796" s="342"/>
      <c r="O1796" s="342"/>
      <c r="P1796" s="342"/>
      <c r="Q1796" s="342"/>
      <c r="R1796" s="342"/>
      <c r="S1796" s="342"/>
      <c r="T1796" s="343"/>
      <c r="AT1796" s="337" t="s">
        <v>155</v>
      </c>
      <c r="AU1796" s="337" t="s">
        <v>83</v>
      </c>
      <c r="AV1796" s="335" t="s">
        <v>83</v>
      </c>
      <c r="AW1796" s="335" t="s">
        <v>34</v>
      </c>
      <c r="AX1796" s="335" t="s">
        <v>76</v>
      </c>
      <c r="AY1796" s="337" t="s">
        <v>146</v>
      </c>
    </row>
    <row r="1797" spans="2:51" s="335" customFormat="1" ht="12">
      <c r="B1797" s="336"/>
      <c r="D1797" s="328" t="s">
        <v>155</v>
      </c>
      <c r="E1797" s="337" t="s">
        <v>1</v>
      </c>
      <c r="F1797" s="346" t="s">
        <v>3053</v>
      </c>
      <c r="H1797" s="339">
        <f>(6.25*2.95-0.25*0.4)</f>
        <v>18.3375</v>
      </c>
      <c r="I1797" s="498"/>
      <c r="L1797" s="340"/>
      <c r="M1797" s="341"/>
      <c r="N1797" s="342"/>
      <c r="O1797" s="342"/>
      <c r="P1797" s="342"/>
      <c r="Q1797" s="342"/>
      <c r="R1797" s="342"/>
      <c r="S1797" s="342"/>
      <c r="T1797" s="343"/>
      <c r="AT1797" s="337" t="s">
        <v>155</v>
      </c>
      <c r="AU1797" s="337" t="s">
        <v>83</v>
      </c>
      <c r="AV1797" s="335" t="s">
        <v>83</v>
      </c>
      <c r="AW1797" s="335" t="s">
        <v>34</v>
      </c>
      <c r="AX1797" s="335" t="s">
        <v>76</v>
      </c>
      <c r="AY1797" s="337" t="s">
        <v>146</v>
      </c>
    </row>
    <row r="1798" spans="2:51" s="335" customFormat="1" ht="12">
      <c r="B1798" s="336"/>
      <c r="D1798" s="328" t="s">
        <v>155</v>
      </c>
      <c r="E1798" s="337" t="s">
        <v>1</v>
      </c>
      <c r="F1798" s="346" t="s">
        <v>3058</v>
      </c>
      <c r="H1798" s="339">
        <f>(3*2.1+1.1*3.5+0.8*0.1*3+0.7*0.1*3)</f>
        <v>10.600000000000001</v>
      </c>
      <c r="I1798" s="498"/>
      <c r="L1798" s="340"/>
      <c r="M1798" s="341"/>
      <c r="N1798" s="342"/>
      <c r="O1798" s="342"/>
      <c r="P1798" s="342"/>
      <c r="Q1798" s="342"/>
      <c r="R1798" s="342"/>
      <c r="S1798" s="342"/>
      <c r="T1798" s="343"/>
      <c r="AT1798" s="337" t="s">
        <v>155</v>
      </c>
      <c r="AU1798" s="337" t="s">
        <v>83</v>
      </c>
      <c r="AV1798" s="335" t="s">
        <v>83</v>
      </c>
      <c r="AW1798" s="335" t="s">
        <v>34</v>
      </c>
      <c r="AX1798" s="335" t="s">
        <v>76</v>
      </c>
      <c r="AY1798" s="337" t="s">
        <v>146</v>
      </c>
    </row>
    <row r="1799" spans="2:51" s="335" customFormat="1" ht="12">
      <c r="B1799" s="336"/>
      <c r="D1799" s="328" t="s">
        <v>155</v>
      </c>
      <c r="E1799" s="337" t="s">
        <v>1</v>
      </c>
      <c r="F1799" s="346" t="s">
        <v>3054</v>
      </c>
      <c r="H1799" s="339">
        <f>(6.25*4.2-0.25*0.4-1.3*0.25)</f>
        <v>25.825</v>
      </c>
      <c r="I1799" s="498"/>
      <c r="L1799" s="340"/>
      <c r="M1799" s="341"/>
      <c r="N1799" s="342"/>
      <c r="O1799" s="342"/>
      <c r="P1799" s="342"/>
      <c r="Q1799" s="342"/>
      <c r="R1799" s="342"/>
      <c r="S1799" s="342"/>
      <c r="T1799" s="343"/>
      <c r="AT1799" s="337" t="s">
        <v>155</v>
      </c>
      <c r="AU1799" s="337" t="s">
        <v>83</v>
      </c>
      <c r="AV1799" s="335" t="s">
        <v>83</v>
      </c>
      <c r="AW1799" s="335" t="s">
        <v>34</v>
      </c>
      <c r="AX1799" s="335" t="s">
        <v>76</v>
      </c>
      <c r="AY1799" s="337" t="s">
        <v>146</v>
      </c>
    </row>
    <row r="1800" spans="2:51" s="335" customFormat="1" ht="12">
      <c r="B1800" s="336"/>
      <c r="D1800" s="328" t="s">
        <v>155</v>
      </c>
      <c r="E1800" s="337" t="s">
        <v>1</v>
      </c>
      <c r="F1800" s="346" t="s">
        <v>3055</v>
      </c>
      <c r="H1800" s="339">
        <f>3.35*3.1</f>
        <v>10.385</v>
      </c>
      <c r="I1800" s="498"/>
      <c r="L1800" s="340"/>
      <c r="M1800" s="341"/>
      <c r="N1800" s="342"/>
      <c r="O1800" s="342"/>
      <c r="P1800" s="342"/>
      <c r="Q1800" s="342"/>
      <c r="R1800" s="342"/>
      <c r="S1800" s="342"/>
      <c r="T1800" s="343"/>
      <c r="AT1800" s="337" t="s">
        <v>155</v>
      </c>
      <c r="AU1800" s="337" t="s">
        <v>83</v>
      </c>
      <c r="AV1800" s="335" t="s">
        <v>83</v>
      </c>
      <c r="AW1800" s="335" t="s">
        <v>34</v>
      </c>
      <c r="AX1800" s="335" t="s">
        <v>76</v>
      </c>
      <c r="AY1800" s="337" t="s">
        <v>146</v>
      </c>
    </row>
    <row r="1801" spans="2:51" s="335" customFormat="1" ht="12">
      <c r="B1801" s="336"/>
      <c r="D1801" s="328" t="s">
        <v>155</v>
      </c>
      <c r="E1801" s="337" t="s">
        <v>1</v>
      </c>
      <c r="F1801" s="346" t="s">
        <v>3056</v>
      </c>
      <c r="H1801" s="339">
        <f>(3.83*3.1-0.4*0.4)</f>
        <v>11.713000000000001</v>
      </c>
      <c r="I1801" s="498"/>
      <c r="L1801" s="340"/>
      <c r="M1801" s="341"/>
      <c r="N1801" s="342"/>
      <c r="O1801" s="342"/>
      <c r="P1801" s="342"/>
      <c r="Q1801" s="342"/>
      <c r="R1801" s="342"/>
      <c r="S1801" s="342"/>
      <c r="T1801" s="343"/>
      <c r="AT1801" s="337" t="s">
        <v>155</v>
      </c>
      <c r="AU1801" s="337" t="s">
        <v>83</v>
      </c>
      <c r="AV1801" s="335" t="s">
        <v>83</v>
      </c>
      <c r="AW1801" s="335" t="s">
        <v>34</v>
      </c>
      <c r="AX1801" s="335" t="s">
        <v>76</v>
      </c>
      <c r="AY1801" s="337" t="s">
        <v>146</v>
      </c>
    </row>
    <row r="1802" spans="2:51" s="335" customFormat="1" ht="12">
      <c r="B1802" s="336"/>
      <c r="D1802" s="328" t="s">
        <v>155</v>
      </c>
      <c r="E1802" s="337" t="s">
        <v>1</v>
      </c>
      <c r="F1802" s="346" t="s">
        <v>3057</v>
      </c>
      <c r="H1802" s="339">
        <f>2.85*1.63</f>
        <v>4.6455</v>
      </c>
      <c r="I1802" s="498"/>
      <c r="L1802" s="340"/>
      <c r="M1802" s="341"/>
      <c r="N1802" s="342"/>
      <c r="O1802" s="342"/>
      <c r="P1802" s="342"/>
      <c r="Q1802" s="342"/>
      <c r="R1802" s="342"/>
      <c r="S1802" s="342"/>
      <c r="T1802" s="343"/>
      <c r="AT1802" s="337" t="s">
        <v>155</v>
      </c>
      <c r="AU1802" s="337" t="s">
        <v>83</v>
      </c>
      <c r="AV1802" s="335" t="s">
        <v>83</v>
      </c>
      <c r="AW1802" s="335" t="s">
        <v>34</v>
      </c>
      <c r="AX1802" s="335" t="s">
        <v>76</v>
      </c>
      <c r="AY1802" s="337" t="s">
        <v>146</v>
      </c>
    </row>
    <row r="1803" spans="2:51" s="347" customFormat="1" ht="12">
      <c r="B1803" s="348"/>
      <c r="D1803" s="328" t="s">
        <v>155</v>
      </c>
      <c r="E1803" s="349" t="s">
        <v>1</v>
      </c>
      <c r="F1803" s="350" t="s">
        <v>157</v>
      </c>
      <c r="H1803" s="351">
        <f>SUM(H1789:H1802)</f>
        <v>253.13049999999996</v>
      </c>
      <c r="I1803" s="499"/>
      <c r="L1803" s="352"/>
      <c r="M1803" s="353"/>
      <c r="N1803" s="354"/>
      <c r="O1803" s="354"/>
      <c r="P1803" s="354"/>
      <c r="Q1803" s="354"/>
      <c r="R1803" s="354"/>
      <c r="S1803" s="354"/>
      <c r="T1803" s="355"/>
      <c r="AT1803" s="349" t="s">
        <v>155</v>
      </c>
      <c r="AU1803" s="349" t="s">
        <v>83</v>
      </c>
      <c r="AV1803" s="347" t="s">
        <v>153</v>
      </c>
      <c r="AW1803" s="347" t="s">
        <v>34</v>
      </c>
      <c r="AX1803" s="347" t="s">
        <v>81</v>
      </c>
      <c r="AY1803" s="349" t="s">
        <v>146</v>
      </c>
    </row>
    <row r="1804" spans="1:65" s="225" customFormat="1" ht="57" customHeight="1">
      <c r="A1804" s="222"/>
      <c r="B1804" s="223"/>
      <c r="C1804" s="358">
        <v>370</v>
      </c>
      <c r="D1804" s="358" t="s">
        <v>208</v>
      </c>
      <c r="E1804" s="359" t="s">
        <v>1266</v>
      </c>
      <c r="F1804" s="360" t="s">
        <v>3764</v>
      </c>
      <c r="G1804" s="361" t="s">
        <v>151</v>
      </c>
      <c r="H1804" s="362">
        <f>H1806</f>
        <v>208.9582</v>
      </c>
      <c r="I1804" s="80"/>
      <c r="J1804" s="363">
        <f>ROUND(I1804*H1804,2)</f>
        <v>0</v>
      </c>
      <c r="K1804" s="364"/>
      <c r="L1804" s="365"/>
      <c r="M1804" s="366" t="s">
        <v>1</v>
      </c>
      <c r="N1804" s="367" t="s">
        <v>42</v>
      </c>
      <c r="O1804" s="322">
        <v>0</v>
      </c>
      <c r="P1804" s="322">
        <f>O1804*H1804</f>
        <v>0</v>
      </c>
      <c r="Q1804" s="322">
        <v>0.0026</v>
      </c>
      <c r="R1804" s="322">
        <f>Q1804*H1804</f>
        <v>0.54329132</v>
      </c>
      <c r="S1804" s="322">
        <v>0</v>
      </c>
      <c r="T1804" s="323">
        <f>S1804*H1804</f>
        <v>0</v>
      </c>
      <c r="U1804" s="222"/>
      <c r="V1804" s="222"/>
      <c r="W1804" s="222"/>
      <c r="X1804" s="222"/>
      <c r="Y1804" s="222"/>
      <c r="Z1804" s="222"/>
      <c r="AA1804" s="222"/>
      <c r="AB1804" s="222"/>
      <c r="AC1804" s="222"/>
      <c r="AD1804" s="222"/>
      <c r="AE1804" s="222"/>
      <c r="AR1804" s="324" t="s">
        <v>298</v>
      </c>
      <c r="AT1804" s="324" t="s">
        <v>208</v>
      </c>
      <c r="AU1804" s="324" t="s">
        <v>83</v>
      </c>
      <c r="AY1804" s="214" t="s">
        <v>146</v>
      </c>
      <c r="BE1804" s="325">
        <f>IF(N1804="základní",J1804,0)</f>
        <v>0</v>
      </c>
      <c r="BF1804" s="325">
        <f>IF(N1804="snížená",J1804,0)</f>
        <v>0</v>
      </c>
      <c r="BG1804" s="325">
        <f>IF(N1804="zákl. přenesená",J1804,0)</f>
        <v>0</v>
      </c>
      <c r="BH1804" s="325">
        <f>IF(N1804="sníž. přenesená",J1804,0)</f>
        <v>0</v>
      </c>
      <c r="BI1804" s="325">
        <f>IF(N1804="nulová",J1804,0)</f>
        <v>0</v>
      </c>
      <c r="BJ1804" s="214" t="s">
        <v>81</v>
      </c>
      <c r="BK1804" s="325">
        <f>ROUND(I1804*H1804,2)</f>
        <v>0</v>
      </c>
      <c r="BL1804" s="214" t="s">
        <v>212</v>
      </c>
      <c r="BM1804" s="324" t="s">
        <v>1267</v>
      </c>
    </row>
    <row r="1805" spans="2:51" s="326" customFormat="1" ht="12">
      <c r="B1805" s="327"/>
      <c r="D1805" s="328" t="s">
        <v>155</v>
      </c>
      <c r="E1805" s="329" t="s">
        <v>1</v>
      </c>
      <c r="F1805" s="345" t="s">
        <v>3059</v>
      </c>
      <c r="H1805" s="329" t="s">
        <v>1</v>
      </c>
      <c r="I1805" s="497"/>
      <c r="L1805" s="331"/>
      <c r="M1805" s="332"/>
      <c r="N1805" s="333"/>
      <c r="O1805" s="333"/>
      <c r="P1805" s="333"/>
      <c r="Q1805" s="333"/>
      <c r="R1805" s="333"/>
      <c r="S1805" s="333"/>
      <c r="T1805" s="334"/>
      <c r="AT1805" s="329" t="s">
        <v>155</v>
      </c>
      <c r="AU1805" s="329" t="s">
        <v>83</v>
      </c>
      <c r="AV1805" s="326" t="s">
        <v>81</v>
      </c>
      <c r="AW1805" s="326" t="s">
        <v>34</v>
      </c>
      <c r="AX1805" s="326" t="s">
        <v>76</v>
      </c>
      <c r="AY1805" s="329" t="s">
        <v>146</v>
      </c>
    </row>
    <row r="1806" spans="2:51" s="335" customFormat="1" ht="12">
      <c r="B1806" s="336"/>
      <c r="D1806" s="328" t="s">
        <v>155</v>
      </c>
      <c r="F1806" s="346" t="s">
        <v>3060</v>
      </c>
      <c r="H1806" s="339">
        <f>SUM(H1789:H1797)*1.1</f>
        <v>208.9582</v>
      </c>
      <c r="I1806" s="498"/>
      <c r="L1806" s="340"/>
      <c r="M1806" s="341"/>
      <c r="N1806" s="342"/>
      <c r="O1806" s="342"/>
      <c r="P1806" s="342"/>
      <c r="Q1806" s="342"/>
      <c r="R1806" s="342"/>
      <c r="S1806" s="342"/>
      <c r="T1806" s="343"/>
      <c r="AT1806" s="337" t="s">
        <v>155</v>
      </c>
      <c r="AU1806" s="337" t="s">
        <v>83</v>
      </c>
      <c r="AV1806" s="335" t="s">
        <v>83</v>
      </c>
      <c r="AW1806" s="335" t="s">
        <v>3</v>
      </c>
      <c r="AX1806" s="335" t="s">
        <v>81</v>
      </c>
      <c r="AY1806" s="337" t="s">
        <v>146</v>
      </c>
    </row>
    <row r="1807" spans="1:65" s="225" customFormat="1" ht="57" customHeight="1">
      <c r="A1807" s="222"/>
      <c r="B1807" s="223"/>
      <c r="C1807" s="358">
        <v>371</v>
      </c>
      <c r="D1807" s="358" t="s">
        <v>208</v>
      </c>
      <c r="E1807" s="359"/>
      <c r="F1807" s="360" t="s">
        <v>3765</v>
      </c>
      <c r="G1807" s="361" t="s">
        <v>151</v>
      </c>
      <c r="H1807" s="362">
        <f>H1809</f>
        <v>57.82535000000001</v>
      </c>
      <c r="I1807" s="80"/>
      <c r="J1807" s="363">
        <f>ROUND(I1807*H1807,2)</f>
        <v>0</v>
      </c>
      <c r="K1807" s="364"/>
      <c r="L1807" s="365"/>
      <c r="M1807" s="366" t="s">
        <v>1</v>
      </c>
      <c r="N1807" s="367" t="s">
        <v>42</v>
      </c>
      <c r="O1807" s="322">
        <v>0</v>
      </c>
      <c r="P1807" s="322">
        <f>O1807*H1807</f>
        <v>0</v>
      </c>
      <c r="Q1807" s="322">
        <v>0.0026</v>
      </c>
      <c r="R1807" s="322">
        <f>Q1807*H1807</f>
        <v>0.15034591</v>
      </c>
      <c r="S1807" s="322">
        <v>0</v>
      </c>
      <c r="T1807" s="323">
        <f>S1807*H1807</f>
        <v>0</v>
      </c>
      <c r="U1807" s="222"/>
      <c r="V1807" s="222"/>
      <c r="W1807" s="222"/>
      <c r="X1807" s="222"/>
      <c r="Y1807" s="222"/>
      <c r="Z1807" s="222"/>
      <c r="AA1807" s="222"/>
      <c r="AB1807" s="222"/>
      <c r="AC1807" s="222"/>
      <c r="AD1807" s="222"/>
      <c r="AE1807" s="222"/>
      <c r="AR1807" s="324" t="s">
        <v>298</v>
      </c>
      <c r="AT1807" s="324" t="s">
        <v>208</v>
      </c>
      <c r="AU1807" s="324" t="s">
        <v>83</v>
      </c>
      <c r="AY1807" s="214" t="s">
        <v>146</v>
      </c>
      <c r="BE1807" s="325">
        <f>IF(N1807="základní",J1807,0)</f>
        <v>0</v>
      </c>
      <c r="BF1807" s="325">
        <f>IF(N1807="snížená",J1807,0)</f>
        <v>0</v>
      </c>
      <c r="BG1807" s="325">
        <f>IF(N1807="zákl. přenesená",J1807,0)</f>
        <v>0</v>
      </c>
      <c r="BH1807" s="325">
        <f>IF(N1807="sníž. přenesená",J1807,0)</f>
        <v>0</v>
      </c>
      <c r="BI1807" s="325">
        <f>IF(N1807="nulová",J1807,0)</f>
        <v>0</v>
      </c>
      <c r="BJ1807" s="214" t="s">
        <v>81</v>
      </c>
      <c r="BK1807" s="325">
        <f>ROUND(I1807*H1807,2)</f>
        <v>0</v>
      </c>
      <c r="BL1807" s="214" t="s">
        <v>212</v>
      </c>
      <c r="BM1807" s="324" t="s">
        <v>1267</v>
      </c>
    </row>
    <row r="1808" spans="2:51" s="326" customFormat="1" ht="12">
      <c r="B1808" s="327"/>
      <c r="D1808" s="328" t="s">
        <v>155</v>
      </c>
      <c r="E1808" s="329" t="s">
        <v>1</v>
      </c>
      <c r="F1808" s="345" t="s">
        <v>3061</v>
      </c>
      <c r="H1808" s="329" t="s">
        <v>1</v>
      </c>
      <c r="I1808" s="497"/>
      <c r="L1808" s="331"/>
      <c r="M1808" s="332"/>
      <c r="N1808" s="333"/>
      <c r="O1808" s="333"/>
      <c r="P1808" s="333"/>
      <c r="Q1808" s="333"/>
      <c r="R1808" s="333"/>
      <c r="S1808" s="333"/>
      <c r="T1808" s="334"/>
      <c r="AT1808" s="329" t="s">
        <v>155</v>
      </c>
      <c r="AU1808" s="329" t="s">
        <v>83</v>
      </c>
      <c r="AV1808" s="326" t="s">
        <v>81</v>
      </c>
      <c r="AW1808" s="326" t="s">
        <v>34</v>
      </c>
      <c r="AX1808" s="326" t="s">
        <v>76</v>
      </c>
      <c r="AY1808" s="329" t="s">
        <v>146</v>
      </c>
    </row>
    <row r="1809" spans="2:51" s="335" customFormat="1" ht="12">
      <c r="B1809" s="336"/>
      <c r="D1809" s="328" t="s">
        <v>155</v>
      </c>
      <c r="F1809" s="346" t="s">
        <v>3062</v>
      </c>
      <c r="H1809" s="339">
        <f>SUM(H1799:H1802)*1.1</f>
        <v>57.82535000000001</v>
      </c>
      <c r="I1809" s="498"/>
      <c r="L1809" s="340"/>
      <c r="M1809" s="341"/>
      <c r="N1809" s="342"/>
      <c r="O1809" s="342"/>
      <c r="P1809" s="342"/>
      <c r="Q1809" s="342"/>
      <c r="R1809" s="342"/>
      <c r="S1809" s="342"/>
      <c r="T1809" s="343"/>
      <c r="AT1809" s="337" t="s">
        <v>155</v>
      </c>
      <c r="AU1809" s="337" t="s">
        <v>83</v>
      </c>
      <c r="AV1809" s="335" t="s">
        <v>83</v>
      </c>
      <c r="AW1809" s="335" t="s">
        <v>3</v>
      </c>
      <c r="AX1809" s="335" t="s">
        <v>81</v>
      </c>
      <c r="AY1809" s="337" t="s">
        <v>146</v>
      </c>
    </row>
    <row r="1810" spans="1:65" s="225" customFormat="1" ht="24.2" customHeight="1">
      <c r="A1810" s="222"/>
      <c r="B1810" s="223"/>
      <c r="C1810" s="314">
        <v>372</v>
      </c>
      <c r="D1810" s="314" t="s">
        <v>148</v>
      </c>
      <c r="E1810" s="315" t="s">
        <v>1263</v>
      </c>
      <c r="F1810" s="344" t="s">
        <v>3064</v>
      </c>
      <c r="G1810" s="317" t="s">
        <v>151</v>
      </c>
      <c r="H1810" s="318">
        <f>H1811</f>
        <v>9.51</v>
      </c>
      <c r="I1810" s="79"/>
      <c r="J1810" s="319">
        <f>ROUND(I1810*H1810,2)</f>
        <v>0</v>
      </c>
      <c r="K1810" s="316"/>
      <c r="L1810" s="229"/>
      <c r="M1810" s="320" t="s">
        <v>1</v>
      </c>
      <c r="N1810" s="321" t="s">
        <v>42</v>
      </c>
      <c r="O1810" s="322">
        <v>0.233</v>
      </c>
      <c r="P1810" s="322">
        <f>O1810*H1810</f>
        <v>2.21583</v>
      </c>
      <c r="Q1810" s="322">
        <v>0.0003</v>
      </c>
      <c r="R1810" s="322">
        <f>Q1810*H1810</f>
        <v>0.0028529999999999996</v>
      </c>
      <c r="S1810" s="322">
        <v>0</v>
      </c>
      <c r="T1810" s="323">
        <f>S1810*H1810</f>
        <v>0</v>
      </c>
      <c r="U1810" s="222"/>
      <c r="V1810" s="222"/>
      <c r="W1810" s="222"/>
      <c r="X1810" s="222"/>
      <c r="Y1810" s="222"/>
      <c r="Z1810" s="222"/>
      <c r="AA1810" s="222"/>
      <c r="AB1810" s="222"/>
      <c r="AC1810" s="222"/>
      <c r="AD1810" s="222"/>
      <c r="AE1810" s="222"/>
      <c r="AR1810" s="324" t="s">
        <v>212</v>
      </c>
      <c r="AT1810" s="324" t="s">
        <v>148</v>
      </c>
      <c r="AU1810" s="324" t="s">
        <v>83</v>
      </c>
      <c r="AY1810" s="214" t="s">
        <v>146</v>
      </c>
      <c r="BE1810" s="325">
        <f>IF(N1810="základní",J1810,0)</f>
        <v>0</v>
      </c>
      <c r="BF1810" s="325">
        <f>IF(N1810="snížená",J1810,0)</f>
        <v>0</v>
      </c>
      <c r="BG1810" s="325">
        <f>IF(N1810="zákl. přenesená",J1810,0)</f>
        <v>0</v>
      </c>
      <c r="BH1810" s="325">
        <f>IF(N1810="sníž. přenesená",J1810,0)</f>
        <v>0</v>
      </c>
      <c r="BI1810" s="325">
        <f>IF(N1810="nulová",J1810,0)</f>
        <v>0</v>
      </c>
      <c r="BJ1810" s="214" t="s">
        <v>81</v>
      </c>
      <c r="BK1810" s="325">
        <f>ROUND(I1810*H1810,2)</f>
        <v>0</v>
      </c>
      <c r="BL1810" s="214" t="s">
        <v>212</v>
      </c>
      <c r="BM1810" s="324" t="s">
        <v>1265</v>
      </c>
    </row>
    <row r="1811" spans="2:51" s="335" customFormat="1" ht="12">
      <c r="B1811" s="336"/>
      <c r="D1811" s="328" t="s">
        <v>155</v>
      </c>
      <c r="E1811" s="337" t="s">
        <v>1</v>
      </c>
      <c r="F1811" s="346" t="s">
        <v>3073</v>
      </c>
      <c r="H1811" s="339">
        <f>(3.85*2.6-1.25*0.4)</f>
        <v>9.51</v>
      </c>
      <c r="I1811" s="498"/>
      <c r="L1811" s="340"/>
      <c r="M1811" s="341"/>
      <c r="N1811" s="342"/>
      <c r="O1811" s="342"/>
      <c r="P1811" s="342"/>
      <c r="Q1811" s="342"/>
      <c r="R1811" s="342"/>
      <c r="S1811" s="342"/>
      <c r="T1811" s="343"/>
      <c r="AT1811" s="337" t="s">
        <v>155</v>
      </c>
      <c r="AU1811" s="337" t="s">
        <v>83</v>
      </c>
      <c r="AV1811" s="335" t="s">
        <v>83</v>
      </c>
      <c r="AW1811" s="335" t="s">
        <v>34</v>
      </c>
      <c r="AX1811" s="335" t="s">
        <v>76</v>
      </c>
      <c r="AY1811" s="337" t="s">
        <v>146</v>
      </c>
    </row>
    <row r="1812" spans="1:65" s="225" customFormat="1" ht="66.75" customHeight="1">
      <c r="A1812" s="222"/>
      <c r="B1812" s="223"/>
      <c r="C1812" s="358">
        <v>373</v>
      </c>
      <c r="D1812" s="358" t="s">
        <v>208</v>
      </c>
      <c r="E1812" s="359"/>
      <c r="F1812" s="360" t="s">
        <v>3671</v>
      </c>
      <c r="G1812" s="361" t="s">
        <v>151</v>
      </c>
      <c r="H1812" s="362">
        <f>H1813</f>
        <v>10.461</v>
      </c>
      <c r="I1812" s="80"/>
      <c r="J1812" s="363">
        <f>ROUND(I1812*H1812,2)</f>
        <v>0</v>
      </c>
      <c r="K1812" s="364"/>
      <c r="L1812" s="365"/>
      <c r="M1812" s="366" t="s">
        <v>1</v>
      </c>
      <c r="N1812" s="367" t="s">
        <v>42</v>
      </c>
      <c r="O1812" s="322">
        <v>0</v>
      </c>
      <c r="P1812" s="322">
        <f>O1812*H1812</f>
        <v>0</v>
      </c>
      <c r="Q1812" s="322">
        <v>0.0026</v>
      </c>
      <c r="R1812" s="322">
        <f>Q1812*H1812</f>
        <v>0.0271986</v>
      </c>
      <c r="S1812" s="322">
        <v>0</v>
      </c>
      <c r="T1812" s="323">
        <f>S1812*H1812</f>
        <v>0</v>
      </c>
      <c r="U1812" s="222"/>
      <c r="V1812" s="222"/>
      <c r="W1812" s="222"/>
      <c r="X1812" s="222"/>
      <c r="Y1812" s="222"/>
      <c r="Z1812" s="222"/>
      <c r="AA1812" s="222"/>
      <c r="AB1812" s="222"/>
      <c r="AC1812" s="222"/>
      <c r="AD1812" s="222"/>
      <c r="AE1812" s="222"/>
      <c r="AR1812" s="324" t="s">
        <v>298</v>
      </c>
      <c r="AT1812" s="324" t="s">
        <v>208</v>
      </c>
      <c r="AU1812" s="324" t="s">
        <v>83</v>
      </c>
      <c r="AY1812" s="214" t="s">
        <v>146</v>
      </c>
      <c r="BE1812" s="325">
        <f>IF(N1812="základní",J1812,0)</f>
        <v>0</v>
      </c>
      <c r="BF1812" s="325">
        <f>IF(N1812="snížená",J1812,0)</f>
        <v>0</v>
      </c>
      <c r="BG1812" s="325">
        <f>IF(N1812="zákl. přenesená",J1812,0)</f>
        <v>0</v>
      </c>
      <c r="BH1812" s="325">
        <f>IF(N1812="sníž. přenesená",J1812,0)</f>
        <v>0</v>
      </c>
      <c r="BI1812" s="325">
        <f>IF(N1812="nulová",J1812,0)</f>
        <v>0</v>
      </c>
      <c r="BJ1812" s="214" t="s">
        <v>81</v>
      </c>
      <c r="BK1812" s="325">
        <f>ROUND(I1812*H1812,2)</f>
        <v>0</v>
      </c>
      <c r="BL1812" s="214" t="s">
        <v>212</v>
      </c>
      <c r="BM1812" s="324" t="s">
        <v>1267</v>
      </c>
    </row>
    <row r="1813" spans="2:51" s="335" customFormat="1" ht="12">
      <c r="B1813" s="336"/>
      <c r="D1813" s="328" t="s">
        <v>155</v>
      </c>
      <c r="F1813" s="346" t="s">
        <v>3063</v>
      </c>
      <c r="H1813" s="339">
        <f>H1810*1.1</f>
        <v>10.461</v>
      </c>
      <c r="I1813" s="498"/>
      <c r="L1813" s="340"/>
      <c r="M1813" s="341"/>
      <c r="N1813" s="342"/>
      <c r="O1813" s="342"/>
      <c r="P1813" s="342"/>
      <c r="Q1813" s="342"/>
      <c r="R1813" s="342"/>
      <c r="S1813" s="342"/>
      <c r="T1813" s="343"/>
      <c r="AT1813" s="337" t="s">
        <v>155</v>
      </c>
      <c r="AU1813" s="337" t="s">
        <v>83</v>
      </c>
      <c r="AV1813" s="335" t="s">
        <v>83</v>
      </c>
      <c r="AW1813" s="335" t="s">
        <v>3</v>
      </c>
      <c r="AX1813" s="335" t="s">
        <v>81</v>
      </c>
      <c r="AY1813" s="337" t="s">
        <v>146</v>
      </c>
    </row>
    <row r="1814" spans="1:65" s="225" customFormat="1" ht="21.75" customHeight="1">
      <c r="A1814" s="222"/>
      <c r="B1814" s="223"/>
      <c r="C1814" s="314">
        <v>374</v>
      </c>
      <c r="D1814" s="314" t="s">
        <v>148</v>
      </c>
      <c r="E1814" s="315" t="s">
        <v>1268</v>
      </c>
      <c r="F1814" s="344" t="s">
        <v>1269</v>
      </c>
      <c r="G1814" s="317" t="s">
        <v>158</v>
      </c>
      <c r="H1814" s="318">
        <f>H1821</f>
        <v>207.15999999999997</v>
      </c>
      <c r="I1814" s="79"/>
      <c r="J1814" s="319">
        <f>ROUND(I1814*H1814,2)</f>
        <v>0</v>
      </c>
      <c r="K1814" s="316"/>
      <c r="L1814" s="229"/>
      <c r="M1814" s="320" t="s">
        <v>1</v>
      </c>
      <c r="N1814" s="321" t="s">
        <v>42</v>
      </c>
      <c r="O1814" s="322">
        <v>0.035</v>
      </c>
      <c r="P1814" s="322">
        <f>O1814*H1814</f>
        <v>7.2505999999999995</v>
      </c>
      <c r="Q1814" s="322">
        <v>0</v>
      </c>
      <c r="R1814" s="322">
        <f>Q1814*H1814</f>
        <v>0</v>
      </c>
      <c r="S1814" s="322">
        <v>0.0003</v>
      </c>
      <c r="T1814" s="479">
        <f>S1814*H1814</f>
        <v>0.06214799999999999</v>
      </c>
      <c r="U1814" s="222"/>
      <c r="V1814" s="222"/>
      <c r="W1814" s="222"/>
      <c r="X1814" s="222"/>
      <c r="Y1814" s="222"/>
      <c r="Z1814" s="222"/>
      <c r="AA1814" s="222"/>
      <c r="AB1814" s="222"/>
      <c r="AC1814" s="222"/>
      <c r="AD1814" s="222"/>
      <c r="AE1814" s="222"/>
      <c r="AR1814" s="324" t="s">
        <v>212</v>
      </c>
      <c r="AT1814" s="324" t="s">
        <v>148</v>
      </c>
      <c r="AU1814" s="324" t="s">
        <v>83</v>
      </c>
      <c r="AY1814" s="214" t="s">
        <v>146</v>
      </c>
      <c r="BE1814" s="325">
        <f>IF(N1814="základní",J1814,0)</f>
        <v>0</v>
      </c>
      <c r="BF1814" s="325">
        <f>IF(N1814="snížená",J1814,0)</f>
        <v>0</v>
      </c>
      <c r="BG1814" s="325">
        <f>IF(N1814="zákl. přenesená",J1814,0)</f>
        <v>0</v>
      </c>
      <c r="BH1814" s="325">
        <f>IF(N1814="sníž. přenesená",J1814,0)</f>
        <v>0</v>
      </c>
      <c r="BI1814" s="325">
        <f>IF(N1814="nulová",J1814,0)</f>
        <v>0</v>
      </c>
      <c r="BJ1814" s="214" t="s">
        <v>81</v>
      </c>
      <c r="BK1814" s="325">
        <f>ROUND(I1814*H1814,2)</f>
        <v>0</v>
      </c>
      <c r="BL1814" s="214" t="s">
        <v>212</v>
      </c>
      <c r="BM1814" s="324" t="s">
        <v>1270</v>
      </c>
    </row>
    <row r="1815" spans="2:51" s="326" customFormat="1" ht="12">
      <c r="B1815" s="327"/>
      <c r="D1815" s="328" t="s">
        <v>155</v>
      </c>
      <c r="E1815" s="329" t="s">
        <v>1</v>
      </c>
      <c r="F1815" s="345" t="s">
        <v>492</v>
      </c>
      <c r="H1815" s="329" t="s">
        <v>1</v>
      </c>
      <c r="I1815" s="497"/>
      <c r="L1815" s="331"/>
      <c r="M1815" s="332"/>
      <c r="N1815" s="333"/>
      <c r="O1815" s="333"/>
      <c r="P1815" s="333"/>
      <c r="Q1815" s="333"/>
      <c r="R1815" s="333"/>
      <c r="S1815" s="333"/>
      <c r="T1815" s="334"/>
      <c r="AT1815" s="329" t="s">
        <v>155</v>
      </c>
      <c r="AU1815" s="329" t="s">
        <v>83</v>
      </c>
      <c r="AV1815" s="326" t="s">
        <v>81</v>
      </c>
      <c r="AW1815" s="326" t="s">
        <v>34</v>
      </c>
      <c r="AX1815" s="326" t="s">
        <v>76</v>
      </c>
      <c r="AY1815" s="329" t="s">
        <v>146</v>
      </c>
    </row>
    <row r="1816" spans="2:51" s="326" customFormat="1" ht="12">
      <c r="B1816" s="327"/>
      <c r="D1816" s="328" t="s">
        <v>155</v>
      </c>
      <c r="E1816" s="329" t="s">
        <v>1</v>
      </c>
      <c r="F1816" s="345" t="s">
        <v>1261</v>
      </c>
      <c r="H1816" s="329" t="s">
        <v>1</v>
      </c>
      <c r="I1816" s="497"/>
      <c r="L1816" s="331"/>
      <c r="M1816" s="332"/>
      <c r="N1816" s="333"/>
      <c r="O1816" s="333"/>
      <c r="P1816" s="333"/>
      <c r="Q1816" s="333"/>
      <c r="R1816" s="333"/>
      <c r="S1816" s="333"/>
      <c r="T1816" s="334"/>
      <c r="AT1816" s="329" t="s">
        <v>155</v>
      </c>
      <c r="AU1816" s="329" t="s">
        <v>83</v>
      </c>
      <c r="AV1816" s="326" t="s">
        <v>81</v>
      </c>
      <c r="AW1816" s="326" t="s">
        <v>34</v>
      </c>
      <c r="AX1816" s="326" t="s">
        <v>76</v>
      </c>
      <c r="AY1816" s="329" t="s">
        <v>146</v>
      </c>
    </row>
    <row r="1817" spans="2:51" s="335" customFormat="1" ht="22.5">
      <c r="B1817" s="336"/>
      <c r="D1817" s="328" t="s">
        <v>155</v>
      </c>
      <c r="E1817" s="337" t="s">
        <v>1</v>
      </c>
      <c r="F1817" s="346" t="s">
        <v>3043</v>
      </c>
      <c r="H1817" s="339">
        <f>(6.4+4.15+0.4)*2-1.45-0.9+(4.05+4.15)*2-1.45+(3.625+4.15)*2-0.9+(3.7+3.6)*2-0.9</f>
        <v>62.85</v>
      </c>
      <c r="I1817" s="498"/>
      <c r="L1817" s="340"/>
      <c r="M1817" s="341"/>
      <c r="N1817" s="342"/>
      <c r="O1817" s="342"/>
      <c r="P1817" s="342"/>
      <c r="Q1817" s="342"/>
      <c r="R1817" s="342"/>
      <c r="S1817" s="342"/>
      <c r="T1817" s="343"/>
      <c r="AT1817" s="337" t="s">
        <v>155</v>
      </c>
      <c r="AU1817" s="337" t="s">
        <v>83</v>
      </c>
      <c r="AV1817" s="335" t="s">
        <v>83</v>
      </c>
      <c r="AW1817" s="335" t="s">
        <v>34</v>
      </c>
      <c r="AX1817" s="335" t="s">
        <v>76</v>
      </c>
      <c r="AY1817" s="337" t="s">
        <v>146</v>
      </c>
    </row>
    <row r="1818" spans="2:51" s="326" customFormat="1" ht="12">
      <c r="B1818" s="327"/>
      <c r="D1818" s="328" t="s">
        <v>155</v>
      </c>
      <c r="E1818" s="329" t="s">
        <v>1</v>
      </c>
      <c r="F1818" s="345" t="s">
        <v>495</v>
      </c>
      <c r="H1818" s="329" t="s">
        <v>1</v>
      </c>
      <c r="I1818" s="497"/>
      <c r="L1818" s="331"/>
      <c r="M1818" s="332"/>
      <c r="N1818" s="333"/>
      <c r="O1818" s="333"/>
      <c r="P1818" s="333"/>
      <c r="Q1818" s="333"/>
      <c r="R1818" s="333"/>
      <c r="S1818" s="333"/>
      <c r="T1818" s="334"/>
      <c r="AT1818" s="329" t="s">
        <v>155</v>
      </c>
      <c r="AU1818" s="329" t="s">
        <v>83</v>
      </c>
      <c r="AV1818" s="326" t="s">
        <v>81</v>
      </c>
      <c r="AW1818" s="326" t="s">
        <v>34</v>
      </c>
      <c r="AX1818" s="326" t="s">
        <v>76</v>
      </c>
      <c r="AY1818" s="329" t="s">
        <v>146</v>
      </c>
    </row>
    <row r="1819" spans="2:51" s="326" customFormat="1" ht="12">
      <c r="B1819" s="327"/>
      <c r="D1819" s="328" t="s">
        <v>155</v>
      </c>
      <c r="E1819" s="329" t="s">
        <v>1</v>
      </c>
      <c r="F1819" s="345" t="s">
        <v>3042</v>
      </c>
      <c r="H1819" s="329" t="s">
        <v>1</v>
      </c>
      <c r="I1819" s="497"/>
      <c r="L1819" s="331"/>
      <c r="M1819" s="332"/>
      <c r="N1819" s="333"/>
      <c r="O1819" s="333"/>
      <c r="P1819" s="333"/>
      <c r="Q1819" s="333"/>
      <c r="R1819" s="333"/>
      <c r="S1819" s="333"/>
      <c r="T1819" s="334"/>
      <c r="AT1819" s="329" t="s">
        <v>155</v>
      </c>
      <c r="AU1819" s="329" t="s">
        <v>83</v>
      </c>
      <c r="AV1819" s="326" t="s">
        <v>81</v>
      </c>
      <c r="AW1819" s="326" t="s">
        <v>34</v>
      </c>
      <c r="AX1819" s="326" t="s">
        <v>76</v>
      </c>
      <c r="AY1819" s="329" t="s">
        <v>146</v>
      </c>
    </row>
    <row r="1820" spans="2:51" s="335" customFormat="1" ht="33.75">
      <c r="B1820" s="336"/>
      <c r="D1820" s="328" t="s">
        <v>155</v>
      </c>
      <c r="E1820" s="337" t="s">
        <v>1</v>
      </c>
      <c r="F1820" s="346" t="s">
        <v>3044</v>
      </c>
      <c r="H1820" s="339">
        <f>(6.25+3.48)*2-0.9+(6.25+2.95)*2-0.9+(6.25+2.9)*2-0.9+(6.25+4.65+1.35)*2-0.9+(8+4.075+0.4*2)*2-0.9*2+(7.2+4.25)*2-0.9+(7.3+4.25)*2-0.9*2</f>
        <v>144.30999999999997</v>
      </c>
      <c r="I1820" s="498"/>
      <c r="L1820" s="340"/>
      <c r="M1820" s="341"/>
      <c r="N1820" s="342"/>
      <c r="O1820" s="342"/>
      <c r="P1820" s="342"/>
      <c r="Q1820" s="342"/>
      <c r="R1820" s="342"/>
      <c r="S1820" s="342"/>
      <c r="T1820" s="343"/>
      <c r="AT1820" s="337" t="s">
        <v>155</v>
      </c>
      <c r="AU1820" s="337" t="s">
        <v>83</v>
      </c>
      <c r="AV1820" s="335" t="s">
        <v>83</v>
      </c>
      <c r="AW1820" s="335" t="s">
        <v>34</v>
      </c>
      <c r="AX1820" s="335" t="s">
        <v>76</v>
      </c>
      <c r="AY1820" s="337" t="s">
        <v>146</v>
      </c>
    </row>
    <row r="1821" spans="2:51" s="347" customFormat="1" ht="12">
      <c r="B1821" s="348"/>
      <c r="D1821" s="328" t="s">
        <v>155</v>
      </c>
      <c r="E1821" s="349" t="s">
        <v>1</v>
      </c>
      <c r="F1821" s="350" t="s">
        <v>157</v>
      </c>
      <c r="H1821" s="351">
        <f>SUM(H1817:H1820)</f>
        <v>207.15999999999997</v>
      </c>
      <c r="I1821" s="499"/>
      <c r="L1821" s="352"/>
      <c r="M1821" s="353"/>
      <c r="N1821" s="354"/>
      <c r="O1821" s="354"/>
      <c r="P1821" s="354"/>
      <c r="Q1821" s="354"/>
      <c r="R1821" s="354"/>
      <c r="S1821" s="354"/>
      <c r="T1821" s="355"/>
      <c r="AT1821" s="349" t="s">
        <v>155</v>
      </c>
      <c r="AU1821" s="349" t="s">
        <v>83</v>
      </c>
      <c r="AV1821" s="347" t="s">
        <v>153</v>
      </c>
      <c r="AW1821" s="347" t="s">
        <v>34</v>
      </c>
      <c r="AX1821" s="347" t="s">
        <v>81</v>
      </c>
      <c r="AY1821" s="349" t="s">
        <v>146</v>
      </c>
    </row>
    <row r="1822" spans="1:65" s="225" customFormat="1" ht="27" customHeight="1">
      <c r="A1822" s="222"/>
      <c r="B1822" s="223"/>
      <c r="C1822" s="314">
        <v>375</v>
      </c>
      <c r="D1822" s="314" t="s">
        <v>148</v>
      </c>
      <c r="E1822" s="315"/>
      <c r="F1822" s="344" t="s">
        <v>3672</v>
      </c>
      <c r="G1822" s="317" t="s">
        <v>158</v>
      </c>
      <c r="H1822" s="318">
        <f>H1838</f>
        <v>238.29999999999998</v>
      </c>
      <c r="I1822" s="79"/>
      <c r="J1822" s="319">
        <f>ROUND(I1822*H1822,2)</f>
        <v>0</v>
      </c>
      <c r="K1822" s="316"/>
      <c r="L1822" s="229"/>
      <c r="M1822" s="320" t="s">
        <v>1</v>
      </c>
      <c r="N1822" s="321" t="s">
        <v>42</v>
      </c>
      <c r="O1822" s="322">
        <v>0.25</v>
      </c>
      <c r="P1822" s="322">
        <f>O1822*H1822</f>
        <v>59.574999999999996</v>
      </c>
      <c r="Q1822" s="322">
        <v>1.4935E-05</v>
      </c>
      <c r="R1822" s="322">
        <f>Q1822*H1822</f>
        <v>0.0035590104999999998</v>
      </c>
      <c r="S1822" s="322">
        <v>0</v>
      </c>
      <c r="T1822" s="323">
        <f>S1822*H1822</f>
        <v>0</v>
      </c>
      <c r="U1822" s="222"/>
      <c r="V1822" s="222"/>
      <c r="W1822" s="222"/>
      <c r="X1822" s="222"/>
      <c r="Y1822" s="222"/>
      <c r="Z1822" s="222"/>
      <c r="AA1822" s="222"/>
      <c r="AB1822" s="222"/>
      <c r="AC1822" s="222"/>
      <c r="AD1822" s="222"/>
      <c r="AE1822" s="222"/>
      <c r="AR1822" s="324" t="s">
        <v>212</v>
      </c>
      <c r="AT1822" s="324" t="s">
        <v>148</v>
      </c>
      <c r="AU1822" s="324" t="s">
        <v>83</v>
      </c>
      <c r="AY1822" s="214" t="s">
        <v>146</v>
      </c>
      <c r="BE1822" s="325">
        <f>IF(N1822="základní",J1822,0)</f>
        <v>0</v>
      </c>
      <c r="BF1822" s="325">
        <f>IF(N1822="snížená",J1822,0)</f>
        <v>0</v>
      </c>
      <c r="BG1822" s="325">
        <f>IF(N1822="zákl. přenesená",J1822,0)</f>
        <v>0</v>
      </c>
      <c r="BH1822" s="325">
        <f>IF(N1822="sníž. přenesená",J1822,0)</f>
        <v>0</v>
      </c>
      <c r="BI1822" s="325">
        <f>IF(N1822="nulová",J1822,0)</f>
        <v>0</v>
      </c>
      <c r="BJ1822" s="214" t="s">
        <v>81</v>
      </c>
      <c r="BK1822" s="325">
        <f>ROUND(I1822*H1822,2)</f>
        <v>0</v>
      </c>
      <c r="BL1822" s="214" t="s">
        <v>212</v>
      </c>
      <c r="BM1822" s="324" t="s">
        <v>1271</v>
      </c>
    </row>
    <row r="1823" spans="2:51" s="335" customFormat="1" ht="12">
      <c r="B1823" s="336"/>
      <c r="D1823" s="328" t="s">
        <v>155</v>
      </c>
      <c r="E1823" s="337" t="s">
        <v>1</v>
      </c>
      <c r="F1823" s="346" t="s">
        <v>3066</v>
      </c>
      <c r="H1823" s="339">
        <f>(3.7*2+3.6*2-0.9)</f>
        <v>13.700000000000001</v>
      </c>
      <c r="I1823" s="498"/>
      <c r="L1823" s="340"/>
      <c r="M1823" s="341"/>
      <c r="N1823" s="342"/>
      <c r="O1823" s="342"/>
      <c r="P1823" s="342"/>
      <c r="Q1823" s="342"/>
      <c r="R1823" s="342"/>
      <c r="S1823" s="342"/>
      <c r="T1823" s="343"/>
      <c r="AT1823" s="337" t="s">
        <v>155</v>
      </c>
      <c r="AU1823" s="337" t="s">
        <v>83</v>
      </c>
      <c r="AV1823" s="335" t="s">
        <v>83</v>
      </c>
      <c r="AW1823" s="335" t="s">
        <v>34</v>
      </c>
      <c r="AX1823" s="335" t="s">
        <v>76</v>
      </c>
      <c r="AY1823" s="337" t="s">
        <v>146</v>
      </c>
    </row>
    <row r="1824" spans="2:51" s="335" customFormat="1" ht="12">
      <c r="B1824" s="336"/>
      <c r="D1824" s="328" t="s">
        <v>155</v>
      </c>
      <c r="E1824" s="337" t="s">
        <v>1</v>
      </c>
      <c r="F1824" s="346" t="s">
        <v>3069</v>
      </c>
      <c r="H1824" s="339">
        <f>(6.4*2+4.15*2+0.4*2-0.9-1.6+0.15*4)</f>
        <v>20.000000000000004</v>
      </c>
      <c r="I1824" s="498"/>
      <c r="L1824" s="340"/>
      <c r="M1824" s="341"/>
      <c r="N1824" s="342"/>
      <c r="O1824" s="342"/>
      <c r="P1824" s="342"/>
      <c r="Q1824" s="342"/>
      <c r="R1824" s="342"/>
      <c r="S1824" s="342"/>
      <c r="T1824" s="343"/>
      <c r="AT1824" s="337" t="s">
        <v>155</v>
      </c>
      <c r="AU1824" s="337" t="s">
        <v>83</v>
      </c>
      <c r="AV1824" s="335" t="s">
        <v>83</v>
      </c>
      <c r="AW1824" s="335" t="s">
        <v>34</v>
      </c>
      <c r="AX1824" s="335" t="s">
        <v>76</v>
      </c>
      <c r="AY1824" s="337" t="s">
        <v>146</v>
      </c>
    </row>
    <row r="1825" spans="2:51" s="335" customFormat="1" ht="12">
      <c r="B1825" s="336"/>
      <c r="D1825" s="328" t="s">
        <v>155</v>
      </c>
      <c r="E1825" s="337" t="s">
        <v>1</v>
      </c>
      <c r="F1825" s="346" t="s">
        <v>3068</v>
      </c>
      <c r="H1825" s="339">
        <f>(4.15*2+4.05*2-1.6+0.15*2)</f>
        <v>15.1</v>
      </c>
      <c r="I1825" s="498"/>
      <c r="L1825" s="340"/>
      <c r="M1825" s="341"/>
      <c r="N1825" s="342"/>
      <c r="O1825" s="342"/>
      <c r="P1825" s="342"/>
      <c r="Q1825" s="342"/>
      <c r="R1825" s="342"/>
      <c r="S1825" s="342"/>
      <c r="T1825" s="343"/>
      <c r="AT1825" s="337" t="s">
        <v>155</v>
      </c>
      <c r="AU1825" s="337" t="s">
        <v>83</v>
      </c>
      <c r="AV1825" s="335" t="s">
        <v>83</v>
      </c>
      <c r="AW1825" s="335" t="s">
        <v>34</v>
      </c>
      <c r="AX1825" s="335" t="s">
        <v>76</v>
      </c>
      <c r="AY1825" s="337" t="s">
        <v>146</v>
      </c>
    </row>
    <row r="1826" spans="2:51" s="335" customFormat="1" ht="12">
      <c r="B1826" s="336"/>
      <c r="D1826" s="328" t="s">
        <v>155</v>
      </c>
      <c r="E1826" s="337" t="s">
        <v>1</v>
      </c>
      <c r="F1826" s="346" t="s">
        <v>3067</v>
      </c>
      <c r="H1826" s="339">
        <f>(4.15*2+3.63*2-0.9+0.15*2)</f>
        <v>14.96</v>
      </c>
      <c r="I1826" s="498"/>
      <c r="L1826" s="340"/>
      <c r="M1826" s="341"/>
      <c r="N1826" s="342"/>
      <c r="O1826" s="342"/>
      <c r="P1826" s="342"/>
      <c r="Q1826" s="342"/>
      <c r="R1826" s="342"/>
      <c r="S1826" s="342"/>
      <c r="T1826" s="343"/>
      <c r="AT1826" s="337" t="s">
        <v>155</v>
      </c>
      <c r="AU1826" s="337" t="s">
        <v>83</v>
      </c>
      <c r="AV1826" s="335" t="s">
        <v>83</v>
      </c>
      <c r="AW1826" s="335" t="s">
        <v>34</v>
      </c>
      <c r="AX1826" s="335" t="s">
        <v>76</v>
      </c>
      <c r="AY1826" s="337" t="s">
        <v>146</v>
      </c>
    </row>
    <row r="1827" spans="2:51" s="335" customFormat="1" ht="12">
      <c r="B1827" s="336"/>
      <c r="D1827" s="328" t="s">
        <v>155</v>
      </c>
      <c r="E1827" s="337" t="s">
        <v>1</v>
      </c>
      <c r="F1827" s="346" t="s">
        <v>3070</v>
      </c>
      <c r="H1827" s="339">
        <f>(7.8*2+4.25*2-0.9)</f>
        <v>23.200000000000003</v>
      </c>
      <c r="I1827" s="498"/>
      <c r="L1827" s="340"/>
      <c r="M1827" s="341"/>
      <c r="N1827" s="342"/>
      <c r="O1827" s="342"/>
      <c r="P1827" s="342"/>
      <c r="Q1827" s="342"/>
      <c r="R1827" s="342"/>
      <c r="S1827" s="342"/>
      <c r="T1827" s="343"/>
      <c r="AT1827" s="337" t="s">
        <v>155</v>
      </c>
      <c r="AU1827" s="337" t="s">
        <v>83</v>
      </c>
      <c r="AV1827" s="335" t="s">
        <v>83</v>
      </c>
      <c r="AW1827" s="335" t="s">
        <v>34</v>
      </c>
      <c r="AX1827" s="335" t="s">
        <v>76</v>
      </c>
      <c r="AY1827" s="337" t="s">
        <v>146</v>
      </c>
    </row>
    <row r="1828" spans="2:51" s="335" customFormat="1" ht="12">
      <c r="B1828" s="336"/>
      <c r="D1828" s="328" t="s">
        <v>155</v>
      </c>
      <c r="E1828" s="337" t="s">
        <v>1</v>
      </c>
      <c r="F1828" s="346" t="s">
        <v>3071</v>
      </c>
      <c r="H1828" s="339">
        <f>(7.3*2+4.25*2-0.9*2)</f>
        <v>21.3</v>
      </c>
      <c r="I1828" s="498"/>
      <c r="L1828" s="340"/>
      <c r="M1828" s="341"/>
      <c r="N1828" s="342"/>
      <c r="O1828" s="342"/>
      <c r="P1828" s="342"/>
      <c r="Q1828" s="342"/>
      <c r="R1828" s="342"/>
      <c r="S1828" s="342"/>
      <c r="T1828" s="343"/>
      <c r="AT1828" s="337" t="s">
        <v>155</v>
      </c>
      <c r="AU1828" s="337" t="s">
        <v>83</v>
      </c>
      <c r="AV1828" s="335" t="s">
        <v>83</v>
      </c>
      <c r="AW1828" s="335" t="s">
        <v>34</v>
      </c>
      <c r="AX1828" s="335" t="s">
        <v>76</v>
      </c>
      <c r="AY1828" s="337" t="s">
        <v>146</v>
      </c>
    </row>
    <row r="1829" spans="2:51" s="335" customFormat="1" ht="12">
      <c r="B1829" s="336"/>
      <c r="D1829" s="328" t="s">
        <v>155</v>
      </c>
      <c r="E1829" s="337" t="s">
        <v>1</v>
      </c>
      <c r="F1829" s="346" t="s">
        <v>3072</v>
      </c>
      <c r="H1829" s="339">
        <f>(3.73*2+4.25*2-0.9-0.8)</f>
        <v>14.26</v>
      </c>
      <c r="I1829" s="498"/>
      <c r="L1829" s="340"/>
      <c r="M1829" s="341"/>
      <c r="N1829" s="342"/>
      <c r="O1829" s="342"/>
      <c r="P1829" s="342"/>
      <c r="Q1829" s="342"/>
      <c r="R1829" s="342"/>
      <c r="S1829" s="342"/>
      <c r="T1829" s="343"/>
      <c r="AT1829" s="337" t="s">
        <v>155</v>
      </c>
      <c r="AU1829" s="337" t="s">
        <v>83</v>
      </c>
      <c r="AV1829" s="335" t="s">
        <v>83</v>
      </c>
      <c r="AW1829" s="335" t="s">
        <v>34</v>
      </c>
      <c r="AX1829" s="335" t="s">
        <v>76</v>
      </c>
      <c r="AY1829" s="337" t="s">
        <v>146</v>
      </c>
    </row>
    <row r="1830" spans="2:51" s="335" customFormat="1" ht="12">
      <c r="B1830" s="336"/>
      <c r="D1830" s="328" t="s">
        <v>155</v>
      </c>
      <c r="E1830" s="337" t="s">
        <v>1</v>
      </c>
      <c r="F1830" s="346" t="s">
        <v>3074</v>
      </c>
      <c r="H1830" s="339">
        <f>(3.85*2+2.6*2+1.25*2-0.8)</f>
        <v>14.6</v>
      </c>
      <c r="I1830" s="498"/>
      <c r="L1830" s="340"/>
      <c r="M1830" s="341"/>
      <c r="N1830" s="342"/>
      <c r="O1830" s="342"/>
      <c r="P1830" s="342"/>
      <c r="Q1830" s="342"/>
      <c r="R1830" s="342"/>
      <c r="S1830" s="342"/>
      <c r="T1830" s="343"/>
      <c r="AT1830" s="337" t="s">
        <v>155</v>
      </c>
      <c r="AU1830" s="337" t="s">
        <v>83</v>
      </c>
      <c r="AV1830" s="335" t="s">
        <v>83</v>
      </c>
      <c r="AW1830" s="335" t="s">
        <v>34</v>
      </c>
      <c r="AX1830" s="335" t="s">
        <v>76</v>
      </c>
      <c r="AY1830" s="337" t="s">
        <v>146</v>
      </c>
    </row>
    <row r="1831" spans="2:51" s="335" customFormat="1" ht="12">
      <c r="B1831" s="336"/>
      <c r="D1831" s="328" t="s">
        <v>155</v>
      </c>
      <c r="E1831" s="337" t="s">
        <v>1</v>
      </c>
      <c r="F1831" s="346" t="s">
        <v>3075</v>
      </c>
      <c r="H1831" s="339">
        <f>(6.25*2+3.48*2-0.9)</f>
        <v>18.560000000000002</v>
      </c>
      <c r="I1831" s="498"/>
      <c r="L1831" s="340"/>
      <c r="M1831" s="341"/>
      <c r="N1831" s="342"/>
      <c r="O1831" s="342"/>
      <c r="P1831" s="342"/>
      <c r="Q1831" s="342"/>
      <c r="R1831" s="342"/>
      <c r="S1831" s="342"/>
      <c r="T1831" s="343"/>
      <c r="AT1831" s="337" t="s">
        <v>155</v>
      </c>
      <c r="AU1831" s="337" t="s">
        <v>83</v>
      </c>
      <c r="AV1831" s="335" t="s">
        <v>83</v>
      </c>
      <c r="AW1831" s="335" t="s">
        <v>34</v>
      </c>
      <c r="AX1831" s="335" t="s">
        <v>76</v>
      </c>
      <c r="AY1831" s="337" t="s">
        <v>146</v>
      </c>
    </row>
    <row r="1832" spans="2:51" s="335" customFormat="1" ht="12">
      <c r="B1832" s="336"/>
      <c r="D1832" s="328" t="s">
        <v>155</v>
      </c>
      <c r="E1832" s="337" t="s">
        <v>1</v>
      </c>
      <c r="F1832" s="346" t="s">
        <v>3076</v>
      </c>
      <c r="H1832" s="339">
        <f>(6.25*2+2.95*2-0.9)</f>
        <v>17.5</v>
      </c>
      <c r="I1832" s="498"/>
      <c r="L1832" s="340"/>
      <c r="M1832" s="341"/>
      <c r="N1832" s="342"/>
      <c r="O1832" s="342"/>
      <c r="P1832" s="342"/>
      <c r="Q1832" s="342"/>
      <c r="R1832" s="342"/>
      <c r="S1832" s="342"/>
      <c r="T1832" s="343"/>
      <c r="AT1832" s="337" t="s">
        <v>155</v>
      </c>
      <c r="AU1832" s="337" t="s">
        <v>83</v>
      </c>
      <c r="AV1832" s="335" t="s">
        <v>83</v>
      </c>
      <c r="AW1832" s="335" t="s">
        <v>34</v>
      </c>
      <c r="AX1832" s="335" t="s">
        <v>76</v>
      </c>
      <c r="AY1832" s="337" t="s">
        <v>146</v>
      </c>
    </row>
    <row r="1833" spans="2:51" s="335" customFormat="1" ht="12">
      <c r="B1833" s="336"/>
      <c r="D1833" s="328" t="s">
        <v>155</v>
      </c>
      <c r="E1833" s="337" t="s">
        <v>1</v>
      </c>
      <c r="F1833" s="346" t="s">
        <v>3077</v>
      </c>
      <c r="H1833" s="339">
        <f>(3*2+5.6*2-0.8*3-0.9*4)</f>
        <v>11.2</v>
      </c>
      <c r="I1833" s="498"/>
      <c r="L1833" s="340"/>
      <c r="M1833" s="341"/>
      <c r="N1833" s="342"/>
      <c r="O1833" s="342"/>
      <c r="P1833" s="342"/>
      <c r="Q1833" s="342"/>
      <c r="R1833" s="342"/>
      <c r="S1833" s="342"/>
      <c r="T1833" s="343"/>
      <c r="AT1833" s="337" t="s">
        <v>155</v>
      </c>
      <c r="AU1833" s="337" t="s">
        <v>83</v>
      </c>
      <c r="AV1833" s="335" t="s">
        <v>83</v>
      </c>
      <c r="AW1833" s="335" t="s">
        <v>34</v>
      </c>
      <c r="AX1833" s="335" t="s">
        <v>76</v>
      </c>
      <c r="AY1833" s="337" t="s">
        <v>146</v>
      </c>
    </row>
    <row r="1834" spans="2:51" s="335" customFormat="1" ht="12">
      <c r="B1834" s="336"/>
      <c r="D1834" s="328" t="s">
        <v>155</v>
      </c>
      <c r="E1834" s="337" t="s">
        <v>1</v>
      </c>
      <c r="F1834" s="346" t="s">
        <v>3078</v>
      </c>
      <c r="H1834" s="339">
        <f>(6.25*2+4.2*2-0.9)</f>
        <v>20</v>
      </c>
      <c r="I1834" s="498"/>
      <c r="L1834" s="340"/>
      <c r="M1834" s="341"/>
      <c r="N1834" s="342"/>
      <c r="O1834" s="342"/>
      <c r="P1834" s="342"/>
      <c r="Q1834" s="342"/>
      <c r="R1834" s="342"/>
      <c r="S1834" s="342"/>
      <c r="T1834" s="343"/>
      <c r="AT1834" s="337" t="s">
        <v>155</v>
      </c>
      <c r="AU1834" s="337" t="s">
        <v>83</v>
      </c>
      <c r="AV1834" s="335" t="s">
        <v>83</v>
      </c>
      <c r="AW1834" s="335" t="s">
        <v>34</v>
      </c>
      <c r="AX1834" s="335" t="s">
        <v>76</v>
      </c>
      <c r="AY1834" s="337" t="s">
        <v>146</v>
      </c>
    </row>
    <row r="1835" spans="2:51" s="335" customFormat="1" ht="12">
      <c r="B1835" s="336"/>
      <c r="D1835" s="328" t="s">
        <v>155</v>
      </c>
      <c r="E1835" s="337" t="s">
        <v>1</v>
      </c>
      <c r="F1835" s="346" t="s">
        <v>3079</v>
      </c>
      <c r="H1835" s="339">
        <f>(3.35*2+3.1*2-0.9)</f>
        <v>12</v>
      </c>
      <c r="I1835" s="498"/>
      <c r="L1835" s="340"/>
      <c r="M1835" s="341"/>
      <c r="N1835" s="342"/>
      <c r="O1835" s="342"/>
      <c r="P1835" s="342"/>
      <c r="Q1835" s="342"/>
      <c r="R1835" s="342"/>
      <c r="S1835" s="342"/>
      <c r="T1835" s="343"/>
      <c r="AT1835" s="337" t="s">
        <v>155</v>
      </c>
      <c r="AU1835" s="337" t="s">
        <v>83</v>
      </c>
      <c r="AV1835" s="335" t="s">
        <v>83</v>
      </c>
      <c r="AW1835" s="335" t="s">
        <v>34</v>
      </c>
      <c r="AX1835" s="335" t="s">
        <v>76</v>
      </c>
      <c r="AY1835" s="337" t="s">
        <v>146</v>
      </c>
    </row>
    <row r="1836" spans="2:51" s="335" customFormat="1" ht="12">
      <c r="B1836" s="336"/>
      <c r="D1836" s="328" t="s">
        <v>155</v>
      </c>
      <c r="E1836" s="337" t="s">
        <v>1</v>
      </c>
      <c r="F1836" s="346" t="s">
        <v>3080</v>
      </c>
      <c r="H1836" s="339">
        <f>(3.83*2+3.1*2+0.4*2-0.9)</f>
        <v>13.76</v>
      </c>
      <c r="I1836" s="498"/>
      <c r="L1836" s="340"/>
      <c r="M1836" s="341"/>
      <c r="N1836" s="342"/>
      <c r="O1836" s="342"/>
      <c r="P1836" s="342"/>
      <c r="Q1836" s="342"/>
      <c r="R1836" s="342"/>
      <c r="S1836" s="342"/>
      <c r="T1836" s="343"/>
      <c r="AT1836" s="337" t="s">
        <v>155</v>
      </c>
      <c r="AU1836" s="337" t="s">
        <v>83</v>
      </c>
      <c r="AV1836" s="335" t="s">
        <v>83</v>
      </c>
      <c r="AW1836" s="335" t="s">
        <v>34</v>
      </c>
      <c r="AX1836" s="335" t="s">
        <v>76</v>
      </c>
      <c r="AY1836" s="337" t="s">
        <v>146</v>
      </c>
    </row>
    <row r="1837" spans="2:51" s="335" customFormat="1" ht="12">
      <c r="B1837" s="336"/>
      <c r="D1837" s="328" t="s">
        <v>155</v>
      </c>
      <c r="E1837" s="337" t="s">
        <v>1</v>
      </c>
      <c r="F1837" s="346" t="s">
        <v>3081</v>
      </c>
      <c r="H1837" s="339">
        <f>(2.85*2+1.63*2-0.8)</f>
        <v>8.16</v>
      </c>
      <c r="I1837" s="498"/>
      <c r="L1837" s="340"/>
      <c r="M1837" s="341"/>
      <c r="N1837" s="342"/>
      <c r="O1837" s="342"/>
      <c r="P1837" s="342"/>
      <c r="Q1837" s="342"/>
      <c r="R1837" s="342"/>
      <c r="S1837" s="342"/>
      <c r="T1837" s="343"/>
      <c r="AT1837" s="337" t="s">
        <v>155</v>
      </c>
      <c r="AU1837" s="337" t="s">
        <v>83</v>
      </c>
      <c r="AV1837" s="335" t="s">
        <v>83</v>
      </c>
      <c r="AW1837" s="335" t="s">
        <v>34</v>
      </c>
      <c r="AX1837" s="335" t="s">
        <v>76</v>
      </c>
      <c r="AY1837" s="337" t="s">
        <v>146</v>
      </c>
    </row>
    <row r="1838" spans="2:51" s="347" customFormat="1" ht="12">
      <c r="B1838" s="348"/>
      <c r="D1838" s="328" t="s">
        <v>155</v>
      </c>
      <c r="E1838" s="349" t="s">
        <v>1</v>
      </c>
      <c r="F1838" s="350" t="s">
        <v>157</v>
      </c>
      <c r="H1838" s="351">
        <f>SUM(H1823:H1837)</f>
        <v>238.29999999999998</v>
      </c>
      <c r="I1838" s="499"/>
      <c r="L1838" s="352"/>
      <c r="M1838" s="353"/>
      <c r="N1838" s="354"/>
      <c r="O1838" s="354"/>
      <c r="P1838" s="354"/>
      <c r="Q1838" s="354"/>
      <c r="R1838" s="354"/>
      <c r="S1838" s="354"/>
      <c r="T1838" s="355"/>
      <c r="AT1838" s="349" t="s">
        <v>155</v>
      </c>
      <c r="AU1838" s="349" t="s">
        <v>83</v>
      </c>
      <c r="AV1838" s="347" t="s">
        <v>153</v>
      </c>
      <c r="AW1838" s="347" t="s">
        <v>34</v>
      </c>
      <c r="AX1838" s="347" t="s">
        <v>81</v>
      </c>
      <c r="AY1838" s="349" t="s">
        <v>146</v>
      </c>
    </row>
    <row r="1839" spans="1:65" s="225" customFormat="1" ht="32.25" customHeight="1">
      <c r="A1839" s="222"/>
      <c r="B1839" s="223"/>
      <c r="C1839" s="358">
        <v>376</v>
      </c>
      <c r="D1839" s="358" t="s">
        <v>208</v>
      </c>
      <c r="E1839" s="359"/>
      <c r="F1839" s="360" t="s">
        <v>3673</v>
      </c>
      <c r="G1839" s="361" t="s">
        <v>158</v>
      </c>
      <c r="H1839" s="362">
        <f>H1840</f>
        <v>243.06599999999997</v>
      </c>
      <c r="I1839" s="80"/>
      <c r="J1839" s="363">
        <f>ROUND(I1839*H1839,2)</f>
        <v>0</v>
      </c>
      <c r="K1839" s="364"/>
      <c r="L1839" s="365"/>
      <c r="M1839" s="366" t="s">
        <v>1</v>
      </c>
      <c r="N1839" s="367" t="s">
        <v>42</v>
      </c>
      <c r="O1839" s="322">
        <v>0</v>
      </c>
      <c r="P1839" s="322">
        <f>O1839*H1839</f>
        <v>0</v>
      </c>
      <c r="Q1839" s="322">
        <v>0.0002</v>
      </c>
      <c r="R1839" s="322">
        <f>Q1839*H1839</f>
        <v>0.048613199999999995</v>
      </c>
      <c r="S1839" s="322">
        <v>0</v>
      </c>
      <c r="T1839" s="323">
        <f>S1839*H1839</f>
        <v>0</v>
      </c>
      <c r="U1839" s="222"/>
      <c r="V1839" s="222"/>
      <c r="W1839" s="222"/>
      <c r="X1839" s="222"/>
      <c r="Y1839" s="222"/>
      <c r="Z1839" s="222"/>
      <c r="AA1839" s="222"/>
      <c r="AB1839" s="222"/>
      <c r="AC1839" s="222"/>
      <c r="AD1839" s="222"/>
      <c r="AE1839" s="222"/>
      <c r="AR1839" s="324" t="s">
        <v>298</v>
      </c>
      <c r="AT1839" s="324" t="s">
        <v>208</v>
      </c>
      <c r="AU1839" s="324" t="s">
        <v>83</v>
      </c>
      <c r="AY1839" s="214" t="s">
        <v>146</v>
      </c>
      <c r="BE1839" s="325">
        <f>IF(N1839="základní",J1839,0)</f>
        <v>0</v>
      </c>
      <c r="BF1839" s="325">
        <f>IF(N1839="snížená",J1839,0)</f>
        <v>0</v>
      </c>
      <c r="BG1839" s="325">
        <f>IF(N1839="zákl. přenesená",J1839,0)</f>
        <v>0</v>
      </c>
      <c r="BH1839" s="325">
        <f>IF(N1839="sníž. přenesená",J1839,0)</f>
        <v>0</v>
      </c>
      <c r="BI1839" s="325">
        <f>IF(N1839="nulová",J1839,0)</f>
        <v>0</v>
      </c>
      <c r="BJ1839" s="214" t="s">
        <v>81</v>
      </c>
      <c r="BK1839" s="325">
        <f>ROUND(I1839*H1839,2)</f>
        <v>0</v>
      </c>
      <c r="BL1839" s="214" t="s">
        <v>212</v>
      </c>
      <c r="BM1839" s="324" t="s">
        <v>1272</v>
      </c>
    </row>
    <row r="1840" spans="2:51" s="335" customFormat="1" ht="12">
      <c r="B1840" s="336"/>
      <c r="D1840" s="328" t="s">
        <v>155</v>
      </c>
      <c r="F1840" s="338" t="s">
        <v>2811</v>
      </c>
      <c r="H1840" s="339">
        <f>H1822*1.02</f>
        <v>243.06599999999997</v>
      </c>
      <c r="I1840" s="498"/>
      <c r="L1840" s="340"/>
      <c r="M1840" s="341"/>
      <c r="N1840" s="342"/>
      <c r="O1840" s="342"/>
      <c r="P1840" s="342"/>
      <c r="Q1840" s="342"/>
      <c r="R1840" s="342"/>
      <c r="S1840" s="342"/>
      <c r="T1840" s="343"/>
      <c r="AT1840" s="337" t="s">
        <v>155</v>
      </c>
      <c r="AU1840" s="337" t="s">
        <v>83</v>
      </c>
      <c r="AV1840" s="335" t="s">
        <v>83</v>
      </c>
      <c r="AW1840" s="335" t="s">
        <v>3</v>
      </c>
      <c r="AX1840" s="335" t="s">
        <v>81</v>
      </c>
      <c r="AY1840" s="337" t="s">
        <v>146</v>
      </c>
    </row>
    <row r="1841" spans="1:65" s="225" customFormat="1" ht="24.2" customHeight="1">
      <c r="A1841" s="222"/>
      <c r="B1841" s="223"/>
      <c r="C1841" s="314">
        <v>377</v>
      </c>
      <c r="D1841" s="314" t="s">
        <v>148</v>
      </c>
      <c r="E1841" s="315" t="s">
        <v>1273</v>
      </c>
      <c r="F1841" s="316" t="s">
        <v>3082</v>
      </c>
      <c r="G1841" s="317" t="s">
        <v>194</v>
      </c>
      <c r="H1841" s="318">
        <f>R1773</f>
        <v>0.86054511886</v>
      </c>
      <c r="I1841" s="79"/>
      <c r="J1841" s="319">
        <f>ROUND(I1841*H1841,2)</f>
        <v>0</v>
      </c>
      <c r="K1841" s="316"/>
      <c r="L1841" s="229"/>
      <c r="M1841" s="320" t="s">
        <v>1</v>
      </c>
      <c r="N1841" s="321" t="s">
        <v>42</v>
      </c>
      <c r="O1841" s="322">
        <v>0</v>
      </c>
      <c r="P1841" s="322">
        <f>O1841*H1841</f>
        <v>0</v>
      </c>
      <c r="Q1841" s="322"/>
      <c r="R1841" s="322"/>
      <c r="S1841" s="322"/>
      <c r="T1841" s="323"/>
      <c r="U1841" s="222"/>
      <c r="V1841" s="222"/>
      <c r="W1841" s="222"/>
      <c r="X1841" s="222"/>
      <c r="Y1841" s="222"/>
      <c r="Z1841" s="222"/>
      <c r="AA1841" s="222"/>
      <c r="AB1841" s="222"/>
      <c r="AC1841" s="222"/>
      <c r="AD1841" s="222"/>
      <c r="AE1841" s="222"/>
      <c r="AR1841" s="324" t="s">
        <v>212</v>
      </c>
      <c r="AT1841" s="324" t="s">
        <v>148</v>
      </c>
      <c r="AU1841" s="324" t="s">
        <v>83</v>
      </c>
      <c r="AY1841" s="214" t="s">
        <v>146</v>
      </c>
      <c r="BE1841" s="325">
        <f>IF(N1841="základní",J1841,0)</f>
        <v>0</v>
      </c>
      <c r="BF1841" s="325">
        <f>IF(N1841="snížená",J1841,0)</f>
        <v>0</v>
      </c>
      <c r="BG1841" s="325">
        <f>IF(N1841="zákl. přenesená",J1841,0)</f>
        <v>0</v>
      </c>
      <c r="BH1841" s="325">
        <f>IF(N1841="sníž. přenesená",J1841,0)</f>
        <v>0</v>
      </c>
      <c r="BI1841" s="325">
        <f>IF(N1841="nulová",J1841,0)</f>
        <v>0</v>
      </c>
      <c r="BJ1841" s="214" t="s">
        <v>81</v>
      </c>
      <c r="BK1841" s="325">
        <f>ROUND(I1841*H1841,2)</f>
        <v>0</v>
      </c>
      <c r="BL1841" s="214" t="s">
        <v>212</v>
      </c>
      <c r="BM1841" s="324" t="s">
        <v>1274</v>
      </c>
    </row>
    <row r="1842" spans="2:63" s="443" customFormat="1" ht="22.9" customHeight="1">
      <c r="B1842" s="444"/>
      <c r="D1842" s="445" t="s">
        <v>75</v>
      </c>
      <c r="E1842" s="310" t="s">
        <v>1275</v>
      </c>
      <c r="F1842" s="310" t="s">
        <v>1276</v>
      </c>
      <c r="I1842" s="504"/>
      <c r="J1842" s="447">
        <f>SUM(J1843:J1870)</f>
        <v>0</v>
      </c>
      <c r="L1842" s="312"/>
      <c r="M1842" s="448"/>
      <c r="N1842" s="449"/>
      <c r="O1842" s="449"/>
      <c r="P1842" s="450">
        <f>SUM(P1843:P1870)</f>
        <v>428.11282000000006</v>
      </c>
      <c r="Q1842" s="449"/>
      <c r="R1842" s="450">
        <f>SUM(R1843:R1870)</f>
        <v>2.5546907500000002</v>
      </c>
      <c r="S1842" s="449"/>
      <c r="T1842" s="451">
        <f>SUM(T1843:T1870)</f>
        <v>0</v>
      </c>
      <c r="AR1842" s="445" t="s">
        <v>83</v>
      </c>
      <c r="AT1842" s="452" t="s">
        <v>75</v>
      </c>
      <c r="AU1842" s="452" t="s">
        <v>81</v>
      </c>
      <c r="AY1842" s="445" t="s">
        <v>146</v>
      </c>
      <c r="BK1842" s="453">
        <f>SUM(BK1843:BK1870)</f>
        <v>0</v>
      </c>
    </row>
    <row r="1843" spans="1:65" s="225" customFormat="1" ht="24.2" customHeight="1">
      <c r="A1843" s="222"/>
      <c r="B1843" s="223"/>
      <c r="C1843" s="314">
        <v>378</v>
      </c>
      <c r="D1843" s="314" t="s">
        <v>148</v>
      </c>
      <c r="E1843" s="315" t="s">
        <v>1277</v>
      </c>
      <c r="F1843" s="316" t="s">
        <v>3091</v>
      </c>
      <c r="G1843" s="317" t="s">
        <v>151</v>
      </c>
      <c r="H1843" s="318">
        <f>H1857</f>
        <v>354.6415</v>
      </c>
      <c r="I1843" s="79"/>
      <c r="J1843" s="319">
        <f>ROUND(I1843*H1843,2)</f>
        <v>0</v>
      </c>
      <c r="K1843" s="316"/>
      <c r="L1843" s="229"/>
      <c r="M1843" s="320" t="s">
        <v>1</v>
      </c>
      <c r="N1843" s="321" t="s">
        <v>42</v>
      </c>
      <c r="O1843" s="322">
        <v>0.36</v>
      </c>
      <c r="P1843" s="322">
        <f>O1843*H1843</f>
        <v>127.67094</v>
      </c>
      <c r="Q1843" s="322">
        <v>0.0054</v>
      </c>
      <c r="R1843" s="322">
        <f>Q1843*H1843</f>
        <v>1.9150641000000002</v>
      </c>
      <c r="S1843" s="322">
        <v>0</v>
      </c>
      <c r="T1843" s="323">
        <f>S1843*H1843</f>
        <v>0</v>
      </c>
      <c r="U1843" s="222"/>
      <c r="V1843" s="222"/>
      <c r="W1843" s="222"/>
      <c r="X1843" s="222"/>
      <c r="Y1843" s="222"/>
      <c r="Z1843" s="222"/>
      <c r="AA1843" s="222"/>
      <c r="AB1843" s="222"/>
      <c r="AC1843" s="222"/>
      <c r="AD1843" s="222"/>
      <c r="AE1843" s="222"/>
      <c r="AR1843" s="324" t="s">
        <v>212</v>
      </c>
      <c r="AT1843" s="324" t="s">
        <v>148</v>
      </c>
      <c r="AU1843" s="324" t="s">
        <v>83</v>
      </c>
      <c r="AY1843" s="214" t="s">
        <v>146</v>
      </c>
      <c r="BE1843" s="325">
        <f>IF(N1843="základní",J1843,0)</f>
        <v>0</v>
      </c>
      <c r="BF1843" s="325">
        <f>IF(N1843="snížená",J1843,0)</f>
        <v>0</v>
      </c>
      <c r="BG1843" s="325">
        <f>IF(N1843="zákl. přenesená",J1843,0)</f>
        <v>0</v>
      </c>
      <c r="BH1843" s="325">
        <f>IF(N1843="sníž. přenesená",J1843,0)</f>
        <v>0</v>
      </c>
      <c r="BI1843" s="325">
        <f>IF(N1843="nulová",J1843,0)</f>
        <v>0</v>
      </c>
      <c r="BJ1843" s="214" t="s">
        <v>81</v>
      </c>
      <c r="BK1843" s="325">
        <f>ROUND(I1843*H1843,2)</f>
        <v>0</v>
      </c>
      <c r="BL1843" s="214" t="s">
        <v>212</v>
      </c>
      <c r="BM1843" s="324" t="s">
        <v>1278</v>
      </c>
    </row>
    <row r="1844" spans="2:51" s="326" customFormat="1" ht="12">
      <c r="B1844" s="327"/>
      <c r="D1844" s="328" t="s">
        <v>155</v>
      </c>
      <c r="E1844" s="329" t="s">
        <v>1</v>
      </c>
      <c r="F1844" s="330" t="s">
        <v>1279</v>
      </c>
      <c r="H1844" s="329" t="s">
        <v>1</v>
      </c>
      <c r="I1844" s="497"/>
      <c r="L1844" s="331"/>
      <c r="M1844" s="332"/>
      <c r="N1844" s="333"/>
      <c r="O1844" s="333"/>
      <c r="P1844" s="333"/>
      <c r="Q1844" s="333"/>
      <c r="R1844" s="333"/>
      <c r="S1844" s="333"/>
      <c r="T1844" s="334"/>
      <c r="AT1844" s="329" t="s">
        <v>155</v>
      </c>
      <c r="AU1844" s="329" t="s">
        <v>83</v>
      </c>
      <c r="AV1844" s="326" t="s">
        <v>81</v>
      </c>
      <c r="AW1844" s="326" t="s">
        <v>34</v>
      </c>
      <c r="AX1844" s="326" t="s">
        <v>76</v>
      </c>
      <c r="AY1844" s="329" t="s">
        <v>146</v>
      </c>
    </row>
    <row r="1845" spans="2:51" s="326" customFormat="1" ht="12">
      <c r="B1845" s="327"/>
      <c r="D1845" s="328" t="s">
        <v>155</v>
      </c>
      <c r="E1845" s="329" t="s">
        <v>1</v>
      </c>
      <c r="F1845" s="330" t="s">
        <v>1280</v>
      </c>
      <c r="H1845" s="329" t="s">
        <v>1</v>
      </c>
      <c r="I1845" s="497"/>
      <c r="L1845" s="331"/>
      <c r="M1845" s="332"/>
      <c r="N1845" s="333"/>
      <c r="O1845" s="333"/>
      <c r="P1845" s="333"/>
      <c r="Q1845" s="333"/>
      <c r="R1845" s="333"/>
      <c r="S1845" s="333"/>
      <c r="T1845" s="334"/>
      <c r="AT1845" s="329" t="s">
        <v>155</v>
      </c>
      <c r="AU1845" s="329" t="s">
        <v>83</v>
      </c>
      <c r="AV1845" s="326" t="s">
        <v>81</v>
      </c>
      <c r="AW1845" s="326" t="s">
        <v>34</v>
      </c>
      <c r="AX1845" s="326" t="s">
        <v>76</v>
      </c>
      <c r="AY1845" s="329" t="s">
        <v>146</v>
      </c>
    </row>
    <row r="1846" spans="2:51" s="326" customFormat="1" ht="12">
      <c r="B1846" s="327"/>
      <c r="D1846" s="328" t="s">
        <v>155</v>
      </c>
      <c r="E1846" s="329" t="s">
        <v>1</v>
      </c>
      <c r="F1846" s="330" t="s">
        <v>1281</v>
      </c>
      <c r="H1846" s="329" t="s">
        <v>1</v>
      </c>
      <c r="I1846" s="497"/>
      <c r="L1846" s="331"/>
      <c r="M1846" s="332"/>
      <c r="N1846" s="333"/>
      <c r="O1846" s="333"/>
      <c r="P1846" s="333"/>
      <c r="Q1846" s="333"/>
      <c r="R1846" s="333"/>
      <c r="S1846" s="333"/>
      <c r="T1846" s="334"/>
      <c r="AT1846" s="329" t="s">
        <v>155</v>
      </c>
      <c r="AU1846" s="329" t="s">
        <v>83</v>
      </c>
      <c r="AV1846" s="326" t="s">
        <v>81</v>
      </c>
      <c r="AW1846" s="326" t="s">
        <v>34</v>
      </c>
      <c r="AX1846" s="326" t="s">
        <v>76</v>
      </c>
      <c r="AY1846" s="329" t="s">
        <v>146</v>
      </c>
    </row>
    <row r="1847" spans="2:51" s="326" customFormat="1" ht="12">
      <c r="B1847" s="327"/>
      <c r="D1847" s="328" t="s">
        <v>155</v>
      </c>
      <c r="E1847" s="329" t="s">
        <v>1</v>
      </c>
      <c r="F1847" s="330" t="s">
        <v>1282</v>
      </c>
      <c r="H1847" s="329" t="s">
        <v>1</v>
      </c>
      <c r="I1847" s="497"/>
      <c r="L1847" s="331"/>
      <c r="M1847" s="332"/>
      <c r="N1847" s="333"/>
      <c r="O1847" s="333"/>
      <c r="P1847" s="333"/>
      <c r="Q1847" s="333"/>
      <c r="R1847" s="333"/>
      <c r="S1847" s="333"/>
      <c r="T1847" s="334"/>
      <c r="AT1847" s="329" t="s">
        <v>155</v>
      </c>
      <c r="AU1847" s="329" t="s">
        <v>83</v>
      </c>
      <c r="AV1847" s="326" t="s">
        <v>81</v>
      </c>
      <c r="AW1847" s="326" t="s">
        <v>34</v>
      </c>
      <c r="AX1847" s="326" t="s">
        <v>76</v>
      </c>
      <c r="AY1847" s="329" t="s">
        <v>146</v>
      </c>
    </row>
    <row r="1848" spans="2:51" s="326" customFormat="1" ht="12">
      <c r="B1848" s="327"/>
      <c r="D1848" s="328" t="s">
        <v>155</v>
      </c>
      <c r="E1848" s="329" t="s">
        <v>1</v>
      </c>
      <c r="F1848" s="330" t="s">
        <v>1283</v>
      </c>
      <c r="H1848" s="329" t="s">
        <v>1</v>
      </c>
      <c r="I1848" s="497"/>
      <c r="L1848" s="331"/>
      <c r="M1848" s="332"/>
      <c r="N1848" s="333"/>
      <c r="O1848" s="333"/>
      <c r="P1848" s="333"/>
      <c r="Q1848" s="333"/>
      <c r="R1848" s="333"/>
      <c r="S1848" s="333"/>
      <c r="T1848" s="334"/>
      <c r="AT1848" s="329" t="s">
        <v>155</v>
      </c>
      <c r="AU1848" s="329" t="s">
        <v>83</v>
      </c>
      <c r="AV1848" s="326" t="s">
        <v>81</v>
      </c>
      <c r="AW1848" s="326" t="s">
        <v>34</v>
      </c>
      <c r="AX1848" s="326" t="s">
        <v>76</v>
      </c>
      <c r="AY1848" s="329" t="s">
        <v>146</v>
      </c>
    </row>
    <row r="1849" spans="2:51" s="464" customFormat="1" ht="12">
      <c r="B1849" s="465"/>
      <c r="D1849" s="466" t="s">
        <v>155</v>
      </c>
      <c r="E1849" s="467" t="s">
        <v>1</v>
      </c>
      <c r="F1849" s="468" t="s">
        <v>3083</v>
      </c>
      <c r="H1849" s="469">
        <f>6.15*3.5+1*0.15</f>
        <v>21.675</v>
      </c>
      <c r="I1849" s="507"/>
      <c r="L1849" s="470"/>
      <c r="M1849" s="471"/>
      <c r="N1849" s="472"/>
      <c r="O1849" s="472"/>
      <c r="P1849" s="472"/>
      <c r="Q1849" s="472"/>
      <c r="R1849" s="472"/>
      <c r="S1849" s="472"/>
      <c r="T1849" s="473"/>
      <c r="AT1849" s="467" t="s">
        <v>155</v>
      </c>
      <c r="AU1849" s="467" t="s">
        <v>83</v>
      </c>
      <c r="AV1849" s="464" t="s">
        <v>81</v>
      </c>
      <c r="AW1849" s="464" t="s">
        <v>34</v>
      </c>
      <c r="AX1849" s="464" t="s">
        <v>76</v>
      </c>
      <c r="AY1849" s="467" t="s">
        <v>146</v>
      </c>
    </row>
    <row r="1850" spans="2:51" s="464" customFormat="1" ht="12">
      <c r="B1850" s="465"/>
      <c r="D1850" s="466" t="s">
        <v>155</v>
      </c>
      <c r="E1850" s="467" t="s">
        <v>1</v>
      </c>
      <c r="F1850" s="468" t="s">
        <v>3084</v>
      </c>
      <c r="H1850" s="469">
        <f>6.15*2.88+1*0.15</f>
        <v>17.862</v>
      </c>
      <c r="I1850" s="507"/>
      <c r="L1850" s="470"/>
      <c r="M1850" s="471"/>
      <c r="N1850" s="472"/>
      <c r="O1850" s="472"/>
      <c r="P1850" s="472"/>
      <c r="Q1850" s="472"/>
      <c r="R1850" s="472"/>
      <c r="S1850" s="472"/>
      <c r="T1850" s="473"/>
      <c r="AT1850" s="467" t="s">
        <v>155</v>
      </c>
      <c r="AU1850" s="467" t="s">
        <v>83</v>
      </c>
      <c r="AV1850" s="464" t="s">
        <v>81</v>
      </c>
      <c r="AW1850" s="464" t="s">
        <v>34</v>
      </c>
      <c r="AX1850" s="464" t="s">
        <v>76</v>
      </c>
      <c r="AY1850" s="467" t="s">
        <v>146</v>
      </c>
    </row>
    <row r="1851" spans="2:51" s="464" customFormat="1" ht="12">
      <c r="B1851" s="465"/>
      <c r="D1851" s="466" t="s">
        <v>155</v>
      </c>
      <c r="E1851" s="467" t="s">
        <v>1</v>
      </c>
      <c r="F1851" s="468" t="s">
        <v>3085</v>
      </c>
      <c r="H1851" s="469">
        <f>6.15*3.68+1*0.15+1.35*0.3</f>
        <v>23.187</v>
      </c>
      <c r="I1851" s="507"/>
      <c r="L1851" s="470"/>
      <c r="M1851" s="471"/>
      <c r="N1851" s="472"/>
      <c r="O1851" s="472"/>
      <c r="P1851" s="472"/>
      <c r="Q1851" s="472"/>
      <c r="R1851" s="472"/>
      <c r="S1851" s="472"/>
      <c r="T1851" s="473"/>
      <c r="AT1851" s="467" t="s">
        <v>155</v>
      </c>
      <c r="AU1851" s="467" t="s">
        <v>83</v>
      </c>
      <c r="AV1851" s="464" t="s">
        <v>81</v>
      </c>
      <c r="AW1851" s="464" t="s">
        <v>34</v>
      </c>
      <c r="AX1851" s="464" t="s">
        <v>76</v>
      </c>
      <c r="AY1851" s="467" t="s">
        <v>146</v>
      </c>
    </row>
    <row r="1852" spans="2:51" s="464" customFormat="1" ht="12">
      <c r="B1852" s="465"/>
      <c r="D1852" s="466" t="s">
        <v>155</v>
      </c>
      <c r="E1852" s="467" t="s">
        <v>1</v>
      </c>
      <c r="F1852" s="468" t="s">
        <v>3086</v>
      </c>
      <c r="H1852" s="469">
        <f>6.15*7.73-0.4*0.55+1*0.15+1.75*0.3</f>
        <v>47.9945</v>
      </c>
      <c r="I1852" s="507"/>
      <c r="L1852" s="470"/>
      <c r="M1852" s="471"/>
      <c r="N1852" s="472"/>
      <c r="O1852" s="472"/>
      <c r="P1852" s="472"/>
      <c r="Q1852" s="472"/>
      <c r="R1852" s="472"/>
      <c r="S1852" s="472"/>
      <c r="T1852" s="473"/>
      <c r="AT1852" s="467" t="s">
        <v>155</v>
      </c>
      <c r="AU1852" s="467" t="s">
        <v>83</v>
      </c>
      <c r="AV1852" s="464" t="s">
        <v>81</v>
      </c>
      <c r="AW1852" s="464" t="s">
        <v>34</v>
      </c>
      <c r="AX1852" s="464" t="s">
        <v>76</v>
      </c>
      <c r="AY1852" s="467" t="s">
        <v>146</v>
      </c>
    </row>
    <row r="1853" spans="2:51" s="464" customFormat="1" ht="12">
      <c r="B1853" s="465"/>
      <c r="D1853" s="466" t="s">
        <v>155</v>
      </c>
      <c r="E1853" s="467" t="s">
        <v>1</v>
      </c>
      <c r="F1853" s="468" t="s">
        <v>3087</v>
      </c>
      <c r="H1853" s="469">
        <f>10.33*5.7-0.4*0.4+1.8*0.4+3*0.3</f>
        <v>60.341</v>
      </c>
      <c r="I1853" s="507"/>
      <c r="L1853" s="470"/>
      <c r="M1853" s="471"/>
      <c r="N1853" s="472"/>
      <c r="O1853" s="472"/>
      <c r="P1853" s="472"/>
      <c r="Q1853" s="472"/>
      <c r="R1853" s="472"/>
      <c r="S1853" s="472"/>
      <c r="T1853" s="473"/>
      <c r="AT1853" s="467" t="s">
        <v>155</v>
      </c>
      <c r="AU1853" s="467" t="s">
        <v>83</v>
      </c>
      <c r="AV1853" s="464" t="s">
        <v>81</v>
      </c>
      <c r="AW1853" s="464" t="s">
        <v>34</v>
      </c>
      <c r="AX1853" s="464" t="s">
        <v>76</v>
      </c>
      <c r="AY1853" s="467" t="s">
        <v>146</v>
      </c>
    </row>
    <row r="1854" spans="2:51" s="464" customFormat="1" ht="12">
      <c r="B1854" s="465"/>
      <c r="D1854" s="466" t="s">
        <v>155</v>
      </c>
      <c r="E1854" s="467" t="s">
        <v>1</v>
      </c>
      <c r="F1854" s="468" t="s">
        <v>3088</v>
      </c>
      <c r="H1854" s="469">
        <f>6.4*10.33-0.4*0.8+3*0.3</f>
        <v>66.69200000000002</v>
      </c>
      <c r="I1854" s="507"/>
      <c r="L1854" s="470"/>
      <c r="M1854" s="471"/>
      <c r="N1854" s="472"/>
      <c r="O1854" s="472"/>
      <c r="P1854" s="472"/>
      <c r="Q1854" s="472"/>
      <c r="R1854" s="472"/>
      <c r="S1854" s="472"/>
      <c r="T1854" s="473"/>
      <c r="AT1854" s="467" t="s">
        <v>155</v>
      </c>
      <c r="AU1854" s="467" t="s">
        <v>83</v>
      </c>
      <c r="AV1854" s="464" t="s">
        <v>81</v>
      </c>
      <c r="AW1854" s="464" t="s">
        <v>34</v>
      </c>
      <c r="AX1854" s="464" t="s">
        <v>76</v>
      </c>
      <c r="AY1854" s="467" t="s">
        <v>146</v>
      </c>
    </row>
    <row r="1855" spans="2:51" s="464" customFormat="1" ht="12">
      <c r="B1855" s="465"/>
      <c r="D1855" s="466" t="s">
        <v>155</v>
      </c>
      <c r="E1855" s="467" t="s">
        <v>1</v>
      </c>
      <c r="F1855" s="468" t="s">
        <v>3089</v>
      </c>
      <c r="H1855" s="469">
        <f>12.4*3.3+3*0.3</f>
        <v>41.82</v>
      </c>
      <c r="I1855" s="507"/>
      <c r="L1855" s="470"/>
      <c r="M1855" s="471"/>
      <c r="N1855" s="472"/>
      <c r="O1855" s="472"/>
      <c r="P1855" s="472"/>
      <c r="Q1855" s="472"/>
      <c r="R1855" s="472"/>
      <c r="S1855" s="472"/>
      <c r="T1855" s="473"/>
      <c r="AT1855" s="467" t="s">
        <v>155</v>
      </c>
      <c r="AU1855" s="467" t="s">
        <v>83</v>
      </c>
      <c r="AV1855" s="464" t="s">
        <v>81</v>
      </c>
      <c r="AW1855" s="464" t="s">
        <v>34</v>
      </c>
      <c r="AX1855" s="464" t="s">
        <v>76</v>
      </c>
      <c r="AY1855" s="467" t="s">
        <v>146</v>
      </c>
    </row>
    <row r="1856" spans="2:51" s="464" customFormat="1" ht="12">
      <c r="B1856" s="465"/>
      <c r="D1856" s="466" t="s">
        <v>155</v>
      </c>
      <c r="E1856" s="467" t="s">
        <v>1</v>
      </c>
      <c r="F1856" s="468" t="s">
        <v>3090</v>
      </c>
      <c r="H1856" s="469">
        <f>12.4*6-0.4*0.4*2+3.3*0.3</f>
        <v>75.07000000000001</v>
      </c>
      <c r="I1856" s="507"/>
      <c r="L1856" s="470"/>
      <c r="M1856" s="471"/>
      <c r="N1856" s="472"/>
      <c r="O1856" s="472"/>
      <c r="P1856" s="472"/>
      <c r="Q1856" s="472"/>
      <c r="R1856" s="472"/>
      <c r="S1856" s="472"/>
      <c r="T1856" s="473"/>
      <c r="AT1856" s="467" t="s">
        <v>155</v>
      </c>
      <c r="AU1856" s="467" t="s">
        <v>83</v>
      </c>
      <c r="AV1856" s="464" t="s">
        <v>81</v>
      </c>
      <c r="AW1856" s="464" t="s">
        <v>34</v>
      </c>
      <c r="AX1856" s="464" t="s">
        <v>76</v>
      </c>
      <c r="AY1856" s="467" t="s">
        <v>146</v>
      </c>
    </row>
    <row r="1857" spans="2:51" s="347" customFormat="1" ht="12">
      <c r="B1857" s="348"/>
      <c r="D1857" s="328" t="s">
        <v>155</v>
      </c>
      <c r="E1857" s="349" t="s">
        <v>1</v>
      </c>
      <c r="F1857" s="356" t="s">
        <v>157</v>
      </c>
      <c r="H1857" s="351">
        <f>SUM(H1849:H1856)</f>
        <v>354.6415</v>
      </c>
      <c r="I1857" s="499"/>
      <c r="L1857" s="352"/>
      <c r="M1857" s="353"/>
      <c r="N1857" s="354"/>
      <c r="O1857" s="354"/>
      <c r="P1857" s="354"/>
      <c r="Q1857" s="354"/>
      <c r="R1857" s="354"/>
      <c r="S1857" s="354"/>
      <c r="T1857" s="355"/>
      <c r="AT1857" s="349" t="s">
        <v>155</v>
      </c>
      <c r="AU1857" s="349" t="s">
        <v>83</v>
      </c>
      <c r="AV1857" s="347" t="s">
        <v>153</v>
      </c>
      <c r="AW1857" s="347" t="s">
        <v>34</v>
      </c>
      <c r="AX1857" s="347" t="s">
        <v>81</v>
      </c>
      <c r="AY1857" s="349" t="s">
        <v>146</v>
      </c>
    </row>
    <row r="1858" spans="1:65" s="225" customFormat="1" ht="24.2" customHeight="1">
      <c r="A1858" s="222"/>
      <c r="B1858" s="223"/>
      <c r="C1858" s="314">
        <v>379</v>
      </c>
      <c r="D1858" s="314" t="s">
        <v>148</v>
      </c>
      <c r="E1858" s="315"/>
      <c r="F1858" s="344" t="s">
        <v>2751</v>
      </c>
      <c r="G1858" s="317" t="s">
        <v>151</v>
      </c>
      <c r="H1858" s="318">
        <f>H1843</f>
        <v>354.6415</v>
      </c>
      <c r="I1858" s="79"/>
      <c r="J1858" s="319">
        <f>ROUND(I1858*H1858,2)</f>
        <v>0</v>
      </c>
      <c r="K1858" s="316"/>
      <c r="L1858" s="229"/>
      <c r="M1858" s="320" t="s">
        <v>1</v>
      </c>
      <c r="N1858" s="321" t="s">
        <v>42</v>
      </c>
      <c r="O1858" s="322">
        <v>0.36</v>
      </c>
      <c r="P1858" s="322">
        <f>O1858*H1858</f>
        <v>127.67094</v>
      </c>
      <c r="Q1858" s="322">
        <v>0</v>
      </c>
      <c r="R1858" s="322">
        <f>Q1858*H1858</f>
        <v>0</v>
      </c>
      <c r="S1858" s="322">
        <v>0</v>
      </c>
      <c r="T1858" s="323">
        <f>S1858*H1858</f>
        <v>0</v>
      </c>
      <c r="U1858" s="222"/>
      <c r="V1858" s="222"/>
      <c r="W1858" s="222"/>
      <c r="X1858" s="222"/>
      <c r="Y1858" s="222"/>
      <c r="Z1858" s="222"/>
      <c r="AA1858" s="222"/>
      <c r="AB1858" s="222"/>
      <c r="AC1858" s="222"/>
      <c r="AD1858" s="222"/>
      <c r="AE1858" s="222"/>
      <c r="AR1858" s="324" t="s">
        <v>212</v>
      </c>
      <c r="AT1858" s="324" t="s">
        <v>148</v>
      </c>
      <c r="AU1858" s="324" t="s">
        <v>83</v>
      </c>
      <c r="AY1858" s="214" t="s">
        <v>146</v>
      </c>
      <c r="BE1858" s="325">
        <f>IF(N1858="základní",J1858,0)</f>
        <v>0</v>
      </c>
      <c r="BF1858" s="325">
        <f>IF(N1858="snížená",J1858,0)</f>
        <v>0</v>
      </c>
      <c r="BG1858" s="325">
        <f>IF(N1858="zákl. přenesená",J1858,0)</f>
        <v>0</v>
      </c>
      <c r="BH1858" s="325">
        <f>IF(N1858="sníž. přenesená",J1858,0)</f>
        <v>0</v>
      </c>
      <c r="BI1858" s="325">
        <f>IF(N1858="nulová",J1858,0)</f>
        <v>0</v>
      </c>
      <c r="BJ1858" s="214" t="s">
        <v>81</v>
      </c>
      <c r="BK1858" s="325">
        <f>ROUND(I1858*H1858,2)</f>
        <v>0</v>
      </c>
      <c r="BL1858" s="214" t="s">
        <v>212</v>
      </c>
      <c r="BM1858" s="324" t="s">
        <v>1278</v>
      </c>
    </row>
    <row r="1859" spans="1:65" s="225" customFormat="1" ht="24.2" customHeight="1">
      <c r="A1859" s="222"/>
      <c r="B1859" s="223"/>
      <c r="C1859" s="314">
        <v>380</v>
      </c>
      <c r="D1859" s="314" t="s">
        <v>148</v>
      </c>
      <c r="E1859" s="315"/>
      <c r="F1859" s="344" t="s">
        <v>3668</v>
      </c>
      <c r="G1859" s="317" t="s">
        <v>151</v>
      </c>
      <c r="H1859" s="318">
        <f>H1858</f>
        <v>354.6415</v>
      </c>
      <c r="I1859" s="79"/>
      <c r="J1859" s="319">
        <f>ROUND(I1859*H1859,2)</f>
        <v>0</v>
      </c>
      <c r="K1859" s="316"/>
      <c r="L1859" s="229"/>
      <c r="M1859" s="320" t="s">
        <v>1</v>
      </c>
      <c r="N1859" s="321" t="s">
        <v>42</v>
      </c>
      <c r="O1859" s="322">
        <v>0.36</v>
      </c>
      <c r="P1859" s="322">
        <f>O1859*H1859</f>
        <v>127.67094</v>
      </c>
      <c r="Q1859" s="322">
        <v>0</v>
      </c>
      <c r="R1859" s="322">
        <f>Q1859*H1859</f>
        <v>0</v>
      </c>
      <c r="S1859" s="322">
        <v>0</v>
      </c>
      <c r="T1859" s="323">
        <f>S1859*H1859</f>
        <v>0</v>
      </c>
      <c r="U1859" s="222"/>
      <c r="V1859" s="222"/>
      <c r="W1859" s="222"/>
      <c r="X1859" s="222"/>
      <c r="Y1859" s="222"/>
      <c r="Z1859" s="222"/>
      <c r="AA1859" s="222"/>
      <c r="AB1859" s="222"/>
      <c r="AC1859" s="222"/>
      <c r="AD1859" s="222"/>
      <c r="AE1859" s="222"/>
      <c r="AR1859" s="324" t="s">
        <v>212</v>
      </c>
      <c r="AT1859" s="324" t="s">
        <v>148</v>
      </c>
      <c r="AU1859" s="324" t="s">
        <v>83</v>
      </c>
      <c r="AY1859" s="214" t="s">
        <v>146</v>
      </c>
      <c r="BE1859" s="325">
        <f>IF(N1859="základní",J1859,0)</f>
        <v>0</v>
      </c>
      <c r="BF1859" s="325">
        <f>IF(N1859="snížená",J1859,0)</f>
        <v>0</v>
      </c>
      <c r="BG1859" s="325">
        <f>IF(N1859="zákl. přenesená",J1859,0)</f>
        <v>0</v>
      </c>
      <c r="BH1859" s="325">
        <f>IF(N1859="sníž. přenesená",J1859,0)</f>
        <v>0</v>
      </c>
      <c r="BI1859" s="325">
        <f>IF(N1859="nulová",J1859,0)</f>
        <v>0</v>
      </c>
      <c r="BJ1859" s="214" t="s">
        <v>81</v>
      </c>
      <c r="BK1859" s="325">
        <f>ROUND(I1859*H1859,2)</f>
        <v>0</v>
      </c>
      <c r="BL1859" s="214" t="s">
        <v>212</v>
      </c>
      <c r="BM1859" s="324" t="s">
        <v>1278</v>
      </c>
    </row>
    <row r="1860" spans="1:65" s="225" customFormat="1" ht="26.25" customHeight="1">
      <c r="A1860" s="222"/>
      <c r="B1860" s="223"/>
      <c r="C1860" s="314">
        <v>381</v>
      </c>
      <c r="D1860" s="314" t="s">
        <v>148</v>
      </c>
      <c r="E1860" s="315" t="s">
        <v>1284</v>
      </c>
      <c r="F1860" s="316" t="s">
        <v>3092</v>
      </c>
      <c r="G1860" s="317" t="s">
        <v>158</v>
      </c>
      <c r="H1860" s="318">
        <f>H1869</f>
        <v>205</v>
      </c>
      <c r="I1860" s="79"/>
      <c r="J1860" s="319">
        <f>ROUND(I1860*H1860,2)</f>
        <v>0</v>
      </c>
      <c r="K1860" s="316"/>
      <c r="L1860" s="229"/>
      <c r="M1860" s="320" t="s">
        <v>1</v>
      </c>
      <c r="N1860" s="321" t="s">
        <v>42</v>
      </c>
      <c r="O1860" s="322">
        <v>0.22</v>
      </c>
      <c r="P1860" s="322">
        <f>O1860*H1860</f>
        <v>45.1</v>
      </c>
      <c r="Q1860" s="322">
        <v>0.00312013</v>
      </c>
      <c r="R1860" s="322">
        <f>Q1860*H1860</f>
        <v>0.63962665</v>
      </c>
      <c r="S1860" s="322">
        <v>0</v>
      </c>
      <c r="T1860" s="323">
        <f>S1860*H1860</f>
        <v>0</v>
      </c>
      <c r="U1860" s="222"/>
      <c r="V1860" s="222"/>
      <c r="W1860" s="222"/>
      <c r="X1860" s="222"/>
      <c r="Y1860" s="222"/>
      <c r="Z1860" s="222"/>
      <c r="AA1860" s="222"/>
      <c r="AB1860" s="222"/>
      <c r="AC1860" s="222"/>
      <c r="AD1860" s="222"/>
      <c r="AE1860" s="222"/>
      <c r="AR1860" s="324" t="s">
        <v>212</v>
      </c>
      <c r="AT1860" s="324" t="s">
        <v>148</v>
      </c>
      <c r="AU1860" s="324" t="s">
        <v>83</v>
      </c>
      <c r="AY1860" s="214" t="s">
        <v>146</v>
      </c>
      <c r="BE1860" s="325">
        <f>IF(N1860="základní",J1860,0)</f>
        <v>0</v>
      </c>
      <c r="BF1860" s="325">
        <f>IF(N1860="snížená",J1860,0)</f>
        <v>0</v>
      </c>
      <c r="BG1860" s="325">
        <f>IF(N1860="zákl. přenesená",J1860,0)</f>
        <v>0</v>
      </c>
      <c r="BH1860" s="325">
        <f>IF(N1860="sníž. přenesená",J1860,0)</f>
        <v>0</v>
      </c>
      <c r="BI1860" s="325">
        <f>IF(N1860="nulová",J1860,0)</f>
        <v>0</v>
      </c>
      <c r="BJ1860" s="214" t="s">
        <v>81</v>
      </c>
      <c r="BK1860" s="325">
        <f>ROUND(I1860*H1860,2)</f>
        <v>0</v>
      </c>
      <c r="BL1860" s="214" t="s">
        <v>212</v>
      </c>
      <c r="BM1860" s="324" t="s">
        <v>1285</v>
      </c>
    </row>
    <row r="1861" spans="2:51" s="464" customFormat="1" ht="12">
      <c r="B1861" s="465"/>
      <c r="D1861" s="466" t="s">
        <v>155</v>
      </c>
      <c r="E1861" s="467" t="s">
        <v>1</v>
      </c>
      <c r="F1861" s="468" t="s">
        <v>3094</v>
      </c>
      <c r="H1861" s="469">
        <f>6.15*2+3.5*2-0.6</f>
        <v>18.7</v>
      </c>
      <c r="I1861" s="507"/>
      <c r="L1861" s="470"/>
      <c r="M1861" s="471"/>
      <c r="N1861" s="472"/>
      <c r="O1861" s="472"/>
      <c r="P1861" s="472"/>
      <c r="Q1861" s="472"/>
      <c r="R1861" s="472"/>
      <c r="S1861" s="472"/>
      <c r="T1861" s="473"/>
      <c r="AT1861" s="467" t="s">
        <v>155</v>
      </c>
      <c r="AU1861" s="467" t="s">
        <v>83</v>
      </c>
      <c r="AV1861" s="464" t="s">
        <v>81</v>
      </c>
      <c r="AW1861" s="464" t="s">
        <v>34</v>
      </c>
      <c r="AX1861" s="464" t="s">
        <v>76</v>
      </c>
      <c r="AY1861" s="467" t="s">
        <v>146</v>
      </c>
    </row>
    <row r="1862" spans="2:51" s="464" customFormat="1" ht="12">
      <c r="B1862" s="465"/>
      <c r="D1862" s="466" t="s">
        <v>155</v>
      </c>
      <c r="E1862" s="467" t="s">
        <v>1</v>
      </c>
      <c r="F1862" s="468" t="s">
        <v>3095</v>
      </c>
      <c r="H1862" s="469">
        <f>6.15*2+2.88*2-0.6</f>
        <v>17.46</v>
      </c>
      <c r="I1862" s="507"/>
      <c r="L1862" s="470"/>
      <c r="M1862" s="471"/>
      <c r="N1862" s="472"/>
      <c r="O1862" s="472"/>
      <c r="P1862" s="472"/>
      <c r="Q1862" s="472"/>
      <c r="R1862" s="472"/>
      <c r="S1862" s="472"/>
      <c r="T1862" s="473"/>
      <c r="AT1862" s="467" t="s">
        <v>155</v>
      </c>
      <c r="AU1862" s="467" t="s">
        <v>83</v>
      </c>
      <c r="AV1862" s="464" t="s">
        <v>81</v>
      </c>
      <c r="AW1862" s="464" t="s">
        <v>34</v>
      </c>
      <c r="AX1862" s="464" t="s">
        <v>76</v>
      </c>
      <c r="AY1862" s="467" t="s">
        <v>146</v>
      </c>
    </row>
    <row r="1863" spans="2:51" s="464" customFormat="1" ht="12">
      <c r="B1863" s="465"/>
      <c r="D1863" s="466" t="s">
        <v>155</v>
      </c>
      <c r="E1863" s="467" t="s">
        <v>1</v>
      </c>
      <c r="F1863" s="468" t="s">
        <v>3093</v>
      </c>
      <c r="H1863" s="469">
        <f>6.15*2+3.68*2-0.6-0.75</f>
        <v>18.31</v>
      </c>
      <c r="I1863" s="507"/>
      <c r="L1863" s="470"/>
      <c r="M1863" s="471"/>
      <c r="N1863" s="472"/>
      <c r="O1863" s="472"/>
      <c r="P1863" s="472"/>
      <c r="Q1863" s="472"/>
      <c r="R1863" s="472"/>
      <c r="S1863" s="472"/>
      <c r="T1863" s="473"/>
      <c r="AT1863" s="467" t="s">
        <v>155</v>
      </c>
      <c r="AU1863" s="467" t="s">
        <v>83</v>
      </c>
      <c r="AV1863" s="464" t="s">
        <v>81</v>
      </c>
      <c r="AW1863" s="464" t="s">
        <v>34</v>
      </c>
      <c r="AX1863" s="464" t="s">
        <v>76</v>
      </c>
      <c r="AY1863" s="467" t="s">
        <v>146</v>
      </c>
    </row>
    <row r="1864" spans="2:51" s="464" customFormat="1" ht="12">
      <c r="B1864" s="465"/>
      <c r="D1864" s="466" t="s">
        <v>155</v>
      </c>
      <c r="E1864" s="467" t="s">
        <v>1</v>
      </c>
      <c r="F1864" s="468" t="s">
        <v>3096</v>
      </c>
      <c r="H1864" s="469">
        <f>6.15*2+7.73*2+0.4*3-0.6-1.05</f>
        <v>27.31</v>
      </c>
      <c r="I1864" s="507"/>
      <c r="L1864" s="470"/>
      <c r="M1864" s="471"/>
      <c r="N1864" s="472"/>
      <c r="O1864" s="472"/>
      <c r="P1864" s="472"/>
      <c r="Q1864" s="472"/>
      <c r="R1864" s="472"/>
      <c r="S1864" s="472"/>
      <c r="T1864" s="473"/>
      <c r="AT1864" s="467" t="s">
        <v>155</v>
      </c>
      <c r="AU1864" s="467" t="s">
        <v>83</v>
      </c>
      <c r="AV1864" s="464" t="s">
        <v>81</v>
      </c>
      <c r="AW1864" s="464" t="s">
        <v>34</v>
      </c>
      <c r="AX1864" s="464" t="s">
        <v>76</v>
      </c>
      <c r="AY1864" s="467" t="s">
        <v>146</v>
      </c>
    </row>
    <row r="1865" spans="2:51" s="464" customFormat="1" ht="12">
      <c r="B1865" s="465"/>
      <c r="D1865" s="466" t="s">
        <v>155</v>
      </c>
      <c r="E1865" s="467" t="s">
        <v>1</v>
      </c>
      <c r="F1865" s="468" t="s">
        <v>3097</v>
      </c>
      <c r="H1865" s="469">
        <f>10.33*2+5.7*2+0.4*2-1.8+0.4*2-3-3+0.3*2</f>
        <v>26.46</v>
      </c>
      <c r="I1865" s="507"/>
      <c r="L1865" s="470"/>
      <c r="M1865" s="471"/>
      <c r="N1865" s="472"/>
      <c r="O1865" s="472"/>
      <c r="P1865" s="472"/>
      <c r="Q1865" s="472"/>
      <c r="R1865" s="472"/>
      <c r="S1865" s="472"/>
      <c r="T1865" s="473"/>
      <c r="AT1865" s="467" t="s">
        <v>155</v>
      </c>
      <c r="AU1865" s="467" t="s">
        <v>83</v>
      </c>
      <c r="AV1865" s="464" t="s">
        <v>81</v>
      </c>
      <c r="AW1865" s="464" t="s">
        <v>34</v>
      </c>
      <c r="AX1865" s="464" t="s">
        <v>76</v>
      </c>
      <c r="AY1865" s="467" t="s">
        <v>146</v>
      </c>
    </row>
    <row r="1866" spans="2:51" s="464" customFormat="1" ht="12">
      <c r="B1866" s="465"/>
      <c r="D1866" s="466" t="s">
        <v>155</v>
      </c>
      <c r="E1866" s="467" t="s">
        <v>1</v>
      </c>
      <c r="F1866" s="468" t="s">
        <v>3098</v>
      </c>
      <c r="H1866" s="469">
        <f>6.4*2+10.33*2+0.4*4-3+0.3*2</f>
        <v>32.660000000000004</v>
      </c>
      <c r="I1866" s="507"/>
      <c r="L1866" s="470"/>
      <c r="M1866" s="471"/>
      <c r="N1866" s="472"/>
      <c r="O1866" s="472"/>
      <c r="P1866" s="472"/>
      <c r="Q1866" s="472"/>
      <c r="R1866" s="472"/>
      <c r="S1866" s="472"/>
      <c r="T1866" s="473"/>
      <c r="AT1866" s="467" t="s">
        <v>155</v>
      </c>
      <c r="AU1866" s="467" t="s">
        <v>83</v>
      </c>
      <c r="AV1866" s="464" t="s">
        <v>81</v>
      </c>
      <c r="AW1866" s="464" t="s">
        <v>34</v>
      </c>
      <c r="AX1866" s="464" t="s">
        <v>76</v>
      </c>
      <c r="AY1866" s="467" t="s">
        <v>146</v>
      </c>
    </row>
    <row r="1867" spans="2:51" s="464" customFormat="1" ht="12">
      <c r="B1867" s="465"/>
      <c r="D1867" s="466" t="s">
        <v>155</v>
      </c>
      <c r="E1867" s="467" t="s">
        <v>1</v>
      </c>
      <c r="F1867" s="468" t="s">
        <v>3099</v>
      </c>
      <c r="H1867" s="469">
        <f>12.4*2+3.3*2+0.1*2-3+0.3*2</f>
        <v>29.2</v>
      </c>
      <c r="I1867" s="507"/>
      <c r="L1867" s="470"/>
      <c r="M1867" s="471"/>
      <c r="N1867" s="472"/>
      <c r="O1867" s="472"/>
      <c r="P1867" s="472"/>
      <c r="Q1867" s="472"/>
      <c r="R1867" s="472"/>
      <c r="S1867" s="472"/>
      <c r="T1867" s="473"/>
      <c r="AT1867" s="467" t="s">
        <v>155</v>
      </c>
      <c r="AU1867" s="467" t="s">
        <v>83</v>
      </c>
      <c r="AV1867" s="464" t="s">
        <v>81</v>
      </c>
      <c r="AW1867" s="464" t="s">
        <v>34</v>
      </c>
      <c r="AX1867" s="464" t="s">
        <v>76</v>
      </c>
      <c r="AY1867" s="467" t="s">
        <v>146</v>
      </c>
    </row>
    <row r="1868" spans="2:51" s="464" customFormat="1" ht="12">
      <c r="B1868" s="465"/>
      <c r="D1868" s="466" t="s">
        <v>155</v>
      </c>
      <c r="E1868" s="467" t="s">
        <v>1</v>
      </c>
      <c r="F1868" s="468" t="s">
        <v>3100</v>
      </c>
      <c r="H1868" s="469">
        <f>12.4*2+6*2+0.4*2-3.3+0.3*2</f>
        <v>34.9</v>
      </c>
      <c r="I1868" s="507"/>
      <c r="L1868" s="470"/>
      <c r="M1868" s="471"/>
      <c r="N1868" s="472"/>
      <c r="O1868" s="472"/>
      <c r="P1868" s="472"/>
      <c r="Q1868" s="472"/>
      <c r="R1868" s="472"/>
      <c r="S1868" s="472"/>
      <c r="T1868" s="473"/>
      <c r="AT1868" s="467" t="s">
        <v>155</v>
      </c>
      <c r="AU1868" s="467" t="s">
        <v>83</v>
      </c>
      <c r="AV1868" s="464" t="s">
        <v>81</v>
      </c>
      <c r="AW1868" s="464" t="s">
        <v>34</v>
      </c>
      <c r="AX1868" s="464" t="s">
        <v>76</v>
      </c>
      <c r="AY1868" s="467" t="s">
        <v>146</v>
      </c>
    </row>
    <row r="1869" spans="2:51" s="347" customFormat="1" ht="12">
      <c r="B1869" s="348"/>
      <c r="D1869" s="328" t="s">
        <v>155</v>
      </c>
      <c r="E1869" s="349" t="s">
        <v>1</v>
      </c>
      <c r="F1869" s="356" t="s">
        <v>157</v>
      </c>
      <c r="H1869" s="351">
        <f>SUM(H1861:H1868)</f>
        <v>205</v>
      </c>
      <c r="I1869" s="499"/>
      <c r="L1869" s="352"/>
      <c r="M1869" s="353"/>
      <c r="N1869" s="354"/>
      <c r="O1869" s="354"/>
      <c r="P1869" s="354"/>
      <c r="Q1869" s="354"/>
      <c r="R1869" s="354"/>
      <c r="S1869" s="354"/>
      <c r="T1869" s="355"/>
      <c r="AT1869" s="349" t="s">
        <v>155</v>
      </c>
      <c r="AU1869" s="349" t="s">
        <v>83</v>
      </c>
      <c r="AV1869" s="347" t="s">
        <v>153</v>
      </c>
      <c r="AW1869" s="347" t="s">
        <v>34</v>
      </c>
      <c r="AX1869" s="347" t="s">
        <v>81</v>
      </c>
      <c r="AY1869" s="349" t="s">
        <v>146</v>
      </c>
    </row>
    <row r="1870" spans="1:65" s="225" customFormat="1" ht="24.2" customHeight="1">
      <c r="A1870" s="222"/>
      <c r="B1870" s="223"/>
      <c r="C1870" s="314">
        <v>382</v>
      </c>
      <c r="D1870" s="314" t="s">
        <v>148</v>
      </c>
      <c r="E1870" s="315" t="s">
        <v>1286</v>
      </c>
      <c r="F1870" s="316" t="s">
        <v>3101</v>
      </c>
      <c r="G1870" s="317" t="s">
        <v>194</v>
      </c>
      <c r="H1870" s="318">
        <f>R1842</f>
        <v>2.5546907500000002</v>
      </c>
      <c r="I1870" s="79"/>
      <c r="J1870" s="319">
        <f>ROUND(I1870*H1870,2)</f>
        <v>0</v>
      </c>
      <c r="K1870" s="316"/>
      <c r="L1870" s="229"/>
      <c r="M1870" s="320" t="s">
        <v>1</v>
      </c>
      <c r="N1870" s="321" t="s">
        <v>42</v>
      </c>
      <c r="O1870" s="322">
        <v>0</v>
      </c>
      <c r="P1870" s="322">
        <f>O1870*H1870</f>
        <v>0</v>
      </c>
      <c r="Q1870" s="322"/>
      <c r="R1870" s="322"/>
      <c r="S1870" s="322"/>
      <c r="T1870" s="323"/>
      <c r="U1870" s="222"/>
      <c r="V1870" s="222"/>
      <c r="W1870" s="222"/>
      <c r="X1870" s="222"/>
      <c r="Y1870" s="222"/>
      <c r="Z1870" s="222"/>
      <c r="AA1870" s="222"/>
      <c r="AB1870" s="222"/>
      <c r="AC1870" s="222"/>
      <c r="AD1870" s="222"/>
      <c r="AE1870" s="222"/>
      <c r="AR1870" s="324" t="s">
        <v>212</v>
      </c>
      <c r="AT1870" s="324" t="s">
        <v>148</v>
      </c>
      <c r="AU1870" s="324" t="s">
        <v>83</v>
      </c>
      <c r="AY1870" s="214" t="s">
        <v>146</v>
      </c>
      <c r="BE1870" s="325">
        <f>IF(N1870="základní",J1870,0)</f>
        <v>0</v>
      </c>
      <c r="BF1870" s="325">
        <f>IF(N1870="snížená",J1870,0)</f>
        <v>0</v>
      </c>
      <c r="BG1870" s="325">
        <f>IF(N1870="zákl. přenesená",J1870,0)</f>
        <v>0</v>
      </c>
      <c r="BH1870" s="325">
        <f>IF(N1870="sníž. přenesená",J1870,0)</f>
        <v>0</v>
      </c>
      <c r="BI1870" s="325">
        <f>IF(N1870="nulová",J1870,0)</f>
        <v>0</v>
      </c>
      <c r="BJ1870" s="214" t="s">
        <v>81</v>
      </c>
      <c r="BK1870" s="325">
        <f>ROUND(I1870*H1870,2)</f>
        <v>0</v>
      </c>
      <c r="BL1870" s="214" t="s">
        <v>212</v>
      </c>
      <c r="BM1870" s="324" t="s">
        <v>1287</v>
      </c>
    </row>
    <row r="1871" spans="2:63" s="297" customFormat="1" ht="22.9" customHeight="1">
      <c r="B1871" s="298"/>
      <c r="D1871" s="299" t="s">
        <v>75</v>
      </c>
      <c r="E1871" s="310" t="s">
        <v>1288</v>
      </c>
      <c r="F1871" s="310" t="s">
        <v>1289</v>
      </c>
      <c r="I1871" s="501"/>
      <c r="J1871" s="311">
        <f>SUM(J1872:J1926)</f>
        <v>0</v>
      </c>
      <c r="L1871" s="302"/>
      <c r="M1871" s="303"/>
      <c r="N1871" s="304"/>
      <c r="O1871" s="304"/>
      <c r="P1871" s="305">
        <f>SUM(P1872:P1926)</f>
        <v>323.96704500000004</v>
      </c>
      <c r="Q1871" s="304"/>
      <c r="R1871" s="305">
        <f>SUM(R1872:R1926)</f>
        <v>6.318750750000001</v>
      </c>
      <c r="S1871" s="304"/>
      <c r="T1871" s="313">
        <f>SUM(T1872:T1926)</f>
        <v>9.246175</v>
      </c>
      <c r="AR1871" s="299" t="s">
        <v>83</v>
      </c>
      <c r="AT1871" s="308" t="s">
        <v>75</v>
      </c>
      <c r="AU1871" s="308" t="s">
        <v>81</v>
      </c>
      <c r="AY1871" s="299" t="s">
        <v>146</v>
      </c>
      <c r="BK1871" s="309">
        <f>SUM(BK1872:BK1926)</f>
        <v>0</v>
      </c>
    </row>
    <row r="1872" spans="1:65" s="225" customFormat="1" ht="24.2" customHeight="1">
      <c r="A1872" s="222"/>
      <c r="B1872" s="223"/>
      <c r="C1872" s="314">
        <v>383</v>
      </c>
      <c r="D1872" s="314" t="s">
        <v>148</v>
      </c>
      <c r="E1872" s="315" t="s">
        <v>1290</v>
      </c>
      <c r="F1872" s="316" t="s">
        <v>1291</v>
      </c>
      <c r="G1872" s="317" t="s">
        <v>151</v>
      </c>
      <c r="H1872" s="318">
        <v>36</v>
      </c>
      <c r="I1872" s="79"/>
      <c r="J1872" s="319">
        <f>ROUND(I1872*H1872,2)</f>
        <v>0</v>
      </c>
      <c r="K1872" s="316"/>
      <c r="L1872" s="229"/>
      <c r="M1872" s="320" t="s">
        <v>1</v>
      </c>
      <c r="N1872" s="321" t="s">
        <v>42</v>
      </c>
      <c r="O1872" s="322">
        <v>0.375</v>
      </c>
      <c r="P1872" s="322">
        <f>O1872*H1872</f>
        <v>13.5</v>
      </c>
      <c r="Q1872" s="322">
        <v>0.0015</v>
      </c>
      <c r="R1872" s="322">
        <f>Q1872*H1872</f>
        <v>0.054</v>
      </c>
      <c r="S1872" s="322">
        <v>0</v>
      </c>
      <c r="T1872" s="323">
        <f>S1872*H1872</f>
        <v>0</v>
      </c>
      <c r="U1872" s="222"/>
      <c r="V1872" s="222"/>
      <c r="W1872" s="222"/>
      <c r="X1872" s="222"/>
      <c r="Y1872" s="222"/>
      <c r="Z1872" s="222"/>
      <c r="AA1872" s="222"/>
      <c r="AB1872" s="222"/>
      <c r="AC1872" s="222"/>
      <c r="AD1872" s="222"/>
      <c r="AE1872" s="222"/>
      <c r="AR1872" s="324" t="s">
        <v>212</v>
      </c>
      <c r="AT1872" s="324" t="s">
        <v>148</v>
      </c>
      <c r="AU1872" s="324" t="s">
        <v>83</v>
      </c>
      <c r="AY1872" s="214" t="s">
        <v>146</v>
      </c>
      <c r="BE1872" s="325">
        <f>IF(N1872="základní",J1872,0)</f>
        <v>0</v>
      </c>
      <c r="BF1872" s="325">
        <f>IF(N1872="snížená",J1872,0)</f>
        <v>0</v>
      </c>
      <c r="BG1872" s="325">
        <f>IF(N1872="zákl. přenesená",J1872,0)</f>
        <v>0</v>
      </c>
      <c r="BH1872" s="325">
        <f>IF(N1872="sníž. přenesená",J1872,0)</f>
        <v>0</v>
      </c>
      <c r="BI1872" s="325">
        <f>IF(N1872="nulová",J1872,0)</f>
        <v>0</v>
      </c>
      <c r="BJ1872" s="214" t="s">
        <v>81</v>
      </c>
      <c r="BK1872" s="325">
        <f>ROUND(I1872*H1872,2)</f>
        <v>0</v>
      </c>
      <c r="BL1872" s="214" t="s">
        <v>212</v>
      </c>
      <c r="BM1872" s="324" t="s">
        <v>1292</v>
      </c>
    </row>
    <row r="1873" spans="2:51" s="335" customFormat="1" ht="12">
      <c r="B1873" s="336"/>
      <c r="D1873" s="328" t="s">
        <v>155</v>
      </c>
      <c r="E1873" s="337" t="s">
        <v>1</v>
      </c>
      <c r="F1873" s="338" t="s">
        <v>1293</v>
      </c>
      <c r="H1873" s="339">
        <v>9</v>
      </c>
      <c r="I1873" s="498"/>
      <c r="L1873" s="340"/>
      <c r="M1873" s="341"/>
      <c r="N1873" s="342"/>
      <c r="O1873" s="342"/>
      <c r="P1873" s="342"/>
      <c r="Q1873" s="342"/>
      <c r="R1873" s="342"/>
      <c r="S1873" s="342"/>
      <c r="T1873" s="343"/>
      <c r="AT1873" s="337" t="s">
        <v>155</v>
      </c>
      <c r="AU1873" s="337" t="s">
        <v>83</v>
      </c>
      <c r="AV1873" s="335" t="s">
        <v>83</v>
      </c>
      <c r="AW1873" s="335" t="s">
        <v>34</v>
      </c>
      <c r="AX1873" s="335" t="s">
        <v>76</v>
      </c>
      <c r="AY1873" s="337" t="s">
        <v>146</v>
      </c>
    </row>
    <row r="1874" spans="2:51" s="335" customFormat="1" ht="12">
      <c r="B1874" s="336"/>
      <c r="D1874" s="328" t="s">
        <v>155</v>
      </c>
      <c r="E1874" s="337" t="s">
        <v>1</v>
      </c>
      <c r="F1874" s="338" t="s">
        <v>1294</v>
      </c>
      <c r="H1874" s="339">
        <v>27</v>
      </c>
      <c r="I1874" s="498"/>
      <c r="L1874" s="340"/>
      <c r="M1874" s="341"/>
      <c r="N1874" s="342"/>
      <c r="O1874" s="342"/>
      <c r="P1874" s="342"/>
      <c r="Q1874" s="342"/>
      <c r="R1874" s="342"/>
      <c r="S1874" s="342"/>
      <c r="T1874" s="343"/>
      <c r="AT1874" s="337" t="s">
        <v>155</v>
      </c>
      <c r="AU1874" s="337" t="s">
        <v>83</v>
      </c>
      <c r="AV1874" s="335" t="s">
        <v>83</v>
      </c>
      <c r="AW1874" s="335" t="s">
        <v>34</v>
      </c>
      <c r="AX1874" s="335" t="s">
        <v>76</v>
      </c>
      <c r="AY1874" s="337" t="s">
        <v>146</v>
      </c>
    </row>
    <row r="1875" spans="2:51" s="347" customFormat="1" ht="12">
      <c r="B1875" s="348"/>
      <c r="D1875" s="328" t="s">
        <v>155</v>
      </c>
      <c r="E1875" s="349" t="s">
        <v>1</v>
      </c>
      <c r="F1875" s="356" t="s">
        <v>157</v>
      </c>
      <c r="H1875" s="351">
        <v>36</v>
      </c>
      <c r="I1875" s="499"/>
      <c r="L1875" s="352"/>
      <c r="M1875" s="353"/>
      <c r="N1875" s="354"/>
      <c r="O1875" s="354"/>
      <c r="P1875" s="354"/>
      <c r="Q1875" s="354"/>
      <c r="R1875" s="354"/>
      <c r="S1875" s="354"/>
      <c r="T1875" s="355"/>
      <c r="AT1875" s="349" t="s">
        <v>155</v>
      </c>
      <c r="AU1875" s="349" t="s">
        <v>83</v>
      </c>
      <c r="AV1875" s="347" t="s">
        <v>153</v>
      </c>
      <c r="AW1875" s="347" t="s">
        <v>34</v>
      </c>
      <c r="AX1875" s="347" t="s">
        <v>81</v>
      </c>
      <c r="AY1875" s="349" t="s">
        <v>146</v>
      </c>
    </row>
    <row r="1876" spans="1:65" s="225" customFormat="1" ht="24.2" customHeight="1">
      <c r="A1876" s="222"/>
      <c r="B1876" s="223"/>
      <c r="C1876" s="314">
        <v>384</v>
      </c>
      <c r="D1876" s="314" t="s">
        <v>148</v>
      </c>
      <c r="E1876" s="315" t="s">
        <v>1295</v>
      </c>
      <c r="F1876" s="344" t="s">
        <v>1296</v>
      </c>
      <c r="G1876" s="317" t="s">
        <v>151</v>
      </c>
      <c r="H1876" s="318">
        <f>H1885</f>
        <v>113.44999999999999</v>
      </c>
      <c r="I1876" s="79"/>
      <c r="J1876" s="319">
        <f>ROUND(I1876*H1876,2)</f>
        <v>0</v>
      </c>
      <c r="K1876" s="316"/>
      <c r="L1876" s="229"/>
      <c r="M1876" s="320" t="s">
        <v>1</v>
      </c>
      <c r="N1876" s="321" t="s">
        <v>42</v>
      </c>
      <c r="O1876" s="322">
        <v>0.295</v>
      </c>
      <c r="P1876" s="322">
        <f>O1876*H1876</f>
        <v>33.467749999999995</v>
      </c>
      <c r="Q1876" s="322">
        <v>0</v>
      </c>
      <c r="R1876" s="322">
        <f>Q1876*H1876</f>
        <v>0</v>
      </c>
      <c r="S1876" s="322">
        <v>0.0815</v>
      </c>
      <c r="T1876" s="454">
        <f>S1876*H1876</f>
        <v>9.246175</v>
      </c>
      <c r="U1876" s="222"/>
      <c r="V1876" s="222"/>
      <c r="W1876" s="222"/>
      <c r="X1876" s="222"/>
      <c r="Y1876" s="222"/>
      <c r="Z1876" s="222"/>
      <c r="AA1876" s="222"/>
      <c r="AB1876" s="222"/>
      <c r="AC1876" s="222"/>
      <c r="AD1876" s="222"/>
      <c r="AE1876" s="222"/>
      <c r="AR1876" s="324" t="s">
        <v>212</v>
      </c>
      <c r="AT1876" s="324" t="s">
        <v>148</v>
      </c>
      <c r="AU1876" s="324" t="s">
        <v>83</v>
      </c>
      <c r="AY1876" s="214" t="s">
        <v>146</v>
      </c>
      <c r="BE1876" s="325">
        <f>IF(N1876="základní",J1876,0)</f>
        <v>0</v>
      </c>
      <c r="BF1876" s="325">
        <f>IF(N1876="snížená",J1876,0)</f>
        <v>0</v>
      </c>
      <c r="BG1876" s="325">
        <f>IF(N1876="zákl. přenesená",J1876,0)</f>
        <v>0</v>
      </c>
      <c r="BH1876" s="325">
        <f>IF(N1876="sníž. přenesená",J1876,0)</f>
        <v>0</v>
      </c>
      <c r="BI1876" s="325">
        <f>IF(N1876="nulová",J1876,0)</f>
        <v>0</v>
      </c>
      <c r="BJ1876" s="214" t="s">
        <v>81</v>
      </c>
      <c r="BK1876" s="325">
        <f>ROUND(I1876*H1876,2)</f>
        <v>0</v>
      </c>
      <c r="BL1876" s="214" t="s">
        <v>212</v>
      </c>
      <c r="BM1876" s="324" t="s">
        <v>1297</v>
      </c>
    </row>
    <row r="1877" spans="2:51" s="335" customFormat="1" ht="12">
      <c r="B1877" s="336"/>
      <c r="D1877" s="328" t="s">
        <v>155</v>
      </c>
      <c r="E1877" s="337" t="s">
        <v>1</v>
      </c>
      <c r="F1877" s="346" t="s">
        <v>2982</v>
      </c>
      <c r="H1877" s="339">
        <f>((3.7+4.15)*2-0.9)*2</f>
        <v>29.6</v>
      </c>
      <c r="I1877" s="498"/>
      <c r="L1877" s="340"/>
      <c r="M1877" s="341"/>
      <c r="N1877" s="342"/>
      <c r="O1877" s="342"/>
      <c r="P1877" s="342"/>
      <c r="Q1877" s="342"/>
      <c r="R1877" s="342"/>
      <c r="S1877" s="342"/>
      <c r="T1877" s="343"/>
      <c r="AT1877" s="337" t="s">
        <v>155</v>
      </c>
      <c r="AU1877" s="337" t="s">
        <v>83</v>
      </c>
      <c r="AV1877" s="335" t="s">
        <v>83</v>
      </c>
      <c r="AW1877" s="335" t="s">
        <v>34</v>
      </c>
      <c r="AX1877" s="335" t="s">
        <v>76</v>
      </c>
      <c r="AY1877" s="337" t="s">
        <v>146</v>
      </c>
    </row>
    <row r="1878" spans="2:51" s="335" customFormat="1" ht="12">
      <c r="B1878" s="336"/>
      <c r="D1878" s="328" t="s">
        <v>155</v>
      </c>
      <c r="E1878" s="337" t="s">
        <v>1</v>
      </c>
      <c r="F1878" s="346" t="s">
        <v>2984</v>
      </c>
      <c r="H1878" s="339">
        <f>(1.8+4.25+1)*2-0.9*2</f>
        <v>12.299999999999999</v>
      </c>
      <c r="I1878" s="498"/>
      <c r="L1878" s="340"/>
      <c r="M1878" s="341"/>
      <c r="N1878" s="342"/>
      <c r="O1878" s="342"/>
      <c r="P1878" s="342"/>
      <c r="Q1878" s="342"/>
      <c r="R1878" s="342"/>
      <c r="S1878" s="342"/>
      <c r="T1878" s="343"/>
      <c r="AT1878" s="337" t="s">
        <v>155</v>
      </c>
      <c r="AU1878" s="337" t="s">
        <v>83</v>
      </c>
      <c r="AV1878" s="335" t="s">
        <v>83</v>
      </c>
      <c r="AW1878" s="335" t="s">
        <v>34</v>
      </c>
      <c r="AX1878" s="335" t="s">
        <v>76</v>
      </c>
      <c r="AY1878" s="337" t="s">
        <v>146</v>
      </c>
    </row>
    <row r="1879" spans="2:51" s="335" customFormat="1" ht="12">
      <c r="B1879" s="336"/>
      <c r="D1879" s="328" t="s">
        <v>155</v>
      </c>
      <c r="E1879" s="337" t="s">
        <v>1</v>
      </c>
      <c r="F1879" s="346" t="s">
        <v>2983</v>
      </c>
      <c r="H1879" s="339">
        <f>((4.25+3.6)*2+1.12*2+0.4-0.8*2)*2</f>
        <v>33.47999999999999</v>
      </c>
      <c r="I1879" s="498"/>
      <c r="L1879" s="340"/>
      <c r="M1879" s="341"/>
      <c r="N1879" s="342"/>
      <c r="O1879" s="342"/>
      <c r="P1879" s="342"/>
      <c r="Q1879" s="342"/>
      <c r="R1879" s="342"/>
      <c r="S1879" s="342"/>
      <c r="T1879" s="343"/>
      <c r="AT1879" s="337" t="s">
        <v>155</v>
      </c>
      <c r="AU1879" s="337" t="s">
        <v>83</v>
      </c>
      <c r="AV1879" s="335" t="s">
        <v>83</v>
      </c>
      <c r="AW1879" s="335" t="s">
        <v>34</v>
      </c>
      <c r="AX1879" s="335" t="s">
        <v>76</v>
      </c>
      <c r="AY1879" s="337" t="s">
        <v>146</v>
      </c>
    </row>
    <row r="1880" spans="2:51" s="326" customFormat="1" ht="12">
      <c r="B1880" s="327"/>
      <c r="D1880" s="328" t="s">
        <v>155</v>
      </c>
      <c r="E1880" s="329" t="s">
        <v>1</v>
      </c>
      <c r="F1880" s="345" t="s">
        <v>1298</v>
      </c>
      <c r="H1880" s="329" t="s">
        <v>1</v>
      </c>
      <c r="I1880" s="497"/>
      <c r="L1880" s="331"/>
      <c r="M1880" s="332"/>
      <c r="N1880" s="333"/>
      <c r="O1880" s="333"/>
      <c r="P1880" s="333"/>
      <c r="Q1880" s="333"/>
      <c r="R1880" s="333"/>
      <c r="S1880" s="333"/>
      <c r="T1880" s="334"/>
      <c r="AT1880" s="329" t="s">
        <v>155</v>
      </c>
      <c r="AU1880" s="329" t="s">
        <v>83</v>
      </c>
      <c r="AV1880" s="326" t="s">
        <v>81</v>
      </c>
      <c r="AW1880" s="326" t="s">
        <v>34</v>
      </c>
      <c r="AX1880" s="326" t="s">
        <v>76</v>
      </c>
      <c r="AY1880" s="329" t="s">
        <v>146</v>
      </c>
    </row>
    <row r="1881" spans="2:51" s="326" customFormat="1" ht="12">
      <c r="B1881" s="327"/>
      <c r="D1881" s="328" t="s">
        <v>155</v>
      </c>
      <c r="E1881" s="329" t="s">
        <v>1</v>
      </c>
      <c r="F1881" s="345" t="s">
        <v>165</v>
      </c>
      <c r="H1881" s="329" t="s">
        <v>1</v>
      </c>
      <c r="I1881" s="497"/>
      <c r="L1881" s="331"/>
      <c r="M1881" s="332"/>
      <c r="N1881" s="333"/>
      <c r="O1881" s="333"/>
      <c r="P1881" s="333"/>
      <c r="Q1881" s="333"/>
      <c r="R1881" s="333"/>
      <c r="S1881" s="333"/>
      <c r="T1881" s="334"/>
      <c r="AT1881" s="329" t="s">
        <v>155</v>
      </c>
      <c r="AU1881" s="329" t="s">
        <v>83</v>
      </c>
      <c r="AV1881" s="326" t="s">
        <v>81</v>
      </c>
      <c r="AW1881" s="326" t="s">
        <v>34</v>
      </c>
      <c r="AX1881" s="326" t="s">
        <v>76</v>
      </c>
      <c r="AY1881" s="329" t="s">
        <v>146</v>
      </c>
    </row>
    <row r="1882" spans="2:51" s="335" customFormat="1" ht="12">
      <c r="B1882" s="336"/>
      <c r="D1882" s="328" t="s">
        <v>155</v>
      </c>
      <c r="E1882" s="337" t="s">
        <v>1</v>
      </c>
      <c r="F1882" s="346" t="s">
        <v>575</v>
      </c>
      <c r="H1882" s="339">
        <f>0.3*(14.4+13+27.4)</f>
        <v>16.439999999999998</v>
      </c>
      <c r="I1882" s="498"/>
      <c r="L1882" s="340"/>
      <c r="M1882" s="341"/>
      <c r="N1882" s="342"/>
      <c r="O1882" s="342"/>
      <c r="P1882" s="342"/>
      <c r="Q1882" s="342"/>
      <c r="R1882" s="342"/>
      <c r="S1882" s="342"/>
      <c r="T1882" s="343"/>
      <c r="AT1882" s="337" t="s">
        <v>155</v>
      </c>
      <c r="AU1882" s="337" t="s">
        <v>83</v>
      </c>
      <c r="AV1882" s="335" t="s">
        <v>83</v>
      </c>
      <c r="AW1882" s="335" t="s">
        <v>34</v>
      </c>
      <c r="AX1882" s="335" t="s">
        <v>76</v>
      </c>
      <c r="AY1882" s="337" t="s">
        <v>146</v>
      </c>
    </row>
    <row r="1883" spans="2:51" s="326" customFormat="1" ht="12">
      <c r="B1883" s="327"/>
      <c r="D1883" s="328" t="s">
        <v>155</v>
      </c>
      <c r="E1883" s="329" t="s">
        <v>1</v>
      </c>
      <c r="F1883" s="345" t="s">
        <v>168</v>
      </c>
      <c r="H1883" s="329" t="s">
        <v>1</v>
      </c>
      <c r="I1883" s="497"/>
      <c r="L1883" s="331"/>
      <c r="M1883" s="332"/>
      <c r="N1883" s="333"/>
      <c r="O1883" s="333"/>
      <c r="P1883" s="333"/>
      <c r="Q1883" s="333"/>
      <c r="R1883" s="333"/>
      <c r="S1883" s="333"/>
      <c r="T1883" s="334"/>
      <c r="AT1883" s="329" t="s">
        <v>155</v>
      </c>
      <c r="AU1883" s="329" t="s">
        <v>83</v>
      </c>
      <c r="AV1883" s="326" t="s">
        <v>81</v>
      </c>
      <c r="AW1883" s="326" t="s">
        <v>34</v>
      </c>
      <c r="AX1883" s="326" t="s">
        <v>76</v>
      </c>
      <c r="AY1883" s="329" t="s">
        <v>146</v>
      </c>
    </row>
    <row r="1884" spans="2:51" s="335" customFormat="1" ht="12">
      <c r="B1884" s="336"/>
      <c r="D1884" s="328" t="s">
        <v>155</v>
      </c>
      <c r="E1884" s="337" t="s">
        <v>1</v>
      </c>
      <c r="F1884" s="346" t="s">
        <v>1299</v>
      </c>
      <c r="H1884" s="339">
        <f>0.3*(35.975+13.25+22.875)</f>
        <v>21.63</v>
      </c>
      <c r="I1884" s="498"/>
      <c r="L1884" s="340"/>
      <c r="M1884" s="341"/>
      <c r="N1884" s="342"/>
      <c r="O1884" s="342"/>
      <c r="P1884" s="342"/>
      <c r="Q1884" s="342"/>
      <c r="R1884" s="342"/>
      <c r="S1884" s="342"/>
      <c r="T1884" s="343"/>
      <c r="AT1884" s="337" t="s">
        <v>155</v>
      </c>
      <c r="AU1884" s="337" t="s">
        <v>83</v>
      </c>
      <c r="AV1884" s="335" t="s">
        <v>83</v>
      </c>
      <c r="AW1884" s="335" t="s">
        <v>34</v>
      </c>
      <c r="AX1884" s="335" t="s">
        <v>76</v>
      </c>
      <c r="AY1884" s="337" t="s">
        <v>146</v>
      </c>
    </row>
    <row r="1885" spans="2:51" s="347" customFormat="1" ht="12">
      <c r="B1885" s="348"/>
      <c r="D1885" s="328" t="s">
        <v>155</v>
      </c>
      <c r="E1885" s="349" t="s">
        <v>1</v>
      </c>
      <c r="F1885" s="350" t="s">
        <v>157</v>
      </c>
      <c r="H1885" s="351">
        <f>SUM(H1877:H1884)</f>
        <v>113.44999999999999</v>
      </c>
      <c r="I1885" s="499"/>
      <c r="L1885" s="352"/>
      <c r="M1885" s="353"/>
      <c r="N1885" s="354"/>
      <c r="O1885" s="354"/>
      <c r="P1885" s="354"/>
      <c r="Q1885" s="354"/>
      <c r="R1885" s="354"/>
      <c r="S1885" s="354"/>
      <c r="T1885" s="355"/>
      <c r="AT1885" s="349" t="s">
        <v>155</v>
      </c>
      <c r="AU1885" s="349" t="s">
        <v>83</v>
      </c>
      <c r="AV1885" s="347" t="s">
        <v>153</v>
      </c>
      <c r="AW1885" s="347" t="s">
        <v>34</v>
      </c>
      <c r="AX1885" s="347" t="s">
        <v>81</v>
      </c>
      <c r="AY1885" s="349" t="s">
        <v>146</v>
      </c>
    </row>
    <row r="1886" spans="1:65" s="225" customFormat="1" ht="24.2" customHeight="1">
      <c r="A1886" s="222"/>
      <c r="B1886" s="223"/>
      <c r="C1886" s="314">
        <v>385</v>
      </c>
      <c r="D1886" s="314" t="s">
        <v>148</v>
      </c>
      <c r="E1886" s="315" t="s">
        <v>1300</v>
      </c>
      <c r="F1886" s="344" t="s">
        <v>3767</v>
      </c>
      <c r="G1886" s="317" t="s">
        <v>151</v>
      </c>
      <c r="H1886" s="318">
        <f>H1905</f>
        <v>199.8665</v>
      </c>
      <c r="I1886" s="79"/>
      <c r="J1886" s="319">
        <f>ROUND(I1886*H1886,2)</f>
        <v>0</v>
      </c>
      <c r="K1886" s="316"/>
      <c r="L1886" s="229"/>
      <c r="M1886" s="320" t="s">
        <v>1</v>
      </c>
      <c r="N1886" s="321" t="s">
        <v>42</v>
      </c>
      <c r="O1886" s="322">
        <v>1.3</v>
      </c>
      <c r="P1886" s="322">
        <f>O1886*H1886</f>
        <v>259.82645</v>
      </c>
      <c r="Q1886" s="322">
        <v>0.009</v>
      </c>
      <c r="R1886" s="322">
        <f>Q1886*H1886</f>
        <v>1.7987985</v>
      </c>
      <c r="S1886" s="322">
        <v>0</v>
      </c>
      <c r="T1886" s="323">
        <f>S1886*H1886</f>
        <v>0</v>
      </c>
      <c r="U1886" s="222"/>
      <c r="V1886" s="222"/>
      <c r="W1886" s="222"/>
      <c r="X1886" s="222"/>
      <c r="Y1886" s="222"/>
      <c r="Z1886" s="222"/>
      <c r="AA1886" s="222"/>
      <c r="AB1886" s="222"/>
      <c r="AC1886" s="222"/>
      <c r="AD1886" s="222"/>
      <c r="AE1886" s="222"/>
      <c r="AR1886" s="324" t="s">
        <v>212</v>
      </c>
      <c r="AT1886" s="324" t="s">
        <v>148</v>
      </c>
      <c r="AU1886" s="324" t="s">
        <v>83</v>
      </c>
      <c r="AY1886" s="214" t="s">
        <v>146</v>
      </c>
      <c r="BE1886" s="325">
        <f>IF(N1886="základní",J1886,0)</f>
        <v>0</v>
      </c>
      <c r="BF1886" s="325">
        <f>IF(N1886="snížená",J1886,0)</f>
        <v>0</v>
      </c>
      <c r="BG1886" s="325">
        <f>IF(N1886="zákl. přenesená",J1886,0)</f>
        <v>0</v>
      </c>
      <c r="BH1886" s="325">
        <f>IF(N1886="sníž. přenesená",J1886,0)</f>
        <v>0</v>
      </c>
      <c r="BI1886" s="325">
        <f>IF(N1886="nulová",J1886,0)</f>
        <v>0</v>
      </c>
      <c r="BJ1886" s="214" t="s">
        <v>81</v>
      </c>
      <c r="BK1886" s="325">
        <f>ROUND(I1886*H1886,2)</f>
        <v>0</v>
      </c>
      <c r="BL1886" s="214" t="s">
        <v>212</v>
      </c>
      <c r="BM1886" s="324" t="s">
        <v>1301</v>
      </c>
    </row>
    <row r="1887" spans="2:51" s="326" customFormat="1" ht="12">
      <c r="B1887" s="327"/>
      <c r="D1887" s="328" t="s">
        <v>155</v>
      </c>
      <c r="E1887" s="329" t="s">
        <v>1</v>
      </c>
      <c r="F1887" s="345" t="s">
        <v>492</v>
      </c>
      <c r="H1887" s="329" t="s">
        <v>1</v>
      </c>
      <c r="I1887" s="497"/>
      <c r="L1887" s="331"/>
      <c r="M1887" s="332"/>
      <c r="N1887" s="333"/>
      <c r="O1887" s="333"/>
      <c r="P1887" s="333"/>
      <c r="Q1887" s="333"/>
      <c r="R1887" s="333"/>
      <c r="S1887" s="333"/>
      <c r="T1887" s="334"/>
      <c r="AT1887" s="329" t="s">
        <v>155</v>
      </c>
      <c r="AU1887" s="329" t="s">
        <v>83</v>
      </c>
      <c r="AV1887" s="326" t="s">
        <v>81</v>
      </c>
      <c r="AW1887" s="326" t="s">
        <v>34</v>
      </c>
      <c r="AX1887" s="326" t="s">
        <v>76</v>
      </c>
      <c r="AY1887" s="329" t="s">
        <v>146</v>
      </c>
    </row>
    <row r="1888" spans="2:51" s="335" customFormat="1" ht="12">
      <c r="B1888" s="336"/>
      <c r="D1888" s="328" t="s">
        <v>155</v>
      </c>
      <c r="E1888" s="337" t="s">
        <v>1</v>
      </c>
      <c r="F1888" s="346" t="s">
        <v>1302</v>
      </c>
      <c r="H1888" s="339">
        <f>(0.8+1.2+0.8)*2.05</f>
        <v>5.739999999999999</v>
      </c>
      <c r="I1888" s="498"/>
      <c r="L1888" s="340"/>
      <c r="M1888" s="341"/>
      <c r="N1888" s="342"/>
      <c r="O1888" s="342"/>
      <c r="P1888" s="342"/>
      <c r="Q1888" s="342"/>
      <c r="R1888" s="342"/>
      <c r="S1888" s="342"/>
      <c r="T1888" s="343"/>
      <c r="AT1888" s="337" t="s">
        <v>155</v>
      </c>
      <c r="AU1888" s="337" t="s">
        <v>83</v>
      </c>
      <c r="AV1888" s="335" t="s">
        <v>83</v>
      </c>
      <c r="AW1888" s="335" t="s">
        <v>34</v>
      </c>
      <c r="AX1888" s="335" t="s">
        <v>76</v>
      </c>
      <c r="AY1888" s="337" t="s">
        <v>146</v>
      </c>
    </row>
    <row r="1889" spans="2:51" s="335" customFormat="1" ht="12">
      <c r="B1889" s="336"/>
      <c r="D1889" s="328" t="s">
        <v>155</v>
      </c>
      <c r="E1889" s="337" t="s">
        <v>1</v>
      </c>
      <c r="F1889" s="346" t="s">
        <v>3103</v>
      </c>
      <c r="H1889" s="339">
        <f>(1.55+0.9)*2*2.05</f>
        <v>10.045</v>
      </c>
      <c r="I1889" s="498"/>
      <c r="L1889" s="340"/>
      <c r="M1889" s="341"/>
      <c r="N1889" s="342"/>
      <c r="O1889" s="342"/>
      <c r="P1889" s="342"/>
      <c r="Q1889" s="342"/>
      <c r="R1889" s="342"/>
      <c r="S1889" s="342"/>
      <c r="T1889" s="343"/>
      <c r="AT1889" s="337" t="s">
        <v>155</v>
      </c>
      <c r="AU1889" s="337" t="s">
        <v>83</v>
      </c>
      <c r="AV1889" s="335" t="s">
        <v>83</v>
      </c>
      <c r="AW1889" s="335" t="s">
        <v>34</v>
      </c>
      <c r="AX1889" s="335" t="s">
        <v>76</v>
      </c>
      <c r="AY1889" s="337" t="s">
        <v>146</v>
      </c>
    </row>
    <row r="1890" spans="2:51" s="335" customFormat="1" ht="12">
      <c r="B1890" s="336"/>
      <c r="D1890" s="328" t="s">
        <v>155</v>
      </c>
      <c r="E1890" s="337" t="s">
        <v>1</v>
      </c>
      <c r="F1890" s="346" t="s">
        <v>1303</v>
      </c>
      <c r="H1890" s="339">
        <f>(0.9*1.2)+((1+1+0.1+1+1+0.3)*2.85)</f>
        <v>13.62</v>
      </c>
      <c r="I1890" s="498"/>
      <c r="L1890" s="340"/>
      <c r="M1890" s="341"/>
      <c r="N1890" s="342"/>
      <c r="O1890" s="342"/>
      <c r="P1890" s="342"/>
      <c r="Q1890" s="342"/>
      <c r="R1890" s="342"/>
      <c r="S1890" s="342"/>
      <c r="T1890" s="343"/>
      <c r="AT1890" s="337" t="s">
        <v>155</v>
      </c>
      <c r="AU1890" s="337" t="s">
        <v>83</v>
      </c>
      <c r="AV1890" s="335" t="s">
        <v>83</v>
      </c>
      <c r="AW1890" s="335" t="s">
        <v>34</v>
      </c>
      <c r="AX1890" s="335" t="s">
        <v>76</v>
      </c>
      <c r="AY1890" s="337" t="s">
        <v>146</v>
      </c>
    </row>
    <row r="1891" spans="2:51" s="335" customFormat="1" ht="12">
      <c r="B1891" s="336"/>
      <c r="D1891" s="328" t="s">
        <v>155</v>
      </c>
      <c r="E1891" s="337" t="s">
        <v>1</v>
      </c>
      <c r="F1891" s="346" t="s">
        <v>3102</v>
      </c>
      <c r="H1891" s="339">
        <f>(1.83+1.2)*2*2.05-0.8*2+2.8*0.15</f>
        <v>11.243</v>
      </c>
      <c r="I1891" s="498"/>
      <c r="L1891" s="340"/>
      <c r="M1891" s="341"/>
      <c r="N1891" s="342"/>
      <c r="O1891" s="342"/>
      <c r="P1891" s="342"/>
      <c r="Q1891" s="342"/>
      <c r="R1891" s="342"/>
      <c r="S1891" s="342"/>
      <c r="T1891" s="343"/>
      <c r="AT1891" s="337" t="s">
        <v>155</v>
      </c>
      <c r="AU1891" s="337" t="s">
        <v>83</v>
      </c>
      <c r="AV1891" s="335" t="s">
        <v>83</v>
      </c>
      <c r="AW1891" s="335" t="s">
        <v>34</v>
      </c>
      <c r="AX1891" s="335" t="s">
        <v>76</v>
      </c>
      <c r="AY1891" s="337" t="s">
        <v>146</v>
      </c>
    </row>
    <row r="1892" spans="2:51" s="335" customFormat="1" ht="12">
      <c r="B1892" s="336"/>
      <c r="D1892" s="328" t="s">
        <v>155</v>
      </c>
      <c r="E1892" s="337" t="s">
        <v>1</v>
      </c>
      <c r="F1892" s="346" t="s">
        <v>3104</v>
      </c>
      <c r="H1892" s="339">
        <f>(1.95*2+1.15*2)*2.05-0.9*2</f>
        <v>10.909999999999997</v>
      </c>
      <c r="I1892" s="498"/>
      <c r="L1892" s="340"/>
      <c r="M1892" s="341"/>
      <c r="N1892" s="342"/>
      <c r="O1892" s="342"/>
      <c r="P1892" s="342"/>
      <c r="Q1892" s="342"/>
      <c r="R1892" s="342"/>
      <c r="S1892" s="342"/>
      <c r="T1892" s="343"/>
      <c r="AT1892" s="337" t="s">
        <v>155</v>
      </c>
      <c r="AU1892" s="337" t="s">
        <v>83</v>
      </c>
      <c r="AV1892" s="335" t="s">
        <v>83</v>
      </c>
      <c r="AW1892" s="335" t="s">
        <v>34</v>
      </c>
      <c r="AX1892" s="335" t="s">
        <v>76</v>
      </c>
      <c r="AY1892" s="337" t="s">
        <v>146</v>
      </c>
    </row>
    <row r="1893" spans="2:51" s="335" customFormat="1" ht="22.5">
      <c r="B1893" s="336"/>
      <c r="D1893" s="328" t="s">
        <v>155</v>
      </c>
      <c r="E1893" s="337" t="s">
        <v>1</v>
      </c>
      <c r="F1893" s="346" t="s">
        <v>3105</v>
      </c>
      <c r="H1893" s="339">
        <f>(1.95*3+0.5+0.6+2.2+1.35+2.1+0.5+0.1)*2.05-0.9*2*2-0.8*2*2</f>
        <v>20.25999999999999</v>
      </c>
      <c r="I1893" s="498"/>
      <c r="L1893" s="340"/>
      <c r="M1893" s="341"/>
      <c r="N1893" s="342"/>
      <c r="O1893" s="342"/>
      <c r="P1893" s="342"/>
      <c r="Q1893" s="342"/>
      <c r="R1893" s="342"/>
      <c r="S1893" s="342"/>
      <c r="T1893" s="343"/>
      <c r="AT1893" s="337" t="s">
        <v>155</v>
      </c>
      <c r="AU1893" s="337" t="s">
        <v>83</v>
      </c>
      <c r="AV1893" s="335" t="s">
        <v>83</v>
      </c>
      <c r="AW1893" s="335" t="s">
        <v>34</v>
      </c>
      <c r="AX1893" s="335" t="s">
        <v>76</v>
      </c>
      <c r="AY1893" s="337" t="s">
        <v>146</v>
      </c>
    </row>
    <row r="1894" spans="2:51" s="335" customFormat="1" ht="12">
      <c r="B1894" s="336"/>
      <c r="D1894" s="328" t="s">
        <v>155</v>
      </c>
      <c r="E1894" s="337" t="s">
        <v>1</v>
      </c>
      <c r="F1894" s="346" t="s">
        <v>3106</v>
      </c>
      <c r="H1894" s="339">
        <f>(1.55+1)*2*2.05-0.8*2</f>
        <v>8.854999999999999</v>
      </c>
      <c r="I1894" s="498"/>
      <c r="L1894" s="340"/>
      <c r="M1894" s="341"/>
      <c r="N1894" s="342"/>
      <c r="O1894" s="342"/>
      <c r="P1894" s="342"/>
      <c r="Q1894" s="342"/>
      <c r="R1894" s="342"/>
      <c r="S1894" s="342"/>
      <c r="T1894" s="343"/>
      <c r="AT1894" s="337" t="s">
        <v>155</v>
      </c>
      <c r="AU1894" s="337" t="s">
        <v>83</v>
      </c>
      <c r="AV1894" s="335" t="s">
        <v>83</v>
      </c>
      <c r="AW1894" s="335" t="s">
        <v>34</v>
      </c>
      <c r="AX1894" s="335" t="s">
        <v>76</v>
      </c>
      <c r="AY1894" s="337" t="s">
        <v>146</v>
      </c>
    </row>
    <row r="1895" spans="2:51" s="335" customFormat="1" ht="12">
      <c r="B1895" s="336"/>
      <c r="D1895" s="328" t="s">
        <v>155</v>
      </c>
      <c r="E1895" s="337" t="s">
        <v>1</v>
      </c>
      <c r="F1895" s="346" t="s">
        <v>3107</v>
      </c>
      <c r="H1895" s="339">
        <f>(1.55+1)*2*2.05-0.8*2</f>
        <v>8.854999999999999</v>
      </c>
      <c r="I1895" s="498"/>
      <c r="L1895" s="340"/>
      <c r="M1895" s="341"/>
      <c r="N1895" s="342"/>
      <c r="O1895" s="342"/>
      <c r="P1895" s="342"/>
      <c r="Q1895" s="342"/>
      <c r="R1895" s="342"/>
      <c r="S1895" s="342"/>
      <c r="T1895" s="343"/>
      <c r="AT1895" s="337" t="s">
        <v>155</v>
      </c>
      <c r="AU1895" s="337" t="s">
        <v>83</v>
      </c>
      <c r="AV1895" s="335" t="s">
        <v>83</v>
      </c>
      <c r="AW1895" s="335" t="s">
        <v>34</v>
      </c>
      <c r="AX1895" s="335" t="s">
        <v>76</v>
      </c>
      <c r="AY1895" s="337" t="s">
        <v>146</v>
      </c>
    </row>
    <row r="1896" spans="2:51" s="335" customFormat="1" ht="33.75">
      <c r="B1896" s="336"/>
      <c r="D1896" s="328" t="s">
        <v>155</v>
      </c>
      <c r="E1896" s="337" t="s">
        <v>1</v>
      </c>
      <c r="F1896" s="346" t="s">
        <v>3108</v>
      </c>
      <c r="H1896" s="339">
        <f>(2.025+0.95*2+0.925+0.9*4+0.1*2+2.025+0.475*2+1+2.025)*2.7-0.8*2-0.6*0.63+(0.6*2+0.63*2)*0.4</f>
        <v>38.561</v>
      </c>
      <c r="I1896" s="498"/>
      <c r="L1896" s="340"/>
      <c r="M1896" s="341"/>
      <c r="N1896" s="342"/>
      <c r="O1896" s="342"/>
      <c r="P1896" s="342"/>
      <c r="Q1896" s="342"/>
      <c r="R1896" s="342"/>
      <c r="S1896" s="342"/>
      <c r="T1896" s="343"/>
      <c r="AT1896" s="337" t="s">
        <v>155</v>
      </c>
      <c r="AU1896" s="337" t="s">
        <v>83</v>
      </c>
      <c r="AV1896" s="335" t="s">
        <v>83</v>
      </c>
      <c r="AW1896" s="335" t="s">
        <v>34</v>
      </c>
      <c r="AX1896" s="335" t="s">
        <v>76</v>
      </c>
      <c r="AY1896" s="337" t="s">
        <v>146</v>
      </c>
    </row>
    <row r="1897" spans="2:51" s="326" customFormat="1" ht="12">
      <c r="B1897" s="327"/>
      <c r="D1897" s="328" t="s">
        <v>155</v>
      </c>
      <c r="E1897" s="329" t="s">
        <v>1</v>
      </c>
      <c r="F1897" s="345" t="s">
        <v>495</v>
      </c>
      <c r="H1897" s="329" t="s">
        <v>1</v>
      </c>
      <c r="I1897" s="497"/>
      <c r="L1897" s="331"/>
      <c r="M1897" s="332"/>
      <c r="N1897" s="333"/>
      <c r="O1897" s="333"/>
      <c r="P1897" s="333"/>
      <c r="Q1897" s="333"/>
      <c r="R1897" s="333"/>
      <c r="S1897" s="333"/>
      <c r="T1897" s="334"/>
      <c r="AT1897" s="329" t="s">
        <v>155</v>
      </c>
      <c r="AU1897" s="329" t="s">
        <v>83</v>
      </c>
      <c r="AV1897" s="326" t="s">
        <v>81</v>
      </c>
      <c r="AW1897" s="326" t="s">
        <v>34</v>
      </c>
      <c r="AX1897" s="326" t="s">
        <v>76</v>
      </c>
      <c r="AY1897" s="329" t="s">
        <v>146</v>
      </c>
    </row>
    <row r="1898" spans="2:51" s="335" customFormat="1" ht="12">
      <c r="B1898" s="336"/>
      <c r="D1898" s="328" t="s">
        <v>155</v>
      </c>
      <c r="E1898" s="337" t="s">
        <v>1</v>
      </c>
      <c r="F1898" s="346" t="s">
        <v>1304</v>
      </c>
      <c r="H1898" s="339">
        <f>(2.1+0.6+0.6)*0.9</f>
        <v>2.97</v>
      </c>
      <c r="I1898" s="498"/>
      <c r="L1898" s="340"/>
      <c r="M1898" s="341"/>
      <c r="N1898" s="342"/>
      <c r="O1898" s="342"/>
      <c r="P1898" s="342"/>
      <c r="Q1898" s="342"/>
      <c r="R1898" s="342"/>
      <c r="S1898" s="342"/>
      <c r="T1898" s="343"/>
      <c r="AT1898" s="337" t="s">
        <v>155</v>
      </c>
      <c r="AU1898" s="337" t="s">
        <v>83</v>
      </c>
      <c r="AV1898" s="335" t="s">
        <v>83</v>
      </c>
      <c r="AW1898" s="335" t="s">
        <v>34</v>
      </c>
      <c r="AX1898" s="335" t="s">
        <v>76</v>
      </c>
      <c r="AY1898" s="337" t="s">
        <v>146</v>
      </c>
    </row>
    <row r="1899" spans="2:51" s="335" customFormat="1" ht="12">
      <c r="B1899" s="336"/>
      <c r="D1899" s="328" t="s">
        <v>155</v>
      </c>
      <c r="E1899" s="337" t="s">
        <v>1</v>
      </c>
      <c r="F1899" s="346" t="s">
        <v>3109</v>
      </c>
      <c r="H1899" s="339">
        <f>(1.5+1.725)*2*2.05-0.8*2*2</f>
        <v>10.022499999999997</v>
      </c>
      <c r="I1899" s="498"/>
      <c r="L1899" s="340"/>
      <c r="M1899" s="341"/>
      <c r="N1899" s="342"/>
      <c r="O1899" s="342"/>
      <c r="P1899" s="342"/>
      <c r="Q1899" s="342"/>
      <c r="R1899" s="342"/>
      <c r="S1899" s="342"/>
      <c r="T1899" s="343"/>
      <c r="AT1899" s="337" t="s">
        <v>155</v>
      </c>
      <c r="AU1899" s="337" t="s">
        <v>83</v>
      </c>
      <c r="AV1899" s="335" t="s">
        <v>83</v>
      </c>
      <c r="AW1899" s="335" t="s">
        <v>34</v>
      </c>
      <c r="AX1899" s="335" t="s">
        <v>76</v>
      </c>
      <c r="AY1899" s="337" t="s">
        <v>146</v>
      </c>
    </row>
    <row r="1900" spans="2:51" s="335" customFormat="1" ht="12">
      <c r="B1900" s="336"/>
      <c r="D1900" s="328" t="s">
        <v>155</v>
      </c>
      <c r="E1900" s="337" t="s">
        <v>1</v>
      </c>
      <c r="F1900" s="346" t="s">
        <v>3110</v>
      </c>
      <c r="H1900" s="339">
        <f>(1.7+1.5)*2*2.05+0.15*2*(2.05-1.2)-0.8*2</f>
        <v>11.775</v>
      </c>
      <c r="I1900" s="498"/>
      <c r="L1900" s="340"/>
      <c r="M1900" s="341"/>
      <c r="N1900" s="342"/>
      <c r="O1900" s="342"/>
      <c r="P1900" s="342"/>
      <c r="Q1900" s="342"/>
      <c r="R1900" s="342"/>
      <c r="S1900" s="342"/>
      <c r="T1900" s="343"/>
      <c r="AT1900" s="337" t="s">
        <v>155</v>
      </c>
      <c r="AU1900" s="337" t="s">
        <v>83</v>
      </c>
      <c r="AV1900" s="335" t="s">
        <v>83</v>
      </c>
      <c r="AW1900" s="335" t="s">
        <v>34</v>
      </c>
      <c r="AX1900" s="335" t="s">
        <v>76</v>
      </c>
      <c r="AY1900" s="337" t="s">
        <v>146</v>
      </c>
    </row>
    <row r="1901" spans="2:51" s="335" customFormat="1" ht="12">
      <c r="B1901" s="336"/>
      <c r="D1901" s="328" t="s">
        <v>155</v>
      </c>
      <c r="E1901" s="337" t="s">
        <v>1</v>
      </c>
      <c r="F1901" s="346" t="s">
        <v>3111</v>
      </c>
      <c r="H1901" s="339">
        <f>(1.85+1.6)*2*2.05-0.8*2</f>
        <v>12.545</v>
      </c>
      <c r="I1901" s="498"/>
      <c r="L1901" s="340"/>
      <c r="M1901" s="341"/>
      <c r="N1901" s="342"/>
      <c r="O1901" s="342"/>
      <c r="P1901" s="342"/>
      <c r="Q1901" s="342"/>
      <c r="R1901" s="342"/>
      <c r="S1901" s="342"/>
      <c r="T1901" s="343"/>
      <c r="AT1901" s="337" t="s">
        <v>155</v>
      </c>
      <c r="AU1901" s="337" t="s">
        <v>83</v>
      </c>
      <c r="AV1901" s="335" t="s">
        <v>83</v>
      </c>
      <c r="AW1901" s="335" t="s">
        <v>34</v>
      </c>
      <c r="AX1901" s="335" t="s">
        <v>76</v>
      </c>
      <c r="AY1901" s="337" t="s">
        <v>146</v>
      </c>
    </row>
    <row r="1902" spans="2:51" s="335" customFormat="1" ht="12">
      <c r="B1902" s="336"/>
      <c r="D1902" s="328" t="s">
        <v>155</v>
      </c>
      <c r="E1902" s="337" t="s">
        <v>1</v>
      </c>
      <c r="F1902" s="346" t="s">
        <v>3112</v>
      </c>
      <c r="H1902" s="339">
        <f>(1.65+1)*2*2.5-0.8*2</f>
        <v>11.65</v>
      </c>
      <c r="I1902" s="498"/>
      <c r="L1902" s="340"/>
      <c r="M1902" s="341"/>
      <c r="N1902" s="342"/>
      <c r="O1902" s="342"/>
      <c r="P1902" s="342"/>
      <c r="Q1902" s="342"/>
      <c r="R1902" s="342"/>
      <c r="S1902" s="342"/>
      <c r="T1902" s="343"/>
      <c r="AT1902" s="337" t="s">
        <v>155</v>
      </c>
      <c r="AU1902" s="337" t="s">
        <v>83</v>
      </c>
      <c r="AV1902" s="335" t="s">
        <v>83</v>
      </c>
      <c r="AW1902" s="335" t="s">
        <v>34</v>
      </c>
      <c r="AX1902" s="335" t="s">
        <v>76</v>
      </c>
      <c r="AY1902" s="337" t="s">
        <v>146</v>
      </c>
    </row>
    <row r="1903" spans="2:51" s="335" customFormat="1" ht="12">
      <c r="B1903" s="336"/>
      <c r="D1903" s="328" t="s">
        <v>155</v>
      </c>
      <c r="E1903" s="337" t="s">
        <v>1</v>
      </c>
      <c r="F1903" s="346" t="s">
        <v>3113</v>
      </c>
      <c r="H1903" s="339">
        <f>(2.275+1.65)*2*2.5-0.7*2</f>
        <v>18.225</v>
      </c>
      <c r="I1903" s="498"/>
      <c r="L1903" s="340"/>
      <c r="M1903" s="341"/>
      <c r="N1903" s="342"/>
      <c r="O1903" s="342"/>
      <c r="P1903" s="342"/>
      <c r="Q1903" s="342"/>
      <c r="R1903" s="342"/>
      <c r="S1903" s="342"/>
      <c r="T1903" s="343"/>
      <c r="AT1903" s="337" t="s">
        <v>155</v>
      </c>
      <c r="AU1903" s="337" t="s">
        <v>83</v>
      </c>
      <c r="AV1903" s="335" t="s">
        <v>83</v>
      </c>
      <c r="AW1903" s="335" t="s">
        <v>34</v>
      </c>
      <c r="AX1903" s="335" t="s">
        <v>76</v>
      </c>
      <c r="AY1903" s="337" t="s">
        <v>146</v>
      </c>
    </row>
    <row r="1904" spans="2:51" s="335" customFormat="1" ht="12">
      <c r="B1904" s="336"/>
      <c r="D1904" s="328" t="s">
        <v>155</v>
      </c>
      <c r="E1904" s="337" t="s">
        <v>1</v>
      </c>
      <c r="F1904" s="346" t="s">
        <v>3114</v>
      </c>
      <c r="H1904" s="339">
        <f>(0.6+3.9+0.6)*0.9</f>
        <v>4.59</v>
      </c>
      <c r="I1904" s="498"/>
      <c r="L1904" s="340"/>
      <c r="M1904" s="341"/>
      <c r="N1904" s="342"/>
      <c r="O1904" s="342"/>
      <c r="P1904" s="342"/>
      <c r="Q1904" s="342"/>
      <c r="R1904" s="342"/>
      <c r="S1904" s="342"/>
      <c r="T1904" s="343"/>
      <c r="AT1904" s="337" t="s">
        <v>155</v>
      </c>
      <c r="AU1904" s="337" t="s">
        <v>83</v>
      </c>
      <c r="AV1904" s="335" t="s">
        <v>83</v>
      </c>
      <c r="AW1904" s="335" t="s">
        <v>34</v>
      </c>
      <c r="AX1904" s="335" t="s">
        <v>76</v>
      </c>
      <c r="AY1904" s="337" t="s">
        <v>146</v>
      </c>
    </row>
    <row r="1905" spans="2:51" s="347" customFormat="1" ht="12">
      <c r="B1905" s="348"/>
      <c r="D1905" s="328" t="s">
        <v>155</v>
      </c>
      <c r="E1905" s="349" t="s">
        <v>1</v>
      </c>
      <c r="F1905" s="350" t="s">
        <v>157</v>
      </c>
      <c r="H1905" s="351">
        <f>SUM(H1888:H1904)</f>
        <v>199.8665</v>
      </c>
      <c r="I1905" s="499"/>
      <c r="L1905" s="352"/>
      <c r="M1905" s="353"/>
      <c r="N1905" s="354"/>
      <c r="O1905" s="354"/>
      <c r="P1905" s="354"/>
      <c r="Q1905" s="354"/>
      <c r="R1905" s="354"/>
      <c r="S1905" s="354"/>
      <c r="T1905" s="355"/>
      <c r="AT1905" s="349" t="s">
        <v>155</v>
      </c>
      <c r="AU1905" s="349" t="s">
        <v>83</v>
      </c>
      <c r="AV1905" s="347" t="s">
        <v>153</v>
      </c>
      <c r="AW1905" s="347" t="s">
        <v>34</v>
      </c>
      <c r="AX1905" s="347" t="s">
        <v>81</v>
      </c>
      <c r="AY1905" s="349" t="s">
        <v>146</v>
      </c>
    </row>
    <row r="1906" spans="1:65" s="225" customFormat="1" ht="64.5" customHeight="1">
      <c r="A1906" s="222"/>
      <c r="B1906" s="223"/>
      <c r="C1906" s="358">
        <v>386</v>
      </c>
      <c r="D1906" s="358" t="s">
        <v>208</v>
      </c>
      <c r="E1906" s="359" t="s">
        <v>1305</v>
      </c>
      <c r="F1906" s="360" t="s">
        <v>3766</v>
      </c>
      <c r="G1906" s="361" t="s">
        <v>151</v>
      </c>
      <c r="H1906" s="362">
        <f>H1907</f>
        <v>219.85315000000003</v>
      </c>
      <c r="I1906" s="80"/>
      <c r="J1906" s="363">
        <f>ROUND(I1906*H1906,2)</f>
        <v>0</v>
      </c>
      <c r="K1906" s="364"/>
      <c r="L1906" s="365"/>
      <c r="M1906" s="366" t="s">
        <v>1</v>
      </c>
      <c r="N1906" s="367" t="s">
        <v>42</v>
      </c>
      <c r="O1906" s="322">
        <v>0</v>
      </c>
      <c r="P1906" s="322">
        <f>O1906*H1906</f>
        <v>0</v>
      </c>
      <c r="Q1906" s="322">
        <v>0.02</v>
      </c>
      <c r="R1906" s="322">
        <f>Q1906*H1906</f>
        <v>4.397063000000001</v>
      </c>
      <c r="S1906" s="322">
        <v>0</v>
      </c>
      <c r="T1906" s="323">
        <f>S1906*H1906</f>
        <v>0</v>
      </c>
      <c r="U1906" s="222"/>
      <c r="V1906" s="222"/>
      <c r="W1906" s="222"/>
      <c r="X1906" s="222"/>
      <c r="Y1906" s="222"/>
      <c r="Z1906" s="222"/>
      <c r="AA1906" s="222"/>
      <c r="AB1906" s="222"/>
      <c r="AC1906" s="222"/>
      <c r="AD1906" s="222"/>
      <c r="AE1906" s="222"/>
      <c r="AR1906" s="324" t="s">
        <v>298</v>
      </c>
      <c r="AT1906" s="324" t="s">
        <v>208</v>
      </c>
      <c r="AU1906" s="324" t="s">
        <v>83</v>
      </c>
      <c r="AY1906" s="214" t="s">
        <v>146</v>
      </c>
      <c r="BE1906" s="325">
        <f>IF(N1906="základní",J1906,0)</f>
        <v>0</v>
      </c>
      <c r="BF1906" s="325">
        <f>IF(N1906="snížená",J1906,0)</f>
        <v>0</v>
      </c>
      <c r="BG1906" s="325">
        <f>IF(N1906="zákl. přenesená",J1906,0)</f>
        <v>0</v>
      </c>
      <c r="BH1906" s="325">
        <f>IF(N1906="sníž. přenesená",J1906,0)</f>
        <v>0</v>
      </c>
      <c r="BI1906" s="325">
        <f>IF(N1906="nulová",J1906,0)</f>
        <v>0</v>
      </c>
      <c r="BJ1906" s="214" t="s">
        <v>81</v>
      </c>
      <c r="BK1906" s="325">
        <f>ROUND(I1906*H1906,2)</f>
        <v>0</v>
      </c>
      <c r="BL1906" s="214" t="s">
        <v>212</v>
      </c>
      <c r="BM1906" s="324" t="s">
        <v>1306</v>
      </c>
    </row>
    <row r="1907" spans="2:51" s="335" customFormat="1" ht="12">
      <c r="B1907" s="336"/>
      <c r="D1907" s="328" t="s">
        <v>155</v>
      </c>
      <c r="F1907" s="346" t="s">
        <v>2886</v>
      </c>
      <c r="H1907" s="339">
        <f>H1886*1.1</f>
        <v>219.85315000000003</v>
      </c>
      <c r="I1907" s="498"/>
      <c r="L1907" s="340"/>
      <c r="M1907" s="341"/>
      <c r="N1907" s="342"/>
      <c r="O1907" s="342"/>
      <c r="P1907" s="342"/>
      <c r="Q1907" s="342"/>
      <c r="R1907" s="342"/>
      <c r="S1907" s="342"/>
      <c r="T1907" s="343"/>
      <c r="AT1907" s="337" t="s">
        <v>155</v>
      </c>
      <c r="AU1907" s="337" t="s">
        <v>83</v>
      </c>
      <c r="AV1907" s="335" t="s">
        <v>83</v>
      </c>
      <c r="AW1907" s="335" t="s">
        <v>3</v>
      </c>
      <c r="AX1907" s="335" t="s">
        <v>81</v>
      </c>
      <c r="AY1907" s="337" t="s">
        <v>146</v>
      </c>
    </row>
    <row r="1908" spans="1:65" s="225" customFormat="1" ht="21.75" customHeight="1">
      <c r="A1908" s="222"/>
      <c r="B1908" s="223"/>
      <c r="C1908" s="314">
        <v>387</v>
      </c>
      <c r="D1908" s="314" t="s">
        <v>148</v>
      </c>
      <c r="E1908" s="315"/>
      <c r="F1908" s="344" t="s">
        <v>3768</v>
      </c>
      <c r="G1908" s="317" t="s">
        <v>158</v>
      </c>
      <c r="H1908" s="318">
        <f>H1914</f>
        <v>30.16</v>
      </c>
      <c r="I1908" s="79"/>
      <c r="J1908" s="319">
        <f>ROUND(I1908*H1908,2)</f>
        <v>0</v>
      </c>
      <c r="K1908" s="316"/>
      <c r="L1908" s="229"/>
      <c r="M1908" s="320" t="s">
        <v>1</v>
      </c>
      <c r="N1908" s="321" t="s">
        <v>42</v>
      </c>
      <c r="O1908" s="322">
        <v>0.248</v>
      </c>
      <c r="P1908" s="322">
        <f>O1908*H1908</f>
        <v>7.47968</v>
      </c>
      <c r="Q1908" s="322">
        <v>0.00055</v>
      </c>
      <c r="R1908" s="322">
        <f>Q1908*H1908</f>
        <v>0.016588000000000002</v>
      </c>
      <c r="S1908" s="322">
        <v>0</v>
      </c>
      <c r="T1908" s="323">
        <f>S1908*H1908</f>
        <v>0</v>
      </c>
      <c r="U1908" s="222"/>
      <c r="V1908" s="222"/>
      <c r="W1908" s="222"/>
      <c r="X1908" s="222"/>
      <c r="Y1908" s="222"/>
      <c r="Z1908" s="222"/>
      <c r="AA1908" s="222"/>
      <c r="AB1908" s="222"/>
      <c r="AC1908" s="222"/>
      <c r="AD1908" s="222"/>
      <c r="AE1908" s="222"/>
      <c r="AR1908" s="324" t="s">
        <v>212</v>
      </c>
      <c r="AT1908" s="324" t="s">
        <v>148</v>
      </c>
      <c r="AU1908" s="324" t="s">
        <v>83</v>
      </c>
      <c r="AY1908" s="214" t="s">
        <v>146</v>
      </c>
      <c r="BE1908" s="325">
        <f>IF(N1908="základní",J1908,0)</f>
        <v>0</v>
      </c>
      <c r="BF1908" s="325">
        <f>IF(N1908="snížená",J1908,0)</f>
        <v>0</v>
      </c>
      <c r="BG1908" s="325">
        <f>IF(N1908="zákl. přenesená",J1908,0)</f>
        <v>0</v>
      </c>
      <c r="BH1908" s="325">
        <f>IF(N1908="sníž. přenesená",J1908,0)</f>
        <v>0</v>
      </c>
      <c r="BI1908" s="325">
        <f>IF(N1908="nulová",J1908,0)</f>
        <v>0</v>
      </c>
      <c r="BJ1908" s="214" t="s">
        <v>81</v>
      </c>
      <c r="BK1908" s="325">
        <f>ROUND(I1908*H1908,2)</f>
        <v>0</v>
      </c>
      <c r="BL1908" s="214" t="s">
        <v>212</v>
      </c>
      <c r="BM1908" s="324" t="s">
        <v>1307</v>
      </c>
    </row>
    <row r="1909" spans="2:51" s="335" customFormat="1" ht="12">
      <c r="B1909" s="336"/>
      <c r="D1909" s="328" t="s">
        <v>155</v>
      </c>
      <c r="E1909" s="337" t="s">
        <v>1</v>
      </c>
      <c r="F1909" s="346" t="s">
        <v>3115</v>
      </c>
      <c r="H1909" s="339">
        <f>2.05*2</f>
        <v>4.1</v>
      </c>
      <c r="I1909" s="498"/>
      <c r="L1909" s="340"/>
      <c r="M1909" s="341"/>
      <c r="N1909" s="342"/>
      <c r="O1909" s="342"/>
      <c r="P1909" s="342"/>
      <c r="Q1909" s="342"/>
      <c r="R1909" s="342"/>
      <c r="S1909" s="342"/>
      <c r="T1909" s="343"/>
      <c r="AT1909" s="337" t="s">
        <v>155</v>
      </c>
      <c r="AU1909" s="337" t="s">
        <v>83</v>
      </c>
      <c r="AV1909" s="335" t="s">
        <v>83</v>
      </c>
      <c r="AW1909" s="335" t="s">
        <v>34</v>
      </c>
      <c r="AX1909" s="335" t="s">
        <v>76</v>
      </c>
      <c r="AY1909" s="337" t="s">
        <v>146</v>
      </c>
    </row>
    <row r="1910" spans="2:51" s="335" customFormat="1" ht="12">
      <c r="B1910" s="336"/>
      <c r="D1910" s="328" t="s">
        <v>155</v>
      </c>
      <c r="E1910" s="337" t="s">
        <v>1</v>
      </c>
      <c r="F1910" s="346" t="s">
        <v>3116</v>
      </c>
      <c r="H1910" s="339">
        <f>2.05*3</f>
        <v>6.1499999999999995</v>
      </c>
      <c r="I1910" s="498"/>
      <c r="L1910" s="340"/>
      <c r="M1910" s="341"/>
      <c r="N1910" s="342"/>
      <c r="O1910" s="342"/>
      <c r="P1910" s="342"/>
      <c r="Q1910" s="342"/>
      <c r="R1910" s="342"/>
      <c r="S1910" s="342"/>
      <c r="T1910" s="343"/>
      <c r="AT1910" s="337" t="s">
        <v>155</v>
      </c>
      <c r="AU1910" s="337" t="s">
        <v>83</v>
      </c>
      <c r="AV1910" s="335" t="s">
        <v>83</v>
      </c>
      <c r="AW1910" s="335" t="s">
        <v>34</v>
      </c>
      <c r="AX1910" s="335" t="s">
        <v>76</v>
      </c>
      <c r="AY1910" s="337" t="s">
        <v>146</v>
      </c>
    </row>
    <row r="1911" spans="2:51" s="335" customFormat="1" ht="12">
      <c r="B1911" s="336"/>
      <c r="D1911" s="328" t="s">
        <v>155</v>
      </c>
      <c r="E1911" s="337" t="s">
        <v>1</v>
      </c>
      <c r="F1911" s="346" t="s">
        <v>3117</v>
      </c>
      <c r="H1911" s="339">
        <f>2.05</f>
        <v>2.05</v>
      </c>
      <c r="I1911" s="498"/>
      <c r="L1911" s="340"/>
      <c r="M1911" s="341"/>
      <c r="N1911" s="342"/>
      <c r="O1911" s="342"/>
      <c r="P1911" s="342"/>
      <c r="Q1911" s="342"/>
      <c r="R1911" s="342"/>
      <c r="S1911" s="342"/>
      <c r="T1911" s="343"/>
      <c r="AT1911" s="337" t="s">
        <v>155</v>
      </c>
      <c r="AU1911" s="337" t="s">
        <v>83</v>
      </c>
      <c r="AV1911" s="335" t="s">
        <v>83</v>
      </c>
      <c r="AW1911" s="335" t="s">
        <v>34</v>
      </c>
      <c r="AX1911" s="335" t="s">
        <v>76</v>
      </c>
      <c r="AY1911" s="337" t="s">
        <v>146</v>
      </c>
    </row>
    <row r="1912" spans="2:51" s="335" customFormat="1" ht="12">
      <c r="B1912" s="336"/>
      <c r="D1912" s="328" t="s">
        <v>155</v>
      </c>
      <c r="E1912" s="337" t="s">
        <v>1</v>
      </c>
      <c r="F1912" s="346" t="s">
        <v>3118</v>
      </c>
      <c r="H1912" s="339">
        <f>2.7*5+0.63*2+0.6</f>
        <v>15.36</v>
      </c>
      <c r="I1912" s="498"/>
      <c r="L1912" s="340"/>
      <c r="M1912" s="341"/>
      <c r="N1912" s="342"/>
      <c r="O1912" s="342"/>
      <c r="P1912" s="342"/>
      <c r="Q1912" s="342"/>
      <c r="R1912" s="342"/>
      <c r="S1912" s="342"/>
      <c r="T1912" s="343"/>
      <c r="AT1912" s="337" t="s">
        <v>155</v>
      </c>
      <c r="AU1912" s="337" t="s">
        <v>83</v>
      </c>
      <c r="AV1912" s="335" t="s">
        <v>83</v>
      </c>
      <c r="AW1912" s="335" t="s">
        <v>34</v>
      </c>
      <c r="AX1912" s="335" t="s">
        <v>76</v>
      </c>
      <c r="AY1912" s="337" t="s">
        <v>146</v>
      </c>
    </row>
    <row r="1913" spans="2:51" s="335" customFormat="1" ht="12">
      <c r="B1913" s="336"/>
      <c r="D1913" s="328" t="s">
        <v>155</v>
      </c>
      <c r="E1913" s="337" t="s">
        <v>1</v>
      </c>
      <c r="F1913" s="346" t="s">
        <v>3119</v>
      </c>
      <c r="H1913" s="339">
        <v>2.5</v>
      </c>
      <c r="I1913" s="498"/>
      <c r="L1913" s="340"/>
      <c r="M1913" s="341"/>
      <c r="N1913" s="342"/>
      <c r="O1913" s="342"/>
      <c r="P1913" s="342"/>
      <c r="Q1913" s="342"/>
      <c r="R1913" s="342"/>
      <c r="S1913" s="342"/>
      <c r="T1913" s="343"/>
      <c r="AT1913" s="337" t="s">
        <v>155</v>
      </c>
      <c r="AU1913" s="337" t="s">
        <v>83</v>
      </c>
      <c r="AV1913" s="335" t="s">
        <v>83</v>
      </c>
      <c r="AW1913" s="335" t="s">
        <v>34</v>
      </c>
      <c r="AX1913" s="335" t="s">
        <v>76</v>
      </c>
      <c r="AY1913" s="337" t="s">
        <v>146</v>
      </c>
    </row>
    <row r="1914" spans="2:51" s="347" customFormat="1" ht="12">
      <c r="B1914" s="348"/>
      <c r="D1914" s="328" t="s">
        <v>155</v>
      </c>
      <c r="E1914" s="349" t="s">
        <v>1</v>
      </c>
      <c r="F1914" s="350" t="s">
        <v>157</v>
      </c>
      <c r="H1914" s="351">
        <f>SUM(H1909:H1913)</f>
        <v>30.16</v>
      </c>
      <c r="I1914" s="499"/>
      <c r="L1914" s="352"/>
      <c r="M1914" s="353"/>
      <c r="N1914" s="354"/>
      <c r="O1914" s="354"/>
      <c r="P1914" s="354"/>
      <c r="Q1914" s="354"/>
      <c r="R1914" s="354"/>
      <c r="S1914" s="354"/>
      <c r="T1914" s="355"/>
      <c r="AT1914" s="349" t="s">
        <v>155</v>
      </c>
      <c r="AU1914" s="349" t="s">
        <v>83</v>
      </c>
      <c r="AV1914" s="347" t="s">
        <v>153</v>
      </c>
      <c r="AW1914" s="347" t="s">
        <v>34</v>
      </c>
      <c r="AX1914" s="347" t="s">
        <v>81</v>
      </c>
      <c r="AY1914" s="349" t="s">
        <v>146</v>
      </c>
    </row>
    <row r="1915" spans="1:65" s="225" customFormat="1" ht="70.5" customHeight="1">
      <c r="A1915" s="222"/>
      <c r="B1915" s="223"/>
      <c r="C1915" s="314">
        <v>388</v>
      </c>
      <c r="D1915" s="314" t="s">
        <v>148</v>
      </c>
      <c r="E1915" s="315"/>
      <c r="F1915" s="344" t="s">
        <v>3289</v>
      </c>
      <c r="G1915" s="317" t="s">
        <v>151</v>
      </c>
      <c r="H1915" s="318">
        <f>H1925</f>
        <v>34.8675</v>
      </c>
      <c r="I1915" s="79"/>
      <c r="J1915" s="319">
        <f>ROUND(I1915*H1915,2)</f>
        <v>0</v>
      </c>
      <c r="K1915" s="316"/>
      <c r="L1915" s="229"/>
      <c r="M1915" s="320" t="s">
        <v>1</v>
      </c>
      <c r="N1915" s="321" t="s">
        <v>42</v>
      </c>
      <c r="O1915" s="322">
        <v>0.278</v>
      </c>
      <c r="P1915" s="322">
        <f>O1915*H1915</f>
        <v>9.693165</v>
      </c>
      <c r="Q1915" s="322">
        <v>0.0015</v>
      </c>
      <c r="R1915" s="322">
        <f>Q1915*H1915</f>
        <v>0.05230125</v>
      </c>
      <c r="S1915" s="322">
        <v>0</v>
      </c>
      <c r="T1915" s="323">
        <f>S1915*H1915</f>
        <v>0</v>
      </c>
      <c r="U1915" s="222"/>
      <c r="V1915" s="222"/>
      <c r="W1915" s="222"/>
      <c r="X1915" s="222"/>
      <c r="Y1915" s="222"/>
      <c r="Z1915" s="222"/>
      <c r="AA1915" s="222"/>
      <c r="AB1915" s="222"/>
      <c r="AC1915" s="222"/>
      <c r="AD1915" s="222"/>
      <c r="AE1915" s="222"/>
      <c r="AR1915" s="324" t="s">
        <v>212</v>
      </c>
      <c r="AT1915" s="324" t="s">
        <v>148</v>
      </c>
      <c r="AU1915" s="324" t="s">
        <v>83</v>
      </c>
      <c r="AY1915" s="214" t="s">
        <v>146</v>
      </c>
      <c r="BE1915" s="325">
        <f>IF(N1915="základní",J1915,0)</f>
        <v>0</v>
      </c>
      <c r="BF1915" s="325">
        <f>IF(N1915="snížená",J1915,0)</f>
        <v>0</v>
      </c>
      <c r="BG1915" s="325">
        <f>IF(N1915="zákl. přenesená",J1915,0)</f>
        <v>0</v>
      </c>
      <c r="BH1915" s="325">
        <f>IF(N1915="sníž. přenesená",J1915,0)</f>
        <v>0</v>
      </c>
      <c r="BI1915" s="325">
        <f>IF(N1915="nulová",J1915,0)</f>
        <v>0</v>
      </c>
      <c r="BJ1915" s="214" t="s">
        <v>81</v>
      </c>
      <c r="BK1915" s="325">
        <f>ROUND(I1915*H1915,2)</f>
        <v>0</v>
      </c>
      <c r="BL1915" s="214" t="s">
        <v>212</v>
      </c>
      <c r="BM1915" s="324" t="s">
        <v>1239</v>
      </c>
    </row>
    <row r="1916" spans="2:51" s="335" customFormat="1" ht="22.5">
      <c r="B1916" s="336"/>
      <c r="D1916" s="328" t="s">
        <v>155</v>
      </c>
      <c r="E1916" s="337" t="s">
        <v>1</v>
      </c>
      <c r="F1916" s="346" t="s">
        <v>3291</v>
      </c>
      <c r="H1916" s="339">
        <f>(0.9*2+0.95)*2.2+((2.85+2.675)*2-0.95-0.9-0.8+0.4*2)*0.1</f>
        <v>6.970000000000001</v>
      </c>
      <c r="I1916" s="498"/>
      <c r="L1916" s="340"/>
      <c r="M1916" s="346"/>
      <c r="N1916" s="342"/>
      <c r="O1916" s="342"/>
      <c r="P1916" s="342"/>
      <c r="Q1916" s="342"/>
      <c r="R1916" s="342"/>
      <c r="S1916" s="342"/>
      <c r="T1916" s="343"/>
      <c r="AT1916" s="337" t="s">
        <v>155</v>
      </c>
      <c r="AU1916" s="337" t="s">
        <v>83</v>
      </c>
      <c r="AV1916" s="335" t="s">
        <v>83</v>
      </c>
      <c r="AW1916" s="335" t="s">
        <v>34</v>
      </c>
      <c r="AX1916" s="335" t="s">
        <v>76</v>
      </c>
      <c r="AY1916" s="337" t="s">
        <v>146</v>
      </c>
    </row>
    <row r="1917" spans="2:51" s="335" customFormat="1" ht="12">
      <c r="B1917" s="336"/>
      <c r="D1917" s="328" t="s">
        <v>155</v>
      </c>
      <c r="E1917" s="337"/>
      <c r="F1917" s="346" t="s">
        <v>3290</v>
      </c>
      <c r="H1917" s="339">
        <f>((1.2+1.825)*2-0.8)*0.1</f>
        <v>0.525</v>
      </c>
      <c r="I1917" s="498"/>
      <c r="L1917" s="340"/>
      <c r="M1917" s="346"/>
      <c r="N1917" s="342"/>
      <c r="O1917" s="342"/>
      <c r="P1917" s="342"/>
      <c r="Q1917" s="342"/>
      <c r="R1917" s="342"/>
      <c r="S1917" s="342"/>
      <c r="T1917" s="343"/>
      <c r="AT1917" s="337"/>
      <c r="AU1917" s="337"/>
      <c r="AY1917" s="337"/>
    </row>
    <row r="1918" spans="2:51" s="335" customFormat="1" ht="12">
      <c r="B1918" s="336"/>
      <c r="D1918" s="328" t="s">
        <v>155</v>
      </c>
      <c r="E1918" s="337"/>
      <c r="F1918" s="346" t="s">
        <v>3292</v>
      </c>
      <c r="H1918" s="339">
        <f>((1.15+1.95)*2-0.9)*0.1</f>
        <v>0.5299999999999999</v>
      </c>
      <c r="I1918" s="498"/>
      <c r="L1918" s="340"/>
      <c r="M1918" s="346"/>
      <c r="N1918" s="342"/>
      <c r="O1918" s="342"/>
      <c r="P1918" s="342"/>
      <c r="Q1918" s="342"/>
      <c r="R1918" s="342"/>
      <c r="S1918" s="342"/>
      <c r="T1918" s="343"/>
      <c r="AT1918" s="337"/>
      <c r="AU1918" s="337"/>
      <c r="AY1918" s="337"/>
    </row>
    <row r="1919" spans="2:51" s="335" customFormat="1" ht="12">
      <c r="B1919" s="336"/>
      <c r="D1919" s="328" t="s">
        <v>155</v>
      </c>
      <c r="E1919" s="337"/>
      <c r="F1919" s="346" t="s">
        <v>3293</v>
      </c>
      <c r="H1919" s="339">
        <f>((4.15+1.95+0.6)*2-0.9*2-0.8*2)*0.1</f>
        <v>1</v>
      </c>
      <c r="I1919" s="498"/>
      <c r="L1919" s="340"/>
      <c r="M1919" s="346"/>
      <c r="N1919" s="342"/>
      <c r="O1919" s="342"/>
      <c r="P1919" s="342"/>
      <c r="Q1919" s="342"/>
      <c r="R1919" s="342"/>
      <c r="S1919" s="342"/>
      <c r="T1919" s="343"/>
      <c r="AT1919" s="337"/>
      <c r="AU1919" s="337"/>
      <c r="AY1919" s="337"/>
    </row>
    <row r="1920" spans="2:51" s="335" customFormat="1" ht="12">
      <c r="B1920" s="336"/>
      <c r="D1920" s="328" t="s">
        <v>155</v>
      </c>
      <c r="E1920" s="337"/>
      <c r="F1920" s="346" t="s">
        <v>3294</v>
      </c>
      <c r="H1920" s="339">
        <f>((1.55+1)-0.8)*0.1</f>
        <v>0.175</v>
      </c>
      <c r="I1920" s="498"/>
      <c r="L1920" s="340"/>
      <c r="M1920" s="346"/>
      <c r="N1920" s="342"/>
      <c r="O1920" s="342"/>
      <c r="P1920" s="342"/>
      <c r="Q1920" s="342"/>
      <c r="R1920" s="342"/>
      <c r="S1920" s="342"/>
      <c r="T1920" s="343"/>
      <c r="AT1920" s="337"/>
      <c r="AU1920" s="337"/>
      <c r="AY1920" s="337"/>
    </row>
    <row r="1921" spans="2:51" s="335" customFormat="1" ht="12">
      <c r="B1921" s="336"/>
      <c r="D1921" s="328" t="s">
        <v>155</v>
      </c>
      <c r="E1921" s="337"/>
      <c r="F1921" s="346" t="s">
        <v>3295</v>
      </c>
      <c r="H1921" s="339">
        <f>((1.55+1)-0.8)*0.1</f>
        <v>0.175</v>
      </c>
      <c r="I1921" s="498"/>
      <c r="L1921" s="340"/>
      <c r="M1921" s="346"/>
      <c r="N1921" s="342"/>
      <c r="O1921" s="342"/>
      <c r="P1921" s="342"/>
      <c r="Q1921" s="342"/>
      <c r="R1921" s="342"/>
      <c r="S1921" s="342"/>
      <c r="T1921" s="343"/>
      <c r="AT1921" s="337"/>
      <c r="AU1921" s="337"/>
      <c r="AY1921" s="337"/>
    </row>
    <row r="1922" spans="2:51" s="335" customFormat="1" ht="12">
      <c r="B1922" s="336"/>
      <c r="D1922" s="328" t="s">
        <v>155</v>
      </c>
      <c r="E1922" s="337" t="s">
        <v>1</v>
      </c>
      <c r="F1922" s="346" t="s">
        <v>3296</v>
      </c>
      <c r="H1922" s="339">
        <f>(0.9*6+0.95*3)*2.2+(3.025+1.6*2-0.8)*0.1</f>
        <v>18.692500000000003</v>
      </c>
      <c r="I1922" s="498"/>
      <c r="L1922" s="340"/>
      <c r="M1922" s="346"/>
      <c r="N1922" s="342"/>
      <c r="O1922" s="342"/>
      <c r="P1922" s="342"/>
      <c r="Q1922" s="342"/>
      <c r="R1922" s="342"/>
      <c r="S1922" s="342"/>
      <c r="T1922" s="343"/>
      <c r="AT1922" s="337" t="s">
        <v>155</v>
      </c>
      <c r="AU1922" s="337" t="s">
        <v>83</v>
      </c>
      <c r="AV1922" s="335" t="s">
        <v>83</v>
      </c>
      <c r="AW1922" s="335" t="s">
        <v>34</v>
      </c>
      <c r="AX1922" s="335" t="s">
        <v>76</v>
      </c>
      <c r="AY1922" s="337" t="s">
        <v>146</v>
      </c>
    </row>
    <row r="1923" spans="2:51" s="335" customFormat="1" ht="12">
      <c r="B1923" s="336"/>
      <c r="D1923" s="328" t="s">
        <v>155</v>
      </c>
      <c r="E1923" s="337"/>
      <c r="F1923" s="346" t="s">
        <v>3297</v>
      </c>
      <c r="H1923" s="339">
        <f>((4.9+6.075)*2-0.9)*0.1</f>
        <v>2.1050000000000004</v>
      </c>
      <c r="I1923" s="498"/>
      <c r="L1923" s="340"/>
      <c r="M1923" s="346"/>
      <c r="N1923" s="342"/>
      <c r="O1923" s="342"/>
      <c r="P1923" s="342"/>
      <c r="Q1923" s="342"/>
      <c r="R1923" s="342"/>
      <c r="S1923" s="342"/>
      <c r="T1923" s="343"/>
      <c r="AT1923" s="337"/>
      <c r="AU1923" s="337"/>
      <c r="AY1923" s="337"/>
    </row>
    <row r="1924" spans="2:51" s="335" customFormat="1" ht="12">
      <c r="B1924" s="336"/>
      <c r="D1924" s="328" t="s">
        <v>155</v>
      </c>
      <c r="E1924" s="337" t="s">
        <v>1</v>
      </c>
      <c r="F1924" s="346" t="s">
        <v>3298</v>
      </c>
      <c r="H1924" s="339">
        <f>(0.95*2)*2.2+((2.275+1.65)*2-0.8-0.95*2)*0.1</f>
        <v>4.694999999999999</v>
      </c>
      <c r="I1924" s="498"/>
      <c r="L1924" s="340"/>
      <c r="M1924" s="346"/>
      <c r="N1924" s="342"/>
      <c r="O1924" s="342"/>
      <c r="P1924" s="342"/>
      <c r="Q1924" s="342"/>
      <c r="R1924" s="342"/>
      <c r="S1924" s="342"/>
      <c r="T1924" s="343"/>
      <c r="AT1924" s="337" t="s">
        <v>155</v>
      </c>
      <c r="AU1924" s="337" t="s">
        <v>83</v>
      </c>
      <c r="AV1924" s="335" t="s">
        <v>83</v>
      </c>
      <c r="AW1924" s="335" t="s">
        <v>34</v>
      </c>
      <c r="AX1924" s="335" t="s">
        <v>76</v>
      </c>
      <c r="AY1924" s="337" t="s">
        <v>146</v>
      </c>
    </row>
    <row r="1925" spans="2:51" s="347" customFormat="1" ht="12">
      <c r="B1925" s="348"/>
      <c r="D1925" s="328" t="s">
        <v>155</v>
      </c>
      <c r="E1925" s="349" t="s">
        <v>1</v>
      </c>
      <c r="F1925" s="350" t="s">
        <v>157</v>
      </c>
      <c r="H1925" s="351">
        <f>SUM(H1916:H1924)</f>
        <v>34.8675</v>
      </c>
      <c r="I1925" s="499"/>
      <c r="L1925" s="352"/>
      <c r="M1925" s="346"/>
      <c r="N1925" s="354"/>
      <c r="O1925" s="354"/>
      <c r="P1925" s="354"/>
      <c r="Q1925" s="354"/>
      <c r="R1925" s="354"/>
      <c r="S1925" s="354"/>
      <c r="T1925" s="355"/>
      <c r="AT1925" s="349" t="s">
        <v>155</v>
      </c>
      <c r="AU1925" s="349" t="s">
        <v>83</v>
      </c>
      <c r="AV1925" s="347" t="s">
        <v>153</v>
      </c>
      <c r="AW1925" s="347" t="s">
        <v>34</v>
      </c>
      <c r="AX1925" s="347" t="s">
        <v>81</v>
      </c>
      <c r="AY1925" s="349" t="s">
        <v>146</v>
      </c>
    </row>
    <row r="1926" spans="1:65" s="225" customFormat="1" ht="24.2" customHeight="1">
      <c r="A1926" s="222"/>
      <c r="B1926" s="223"/>
      <c r="C1926" s="314">
        <v>389</v>
      </c>
      <c r="D1926" s="314" t="s">
        <v>148</v>
      </c>
      <c r="E1926" s="315" t="s">
        <v>1308</v>
      </c>
      <c r="F1926" s="316" t="s">
        <v>3120</v>
      </c>
      <c r="G1926" s="317" t="s">
        <v>194</v>
      </c>
      <c r="H1926" s="318">
        <f>R1871</f>
        <v>6.318750750000001</v>
      </c>
      <c r="I1926" s="79"/>
      <c r="J1926" s="319">
        <f>ROUND(I1926*H1926,2)</f>
        <v>0</v>
      </c>
      <c r="K1926" s="316"/>
      <c r="L1926" s="229"/>
      <c r="M1926" s="346"/>
      <c r="N1926" s="321" t="s">
        <v>42</v>
      </c>
      <c r="O1926" s="322">
        <v>0</v>
      </c>
      <c r="P1926" s="322">
        <f>O1926*H1926</f>
        <v>0</v>
      </c>
      <c r="Q1926" s="322"/>
      <c r="R1926" s="322"/>
      <c r="S1926" s="322"/>
      <c r="T1926" s="323"/>
      <c r="U1926" s="222"/>
      <c r="V1926" s="222"/>
      <c r="W1926" s="222"/>
      <c r="X1926" s="222"/>
      <c r="Y1926" s="222"/>
      <c r="Z1926" s="222"/>
      <c r="AA1926" s="222"/>
      <c r="AB1926" s="222"/>
      <c r="AC1926" s="222"/>
      <c r="AD1926" s="222"/>
      <c r="AE1926" s="222"/>
      <c r="AR1926" s="324" t="s">
        <v>212</v>
      </c>
      <c r="AT1926" s="324" t="s">
        <v>148</v>
      </c>
      <c r="AU1926" s="324" t="s">
        <v>83</v>
      </c>
      <c r="AY1926" s="214" t="s">
        <v>146</v>
      </c>
      <c r="BE1926" s="325">
        <f>IF(N1926="základní",J1926,0)</f>
        <v>0</v>
      </c>
      <c r="BF1926" s="325">
        <f>IF(N1926="snížená",J1926,0)</f>
        <v>0</v>
      </c>
      <c r="BG1926" s="325">
        <f>IF(N1926="zákl. přenesená",J1926,0)</f>
        <v>0</v>
      </c>
      <c r="BH1926" s="325">
        <f>IF(N1926="sníž. přenesená",J1926,0)</f>
        <v>0</v>
      </c>
      <c r="BI1926" s="325">
        <f>IF(N1926="nulová",J1926,0)</f>
        <v>0</v>
      </c>
      <c r="BJ1926" s="214" t="s">
        <v>81</v>
      </c>
      <c r="BK1926" s="325">
        <f>ROUND(I1926*H1926,2)</f>
        <v>0</v>
      </c>
      <c r="BL1926" s="214" t="s">
        <v>212</v>
      </c>
      <c r="BM1926" s="324" t="s">
        <v>1309</v>
      </c>
    </row>
    <row r="1927" spans="2:63" s="297" customFormat="1" ht="22.9" customHeight="1">
      <c r="B1927" s="298"/>
      <c r="D1927" s="299" t="s">
        <v>75</v>
      </c>
      <c r="E1927" s="310" t="s">
        <v>1310</v>
      </c>
      <c r="F1927" s="310" t="s">
        <v>1311</v>
      </c>
      <c r="I1927" s="501"/>
      <c r="J1927" s="311">
        <f>SUM(J1928:J2015)</f>
        <v>0</v>
      </c>
      <c r="L1927" s="312"/>
      <c r="M1927" s="303"/>
      <c r="N1927" s="304"/>
      <c r="O1927" s="304"/>
      <c r="P1927" s="305">
        <f>SUM(P1928:P2015)</f>
        <v>444.41540031999995</v>
      </c>
      <c r="Q1927" s="304"/>
      <c r="R1927" s="305">
        <f>SUM(R1928:R2015)</f>
        <v>0.32059766673763995</v>
      </c>
      <c r="S1927" s="304"/>
      <c r="T1927" s="313">
        <f>SUM(T1928:T2015)</f>
        <v>0</v>
      </c>
      <c r="AR1927" s="299" t="s">
        <v>83</v>
      </c>
      <c r="AT1927" s="308" t="s">
        <v>75</v>
      </c>
      <c r="AU1927" s="308" t="s">
        <v>81</v>
      </c>
      <c r="AY1927" s="299" t="s">
        <v>146</v>
      </c>
      <c r="BK1927" s="309">
        <f>SUM(BK1928:BK2015)</f>
        <v>0</v>
      </c>
    </row>
    <row r="1928" spans="1:65" s="225" customFormat="1" ht="24.2" customHeight="1">
      <c r="A1928" s="222"/>
      <c r="B1928" s="223"/>
      <c r="C1928" s="314">
        <v>390</v>
      </c>
      <c r="D1928" s="314" t="s">
        <v>148</v>
      </c>
      <c r="E1928" s="315"/>
      <c r="F1928" s="316" t="s">
        <v>3157</v>
      </c>
      <c r="G1928" s="317" t="s">
        <v>151</v>
      </c>
      <c r="H1928" s="318">
        <f>H1962</f>
        <v>1290.3932</v>
      </c>
      <c r="I1928" s="79"/>
      <c r="J1928" s="319">
        <f>ROUND(I1928*H1928,2)</f>
        <v>0</v>
      </c>
      <c r="K1928" s="316"/>
      <c r="L1928" s="229"/>
      <c r="M1928" s="320" t="s">
        <v>1</v>
      </c>
      <c r="N1928" s="321" t="s">
        <v>42</v>
      </c>
      <c r="O1928" s="322">
        <v>0.291</v>
      </c>
      <c r="P1928" s="322">
        <f>O1928*H1928</f>
        <v>375.50442119999997</v>
      </c>
      <c r="Q1928" s="322">
        <v>0.000216</v>
      </c>
      <c r="R1928" s="322">
        <f>Q1928*H1928</f>
        <v>0.27872493119999997</v>
      </c>
      <c r="S1928" s="322">
        <v>0</v>
      </c>
      <c r="T1928" s="323">
        <f>S1928*H1928</f>
        <v>0</v>
      </c>
      <c r="U1928" s="222"/>
      <c r="V1928" s="222"/>
      <c r="W1928" s="222"/>
      <c r="X1928" s="222"/>
      <c r="Y1928" s="222"/>
      <c r="Z1928" s="222"/>
      <c r="AA1928" s="222"/>
      <c r="AB1928" s="222"/>
      <c r="AC1928" s="222"/>
      <c r="AD1928" s="222"/>
      <c r="AE1928" s="222"/>
      <c r="AR1928" s="324" t="s">
        <v>212</v>
      </c>
      <c r="AT1928" s="324" t="s">
        <v>148</v>
      </c>
      <c r="AU1928" s="324" t="s">
        <v>83</v>
      </c>
      <c r="AY1928" s="214" t="s">
        <v>146</v>
      </c>
      <c r="BE1928" s="325">
        <f>IF(N1928="základní",J1928,0)</f>
        <v>0</v>
      </c>
      <c r="BF1928" s="325">
        <f>IF(N1928="snížená",J1928,0)</f>
        <v>0</v>
      </c>
      <c r="BG1928" s="325">
        <f>IF(N1928="zákl. přenesená",J1928,0)</f>
        <v>0</v>
      </c>
      <c r="BH1928" s="325">
        <f>IF(N1928="sníž. přenesená",J1928,0)</f>
        <v>0</v>
      </c>
      <c r="BI1928" s="325">
        <f>IF(N1928="nulová",J1928,0)</f>
        <v>0</v>
      </c>
      <c r="BJ1928" s="214" t="s">
        <v>81</v>
      </c>
      <c r="BK1928" s="325">
        <f>ROUND(I1928*H1928,2)</f>
        <v>0</v>
      </c>
      <c r="BL1928" s="214" t="s">
        <v>212</v>
      </c>
      <c r="BM1928" s="324" t="s">
        <v>1322</v>
      </c>
    </row>
    <row r="1929" spans="2:51" s="326" customFormat="1" ht="12">
      <c r="B1929" s="327"/>
      <c r="D1929" s="328" t="s">
        <v>155</v>
      </c>
      <c r="E1929" s="329" t="s">
        <v>1</v>
      </c>
      <c r="F1929" s="330" t="s">
        <v>903</v>
      </c>
      <c r="H1929" s="329" t="s">
        <v>1</v>
      </c>
      <c r="I1929" s="497"/>
      <c r="L1929" s="331"/>
      <c r="M1929" s="332"/>
      <c r="N1929" s="333"/>
      <c r="O1929" s="333"/>
      <c r="P1929" s="333"/>
      <c r="Q1929" s="333"/>
      <c r="R1929" s="333"/>
      <c r="S1929" s="333"/>
      <c r="T1929" s="334"/>
      <c r="AT1929" s="329" t="s">
        <v>155</v>
      </c>
      <c r="AU1929" s="329" t="s">
        <v>83</v>
      </c>
      <c r="AV1929" s="326" t="s">
        <v>81</v>
      </c>
      <c r="AW1929" s="326" t="s">
        <v>34</v>
      </c>
      <c r="AX1929" s="326" t="s">
        <v>76</v>
      </c>
      <c r="AY1929" s="329" t="s">
        <v>146</v>
      </c>
    </row>
    <row r="1930" spans="2:51" s="335" customFormat="1" ht="12">
      <c r="B1930" s="336"/>
      <c r="D1930" s="328" t="s">
        <v>155</v>
      </c>
      <c r="E1930" s="337" t="s">
        <v>1</v>
      </c>
      <c r="F1930" s="338" t="s">
        <v>1313</v>
      </c>
      <c r="H1930" s="339">
        <f>2*12*(0.1+0.22)*2</f>
        <v>15.36</v>
      </c>
      <c r="I1930" s="498"/>
      <c r="L1930" s="340"/>
      <c r="M1930" s="341"/>
      <c r="N1930" s="342"/>
      <c r="O1930" s="342"/>
      <c r="P1930" s="342"/>
      <c r="Q1930" s="342"/>
      <c r="R1930" s="342"/>
      <c r="S1930" s="342"/>
      <c r="T1930" s="343"/>
      <c r="AT1930" s="337" t="s">
        <v>155</v>
      </c>
      <c r="AU1930" s="337" t="s">
        <v>83</v>
      </c>
      <c r="AV1930" s="335" t="s">
        <v>83</v>
      </c>
      <c r="AW1930" s="335" t="s">
        <v>34</v>
      </c>
      <c r="AX1930" s="335" t="s">
        <v>76</v>
      </c>
      <c r="AY1930" s="337" t="s">
        <v>146</v>
      </c>
    </row>
    <row r="1931" spans="2:51" s="326" customFormat="1" ht="12">
      <c r="B1931" s="327"/>
      <c r="D1931" s="328" t="s">
        <v>155</v>
      </c>
      <c r="E1931" s="329" t="s">
        <v>1</v>
      </c>
      <c r="F1931" s="330" t="s">
        <v>3121</v>
      </c>
      <c r="H1931" s="329" t="s">
        <v>1</v>
      </c>
      <c r="I1931" s="497"/>
      <c r="L1931" s="331"/>
      <c r="M1931" s="332"/>
      <c r="N1931" s="333"/>
      <c r="O1931" s="333"/>
      <c r="P1931" s="333"/>
      <c r="Q1931" s="333"/>
      <c r="R1931" s="333"/>
      <c r="S1931" s="333"/>
      <c r="T1931" s="334"/>
      <c r="AT1931" s="329" t="s">
        <v>155</v>
      </c>
      <c r="AU1931" s="329" t="s">
        <v>83</v>
      </c>
      <c r="AV1931" s="326" t="s">
        <v>81</v>
      </c>
      <c r="AW1931" s="326" t="s">
        <v>34</v>
      </c>
      <c r="AX1931" s="326" t="s">
        <v>76</v>
      </c>
      <c r="AY1931" s="329" t="s">
        <v>146</v>
      </c>
    </row>
    <row r="1932" spans="2:51" s="335" customFormat="1" ht="12">
      <c r="B1932" s="336"/>
      <c r="D1932" s="328" t="s">
        <v>155</v>
      </c>
      <c r="E1932" s="337" t="s">
        <v>1</v>
      </c>
      <c r="F1932" s="338" t="s">
        <v>3122</v>
      </c>
      <c r="H1932" s="339">
        <f>(82*7.8+75*7.8+(18+20)*(1+7.8)/2)*(0.08+0.18)*2</f>
        <v>723.736</v>
      </c>
      <c r="I1932" s="498"/>
      <c r="L1932" s="340"/>
      <c r="M1932" s="341"/>
      <c r="N1932" s="342"/>
      <c r="O1932" s="342"/>
      <c r="P1932" s="342"/>
      <c r="Q1932" s="342"/>
      <c r="R1932" s="342"/>
      <c r="S1932" s="342"/>
      <c r="T1932" s="343"/>
      <c r="AT1932" s="337" t="s">
        <v>155</v>
      </c>
      <c r="AU1932" s="337" t="s">
        <v>83</v>
      </c>
      <c r="AV1932" s="335" t="s">
        <v>83</v>
      </c>
      <c r="AW1932" s="335" t="s">
        <v>34</v>
      </c>
      <c r="AX1932" s="335" t="s">
        <v>76</v>
      </c>
      <c r="AY1932" s="337" t="s">
        <v>146</v>
      </c>
    </row>
    <row r="1933" spans="2:51" s="326" customFormat="1" ht="12">
      <c r="B1933" s="327"/>
      <c r="D1933" s="328" t="s">
        <v>155</v>
      </c>
      <c r="E1933" s="329" t="s">
        <v>1</v>
      </c>
      <c r="F1933" s="330" t="s">
        <v>907</v>
      </c>
      <c r="H1933" s="329" t="s">
        <v>1</v>
      </c>
      <c r="I1933" s="497"/>
      <c r="L1933" s="331"/>
      <c r="M1933" s="332"/>
      <c r="N1933" s="333"/>
      <c r="O1933" s="333"/>
      <c r="P1933" s="333"/>
      <c r="Q1933" s="333"/>
      <c r="R1933" s="333"/>
      <c r="S1933" s="333"/>
      <c r="T1933" s="334"/>
      <c r="AT1933" s="329" t="s">
        <v>155</v>
      </c>
      <c r="AU1933" s="329" t="s">
        <v>83</v>
      </c>
      <c r="AV1933" s="326" t="s">
        <v>81</v>
      </c>
      <c r="AW1933" s="326" t="s">
        <v>34</v>
      </c>
      <c r="AX1933" s="326" t="s">
        <v>76</v>
      </c>
      <c r="AY1933" s="329" t="s">
        <v>146</v>
      </c>
    </row>
    <row r="1934" spans="2:51" s="335" customFormat="1" ht="12">
      <c r="B1934" s="336"/>
      <c r="D1934" s="328" t="s">
        <v>155</v>
      </c>
      <c r="E1934" s="337" t="s">
        <v>1</v>
      </c>
      <c r="F1934" s="338" t="s">
        <v>1314</v>
      </c>
      <c r="H1934" s="339">
        <f>2*(25+29)*(0.12+0.18)*2</f>
        <v>64.8</v>
      </c>
      <c r="I1934" s="498"/>
      <c r="L1934" s="340"/>
      <c r="M1934" s="341"/>
      <c r="N1934" s="342"/>
      <c r="O1934" s="342"/>
      <c r="P1934" s="342"/>
      <c r="Q1934" s="342"/>
      <c r="R1934" s="342"/>
      <c r="S1934" s="342"/>
      <c r="T1934" s="343"/>
      <c r="AT1934" s="337" t="s">
        <v>155</v>
      </c>
      <c r="AU1934" s="337" t="s">
        <v>83</v>
      </c>
      <c r="AV1934" s="335" t="s">
        <v>83</v>
      </c>
      <c r="AW1934" s="335" t="s">
        <v>34</v>
      </c>
      <c r="AX1934" s="335" t="s">
        <v>76</v>
      </c>
      <c r="AY1934" s="337" t="s">
        <v>146</v>
      </c>
    </row>
    <row r="1935" spans="2:51" s="326" customFormat="1" ht="12">
      <c r="B1935" s="327"/>
      <c r="D1935" s="328" t="s">
        <v>155</v>
      </c>
      <c r="E1935" s="329" t="s">
        <v>1</v>
      </c>
      <c r="F1935" s="330" t="s">
        <v>909</v>
      </c>
      <c r="H1935" s="329" t="s">
        <v>1</v>
      </c>
      <c r="I1935" s="497"/>
      <c r="L1935" s="331"/>
      <c r="M1935" s="332"/>
      <c r="N1935" s="333"/>
      <c r="O1935" s="333"/>
      <c r="P1935" s="333"/>
      <c r="Q1935" s="333"/>
      <c r="R1935" s="333"/>
      <c r="S1935" s="333"/>
      <c r="T1935" s="334"/>
      <c r="AT1935" s="329" t="s">
        <v>155</v>
      </c>
      <c r="AU1935" s="329" t="s">
        <v>83</v>
      </c>
      <c r="AV1935" s="326" t="s">
        <v>81</v>
      </c>
      <c r="AW1935" s="326" t="s">
        <v>34</v>
      </c>
      <c r="AX1935" s="326" t="s">
        <v>76</v>
      </c>
      <c r="AY1935" s="329" t="s">
        <v>146</v>
      </c>
    </row>
    <row r="1936" spans="2:51" s="335" customFormat="1" ht="12">
      <c r="B1936" s="336"/>
      <c r="D1936" s="328" t="s">
        <v>155</v>
      </c>
      <c r="E1936" s="337" t="s">
        <v>1</v>
      </c>
      <c r="F1936" s="338" t="s">
        <v>1315</v>
      </c>
      <c r="H1936" s="339">
        <f>(25+29+6.4)*(0.08+0.18)*2</f>
        <v>31.408</v>
      </c>
      <c r="I1936" s="498"/>
      <c r="L1936" s="340"/>
      <c r="M1936" s="341"/>
      <c r="N1936" s="342"/>
      <c r="O1936" s="342"/>
      <c r="P1936" s="342"/>
      <c r="Q1936" s="342"/>
      <c r="R1936" s="342"/>
      <c r="S1936" s="342"/>
      <c r="T1936" s="343"/>
      <c r="AT1936" s="337" t="s">
        <v>155</v>
      </c>
      <c r="AU1936" s="337" t="s">
        <v>83</v>
      </c>
      <c r="AV1936" s="335" t="s">
        <v>83</v>
      </c>
      <c r="AW1936" s="335" t="s">
        <v>34</v>
      </c>
      <c r="AX1936" s="335" t="s">
        <v>76</v>
      </c>
      <c r="AY1936" s="337" t="s">
        <v>146</v>
      </c>
    </row>
    <row r="1937" spans="2:51" s="326" customFormat="1" ht="12">
      <c r="B1937" s="327"/>
      <c r="D1937" s="328" t="s">
        <v>155</v>
      </c>
      <c r="E1937" s="329" t="s">
        <v>1</v>
      </c>
      <c r="F1937" s="330" t="s">
        <v>911</v>
      </c>
      <c r="H1937" s="329" t="s">
        <v>1</v>
      </c>
      <c r="I1937" s="497"/>
      <c r="L1937" s="331"/>
      <c r="M1937" s="332"/>
      <c r="N1937" s="333"/>
      <c r="O1937" s="333"/>
      <c r="P1937" s="333"/>
      <c r="Q1937" s="333"/>
      <c r="R1937" s="333"/>
      <c r="S1937" s="333"/>
      <c r="T1937" s="334"/>
      <c r="AT1937" s="329" t="s">
        <v>155</v>
      </c>
      <c r="AU1937" s="329" t="s">
        <v>83</v>
      </c>
      <c r="AV1937" s="326" t="s">
        <v>81</v>
      </c>
      <c r="AW1937" s="326" t="s">
        <v>34</v>
      </c>
      <c r="AX1937" s="326" t="s">
        <v>76</v>
      </c>
      <c r="AY1937" s="329" t="s">
        <v>146</v>
      </c>
    </row>
    <row r="1938" spans="2:51" s="335" customFormat="1" ht="12">
      <c r="B1938" s="336"/>
      <c r="D1938" s="328" t="s">
        <v>155</v>
      </c>
      <c r="E1938" s="337" t="s">
        <v>1</v>
      </c>
      <c r="F1938" s="338" t="s">
        <v>1314</v>
      </c>
      <c r="H1938" s="339">
        <f>2*(25+29)*(0.12+0.18)*2</f>
        <v>64.8</v>
      </c>
      <c r="I1938" s="498"/>
      <c r="L1938" s="340"/>
      <c r="M1938" s="341"/>
      <c r="N1938" s="342"/>
      <c r="O1938" s="342"/>
      <c r="P1938" s="342"/>
      <c r="Q1938" s="342"/>
      <c r="R1938" s="342"/>
      <c r="S1938" s="342"/>
      <c r="T1938" s="343"/>
      <c r="AT1938" s="337" t="s">
        <v>155</v>
      </c>
      <c r="AU1938" s="337" t="s">
        <v>83</v>
      </c>
      <c r="AV1938" s="335" t="s">
        <v>83</v>
      </c>
      <c r="AW1938" s="335" t="s">
        <v>34</v>
      </c>
      <c r="AX1938" s="335" t="s">
        <v>76</v>
      </c>
      <c r="AY1938" s="337" t="s">
        <v>146</v>
      </c>
    </row>
    <row r="1939" spans="2:51" s="326" customFormat="1" ht="12">
      <c r="B1939" s="327"/>
      <c r="D1939" s="328" t="s">
        <v>155</v>
      </c>
      <c r="E1939" s="329" t="s">
        <v>1</v>
      </c>
      <c r="F1939" s="330" t="s">
        <v>912</v>
      </c>
      <c r="H1939" s="329" t="s">
        <v>1</v>
      </c>
      <c r="I1939" s="497"/>
      <c r="L1939" s="331"/>
      <c r="M1939" s="332"/>
      <c r="N1939" s="333"/>
      <c r="O1939" s="333"/>
      <c r="P1939" s="333"/>
      <c r="Q1939" s="333"/>
      <c r="R1939" s="333"/>
      <c r="S1939" s="333"/>
      <c r="T1939" s="334"/>
      <c r="AT1939" s="329" t="s">
        <v>155</v>
      </c>
      <c r="AU1939" s="329" t="s">
        <v>83</v>
      </c>
      <c r="AV1939" s="326" t="s">
        <v>81</v>
      </c>
      <c r="AW1939" s="326" t="s">
        <v>34</v>
      </c>
      <c r="AX1939" s="326" t="s">
        <v>76</v>
      </c>
      <c r="AY1939" s="329" t="s">
        <v>146</v>
      </c>
    </row>
    <row r="1940" spans="2:51" s="335" customFormat="1" ht="14.25" customHeight="1">
      <c r="B1940" s="336"/>
      <c r="D1940" s="328" t="s">
        <v>155</v>
      </c>
      <c r="E1940" s="337" t="s">
        <v>1</v>
      </c>
      <c r="F1940" s="338" t="s">
        <v>1316</v>
      </c>
      <c r="H1940" s="339">
        <f>(10*1.7+20*1+15*1.6+23*0.8+2*1.3)*0.12*4</f>
        <v>39.36</v>
      </c>
      <c r="I1940" s="498"/>
      <c r="L1940" s="340"/>
      <c r="M1940" s="341"/>
      <c r="N1940" s="342"/>
      <c r="O1940" s="342"/>
      <c r="P1940" s="342"/>
      <c r="Q1940" s="342"/>
      <c r="R1940" s="342"/>
      <c r="S1940" s="342"/>
      <c r="T1940" s="343"/>
      <c r="AT1940" s="337" t="s">
        <v>155</v>
      </c>
      <c r="AU1940" s="337" t="s">
        <v>83</v>
      </c>
      <c r="AV1940" s="335" t="s">
        <v>83</v>
      </c>
      <c r="AW1940" s="335" t="s">
        <v>34</v>
      </c>
      <c r="AX1940" s="335" t="s">
        <v>76</v>
      </c>
      <c r="AY1940" s="337" t="s">
        <v>146</v>
      </c>
    </row>
    <row r="1941" spans="2:51" s="326" customFormat="1" ht="12">
      <c r="B1941" s="327"/>
      <c r="D1941" s="328" t="s">
        <v>155</v>
      </c>
      <c r="E1941" s="329" t="s">
        <v>1</v>
      </c>
      <c r="F1941" s="330" t="s">
        <v>890</v>
      </c>
      <c r="H1941" s="329" t="s">
        <v>1</v>
      </c>
      <c r="I1941" s="497"/>
      <c r="L1941" s="331"/>
      <c r="M1941" s="332"/>
      <c r="N1941" s="333"/>
      <c r="O1941" s="333"/>
      <c r="P1941" s="333"/>
      <c r="Q1941" s="333"/>
      <c r="R1941" s="333"/>
      <c r="S1941" s="333"/>
      <c r="T1941" s="334"/>
      <c r="AT1941" s="329" t="s">
        <v>155</v>
      </c>
      <c r="AU1941" s="329" t="s">
        <v>83</v>
      </c>
      <c r="AV1941" s="326" t="s">
        <v>81</v>
      </c>
      <c r="AW1941" s="326" t="s">
        <v>34</v>
      </c>
      <c r="AX1941" s="326" t="s">
        <v>76</v>
      </c>
      <c r="AY1941" s="329" t="s">
        <v>146</v>
      </c>
    </row>
    <row r="1942" spans="2:51" s="335" customFormat="1" ht="12">
      <c r="B1942" s="336"/>
      <c r="D1942" s="328" t="s">
        <v>155</v>
      </c>
      <c r="E1942" s="337" t="s">
        <v>1</v>
      </c>
      <c r="F1942" s="338" t="s">
        <v>1312</v>
      </c>
      <c r="H1942" s="339">
        <f>50*4.2*(0.024+0.12)*2</f>
        <v>60.48</v>
      </c>
      <c r="I1942" s="498"/>
      <c r="L1942" s="340"/>
      <c r="M1942" s="341"/>
      <c r="N1942" s="342"/>
      <c r="O1942" s="342"/>
      <c r="P1942" s="342"/>
      <c r="Q1942" s="342"/>
      <c r="R1942" s="342"/>
      <c r="S1942" s="342"/>
      <c r="T1942" s="343"/>
      <c r="AT1942" s="337" t="s">
        <v>155</v>
      </c>
      <c r="AU1942" s="337" t="s">
        <v>83</v>
      </c>
      <c r="AV1942" s="335" t="s">
        <v>83</v>
      </c>
      <c r="AW1942" s="335" t="s">
        <v>34</v>
      </c>
      <c r="AX1942" s="335" t="s">
        <v>76</v>
      </c>
      <c r="AY1942" s="337" t="s">
        <v>146</v>
      </c>
    </row>
    <row r="1943" spans="2:51" s="326" customFormat="1" ht="12">
      <c r="B1943" s="327"/>
      <c r="D1943" s="328" t="s">
        <v>155</v>
      </c>
      <c r="E1943" s="329" t="s">
        <v>1</v>
      </c>
      <c r="F1943" s="330" t="s">
        <v>914</v>
      </c>
      <c r="H1943" s="329" t="s">
        <v>1</v>
      </c>
      <c r="I1943" s="497"/>
      <c r="L1943" s="331"/>
      <c r="M1943" s="332"/>
      <c r="N1943" s="333"/>
      <c r="O1943" s="333"/>
      <c r="P1943" s="333"/>
      <c r="Q1943" s="333"/>
      <c r="R1943" s="333"/>
      <c r="S1943" s="333"/>
      <c r="T1943" s="334"/>
      <c r="AT1943" s="329" t="s">
        <v>155</v>
      </c>
      <c r="AU1943" s="329" t="s">
        <v>83</v>
      </c>
      <c r="AV1943" s="326" t="s">
        <v>81</v>
      </c>
      <c r="AW1943" s="326" t="s">
        <v>34</v>
      </c>
      <c r="AX1943" s="326" t="s">
        <v>76</v>
      </c>
      <c r="AY1943" s="329" t="s">
        <v>146</v>
      </c>
    </row>
    <row r="1944" spans="2:51" s="335" customFormat="1" ht="12">
      <c r="B1944" s="336"/>
      <c r="D1944" s="328" t="s">
        <v>155</v>
      </c>
      <c r="E1944" s="337" t="s">
        <v>1</v>
      </c>
      <c r="F1944" s="338" t="s">
        <v>3123</v>
      </c>
      <c r="H1944" s="339">
        <f>(3*(23+27)+6)*(0.14+0.12)*2</f>
        <v>81.12</v>
      </c>
      <c r="I1944" s="498"/>
      <c r="L1944" s="340"/>
      <c r="M1944" s="341"/>
      <c r="N1944" s="342"/>
      <c r="O1944" s="342"/>
      <c r="P1944" s="342"/>
      <c r="Q1944" s="342"/>
      <c r="R1944" s="342"/>
      <c r="S1944" s="342"/>
      <c r="T1944" s="343"/>
      <c r="AT1944" s="337" t="s">
        <v>155</v>
      </c>
      <c r="AU1944" s="337" t="s">
        <v>83</v>
      </c>
      <c r="AV1944" s="335" t="s">
        <v>83</v>
      </c>
      <c r="AW1944" s="335" t="s">
        <v>34</v>
      </c>
      <c r="AX1944" s="335" t="s">
        <v>76</v>
      </c>
      <c r="AY1944" s="337" t="s">
        <v>146</v>
      </c>
    </row>
    <row r="1945" spans="2:51" s="326" customFormat="1" ht="12">
      <c r="B1945" s="327"/>
      <c r="D1945" s="328" t="s">
        <v>155</v>
      </c>
      <c r="E1945" s="329" t="s">
        <v>1</v>
      </c>
      <c r="F1945" s="330" t="s">
        <v>915</v>
      </c>
      <c r="H1945" s="329" t="s">
        <v>1</v>
      </c>
      <c r="I1945" s="497"/>
      <c r="L1945" s="331"/>
      <c r="M1945" s="332"/>
      <c r="N1945" s="333"/>
      <c r="O1945" s="333"/>
      <c r="P1945" s="333"/>
      <c r="Q1945" s="333"/>
      <c r="R1945" s="333"/>
      <c r="S1945" s="333"/>
      <c r="T1945" s="334"/>
      <c r="AT1945" s="329" t="s">
        <v>155</v>
      </c>
      <c r="AU1945" s="329" t="s">
        <v>83</v>
      </c>
      <c r="AV1945" s="326" t="s">
        <v>81</v>
      </c>
      <c r="AW1945" s="326" t="s">
        <v>34</v>
      </c>
      <c r="AX1945" s="326" t="s">
        <v>76</v>
      </c>
      <c r="AY1945" s="329" t="s">
        <v>146</v>
      </c>
    </row>
    <row r="1946" spans="2:51" s="335" customFormat="1" ht="12">
      <c r="B1946" s="336"/>
      <c r="D1946" s="328" t="s">
        <v>155</v>
      </c>
      <c r="E1946" s="337" t="s">
        <v>1</v>
      </c>
      <c r="F1946" s="338" t="s">
        <v>1317</v>
      </c>
      <c r="H1946" s="339">
        <f>2*2*(0.14+0.1)*2</f>
        <v>1.9200000000000002</v>
      </c>
      <c r="I1946" s="498"/>
      <c r="L1946" s="340"/>
      <c r="M1946" s="341"/>
      <c r="N1946" s="342"/>
      <c r="O1946" s="342"/>
      <c r="P1946" s="342"/>
      <c r="Q1946" s="342"/>
      <c r="R1946" s="342"/>
      <c r="S1946" s="342"/>
      <c r="T1946" s="343"/>
      <c r="AT1946" s="337" t="s">
        <v>155</v>
      </c>
      <c r="AU1946" s="337" t="s">
        <v>83</v>
      </c>
      <c r="AV1946" s="335" t="s">
        <v>83</v>
      </c>
      <c r="AW1946" s="335" t="s">
        <v>34</v>
      </c>
      <c r="AX1946" s="335" t="s">
        <v>76</v>
      </c>
      <c r="AY1946" s="337" t="s">
        <v>146</v>
      </c>
    </row>
    <row r="1947" spans="2:51" s="326" customFormat="1" ht="12">
      <c r="B1947" s="327"/>
      <c r="D1947" s="328" t="s">
        <v>155</v>
      </c>
      <c r="E1947" s="329" t="s">
        <v>1</v>
      </c>
      <c r="F1947" s="330" t="s">
        <v>892</v>
      </c>
      <c r="H1947" s="329" t="s">
        <v>1</v>
      </c>
      <c r="I1947" s="497"/>
      <c r="L1947" s="331"/>
      <c r="M1947" s="332"/>
      <c r="N1947" s="333"/>
      <c r="O1947" s="333"/>
      <c r="P1947" s="333"/>
      <c r="Q1947" s="333"/>
      <c r="R1947" s="333"/>
      <c r="S1947" s="333"/>
      <c r="T1947" s="334"/>
      <c r="AT1947" s="329" t="s">
        <v>155</v>
      </c>
      <c r="AU1947" s="329" t="s">
        <v>83</v>
      </c>
      <c r="AV1947" s="326" t="s">
        <v>81</v>
      </c>
      <c r="AW1947" s="326" t="s">
        <v>34</v>
      </c>
      <c r="AX1947" s="326" t="s">
        <v>76</v>
      </c>
      <c r="AY1947" s="329" t="s">
        <v>146</v>
      </c>
    </row>
    <row r="1948" spans="2:51" s="335" customFormat="1" ht="12">
      <c r="B1948" s="336"/>
      <c r="D1948" s="328" t="s">
        <v>155</v>
      </c>
      <c r="E1948" s="337" t="s">
        <v>1</v>
      </c>
      <c r="F1948" s="338" t="s">
        <v>3124</v>
      </c>
      <c r="H1948" s="339">
        <f>50*2.2*(0.08+0.12)*2</f>
        <v>44.00000000000001</v>
      </c>
      <c r="I1948" s="498"/>
      <c r="L1948" s="340"/>
      <c r="M1948" s="341"/>
      <c r="N1948" s="342"/>
      <c r="O1948" s="342"/>
      <c r="P1948" s="342"/>
      <c r="Q1948" s="342"/>
      <c r="R1948" s="342"/>
      <c r="S1948" s="342"/>
      <c r="T1948" s="343"/>
      <c r="AT1948" s="337" t="s">
        <v>155</v>
      </c>
      <c r="AU1948" s="337" t="s">
        <v>83</v>
      </c>
      <c r="AV1948" s="335" t="s">
        <v>83</v>
      </c>
      <c r="AW1948" s="335" t="s">
        <v>34</v>
      </c>
      <c r="AX1948" s="335" t="s">
        <v>76</v>
      </c>
      <c r="AY1948" s="337" t="s">
        <v>146</v>
      </c>
    </row>
    <row r="1949" spans="2:51" s="326" customFormat="1" ht="12">
      <c r="B1949" s="327"/>
      <c r="D1949" s="328" t="s">
        <v>155</v>
      </c>
      <c r="E1949" s="329" t="s">
        <v>1</v>
      </c>
      <c r="F1949" s="330" t="s">
        <v>975</v>
      </c>
      <c r="H1949" s="329" t="s">
        <v>1</v>
      </c>
      <c r="I1949" s="497"/>
      <c r="L1949" s="331"/>
      <c r="M1949" s="332"/>
      <c r="N1949" s="333"/>
      <c r="O1949" s="333"/>
      <c r="P1949" s="333"/>
      <c r="Q1949" s="333"/>
      <c r="R1949" s="333"/>
      <c r="S1949" s="333"/>
      <c r="T1949" s="334"/>
      <c r="AT1949" s="329" t="s">
        <v>155</v>
      </c>
      <c r="AU1949" s="329" t="s">
        <v>83</v>
      </c>
      <c r="AV1949" s="326" t="s">
        <v>81</v>
      </c>
      <c r="AW1949" s="326" t="s">
        <v>34</v>
      </c>
      <c r="AX1949" s="326" t="s">
        <v>76</v>
      </c>
      <c r="AY1949" s="329" t="s">
        <v>146</v>
      </c>
    </row>
    <row r="1950" spans="2:51" s="326" customFormat="1" ht="12">
      <c r="B1950" s="327"/>
      <c r="D1950" s="328" t="s">
        <v>155</v>
      </c>
      <c r="E1950" s="329" t="s">
        <v>1</v>
      </c>
      <c r="F1950" s="330" t="s">
        <v>979</v>
      </c>
      <c r="H1950" s="329" t="s">
        <v>1</v>
      </c>
      <c r="I1950" s="497"/>
      <c r="L1950" s="331"/>
      <c r="M1950" s="332"/>
      <c r="N1950" s="333"/>
      <c r="O1950" s="333"/>
      <c r="P1950" s="333"/>
      <c r="Q1950" s="333"/>
      <c r="R1950" s="333"/>
      <c r="S1950" s="333"/>
      <c r="T1950" s="334"/>
      <c r="AT1950" s="329" t="s">
        <v>155</v>
      </c>
      <c r="AU1950" s="329" t="s">
        <v>83</v>
      </c>
      <c r="AV1950" s="326" t="s">
        <v>81</v>
      </c>
      <c r="AW1950" s="326" t="s">
        <v>34</v>
      </c>
      <c r="AX1950" s="326" t="s">
        <v>76</v>
      </c>
      <c r="AY1950" s="329" t="s">
        <v>146</v>
      </c>
    </row>
    <row r="1951" spans="2:51" s="335" customFormat="1" ht="12">
      <c r="B1951" s="336"/>
      <c r="D1951" s="328" t="s">
        <v>155</v>
      </c>
      <c r="E1951" s="337" t="s">
        <v>1</v>
      </c>
      <c r="F1951" s="338" t="s">
        <v>3722</v>
      </c>
      <c r="H1951" s="339">
        <f>(9.675*4.35+6.145*1.55)*2</f>
        <v>103.222</v>
      </c>
      <c r="I1951" s="498"/>
      <c r="L1951" s="346"/>
      <c r="M1951" s="341"/>
      <c r="N1951" s="342"/>
      <c r="O1951" s="342"/>
      <c r="P1951" s="342"/>
      <c r="Q1951" s="342"/>
      <c r="R1951" s="342"/>
      <c r="S1951" s="342"/>
      <c r="T1951" s="343"/>
      <c r="AT1951" s="337" t="s">
        <v>155</v>
      </c>
      <c r="AU1951" s="337" t="s">
        <v>83</v>
      </c>
      <c r="AV1951" s="335" t="s">
        <v>83</v>
      </c>
      <c r="AW1951" s="335" t="s">
        <v>34</v>
      </c>
      <c r="AX1951" s="335" t="s">
        <v>76</v>
      </c>
      <c r="AY1951" s="337" t="s">
        <v>146</v>
      </c>
    </row>
    <row r="1952" spans="2:51" s="326" customFormat="1" ht="12">
      <c r="B1952" s="327"/>
      <c r="D1952" s="328" t="s">
        <v>155</v>
      </c>
      <c r="E1952" s="329" t="s">
        <v>1</v>
      </c>
      <c r="F1952" s="330" t="s">
        <v>983</v>
      </c>
      <c r="H1952" s="329" t="s">
        <v>1</v>
      </c>
      <c r="I1952" s="497"/>
      <c r="L1952" s="331"/>
      <c r="M1952" s="332"/>
      <c r="N1952" s="333"/>
      <c r="O1952" s="333"/>
      <c r="P1952" s="333"/>
      <c r="Q1952" s="333"/>
      <c r="R1952" s="333"/>
      <c r="S1952" s="333"/>
      <c r="T1952" s="334"/>
      <c r="AT1952" s="329" t="s">
        <v>155</v>
      </c>
      <c r="AU1952" s="329" t="s">
        <v>83</v>
      </c>
      <c r="AV1952" s="326" t="s">
        <v>81</v>
      </c>
      <c r="AW1952" s="326" t="s">
        <v>34</v>
      </c>
      <c r="AX1952" s="326" t="s">
        <v>76</v>
      </c>
      <c r="AY1952" s="329" t="s">
        <v>146</v>
      </c>
    </row>
    <row r="1953" spans="2:51" s="335" customFormat="1" ht="12">
      <c r="B1953" s="336"/>
      <c r="D1953" s="328" t="s">
        <v>155</v>
      </c>
      <c r="E1953" s="337" t="s">
        <v>1</v>
      </c>
      <c r="F1953" s="338" t="s">
        <v>3127</v>
      </c>
      <c r="H1953" s="339">
        <f>11*4.35*(0.08+0.2)*2</f>
        <v>26.796</v>
      </c>
      <c r="I1953" s="498"/>
      <c r="L1953" s="340"/>
      <c r="M1953" s="341"/>
      <c r="N1953" s="342"/>
      <c r="O1953" s="342"/>
      <c r="P1953" s="342"/>
      <c r="Q1953" s="342"/>
      <c r="R1953" s="342"/>
      <c r="S1953" s="342"/>
      <c r="T1953" s="343"/>
      <c r="AT1953" s="337" t="s">
        <v>155</v>
      </c>
      <c r="AU1953" s="337" t="s">
        <v>83</v>
      </c>
      <c r="AV1953" s="335" t="s">
        <v>83</v>
      </c>
      <c r="AW1953" s="335" t="s">
        <v>34</v>
      </c>
      <c r="AX1953" s="335" t="s">
        <v>76</v>
      </c>
      <c r="AY1953" s="337" t="s">
        <v>146</v>
      </c>
    </row>
    <row r="1954" spans="2:51" s="326" customFormat="1" ht="12">
      <c r="B1954" s="327"/>
      <c r="D1954" s="328" t="s">
        <v>155</v>
      </c>
      <c r="E1954" s="329" t="s">
        <v>1</v>
      </c>
      <c r="F1954" s="330" t="s">
        <v>984</v>
      </c>
      <c r="H1954" s="329" t="s">
        <v>1</v>
      </c>
      <c r="I1954" s="497"/>
      <c r="L1954" s="331"/>
      <c r="M1954" s="332"/>
      <c r="N1954" s="333"/>
      <c r="O1954" s="333"/>
      <c r="P1954" s="333"/>
      <c r="Q1954" s="333"/>
      <c r="R1954" s="333"/>
      <c r="S1954" s="333"/>
      <c r="T1954" s="334"/>
      <c r="AT1954" s="329" t="s">
        <v>155</v>
      </c>
      <c r="AU1954" s="329" t="s">
        <v>83</v>
      </c>
      <c r="AV1954" s="326" t="s">
        <v>81</v>
      </c>
      <c r="AW1954" s="326" t="s">
        <v>34</v>
      </c>
      <c r="AX1954" s="326" t="s">
        <v>76</v>
      </c>
      <c r="AY1954" s="329" t="s">
        <v>146</v>
      </c>
    </row>
    <row r="1955" spans="2:51" s="335" customFormat="1" ht="12">
      <c r="B1955" s="336"/>
      <c r="D1955" s="328" t="s">
        <v>155</v>
      </c>
      <c r="E1955" s="337" t="s">
        <v>1</v>
      </c>
      <c r="F1955" s="338" t="s">
        <v>1318</v>
      </c>
      <c r="H1955" s="339">
        <f>7*1.75*(0.08+0.2)*2</f>
        <v>6.86</v>
      </c>
      <c r="I1955" s="498"/>
      <c r="L1955" s="340"/>
      <c r="M1955" s="341"/>
      <c r="N1955" s="342"/>
      <c r="O1955" s="342"/>
      <c r="P1955" s="342"/>
      <c r="Q1955" s="342"/>
      <c r="R1955" s="342"/>
      <c r="S1955" s="342"/>
      <c r="T1955" s="343"/>
      <c r="AT1955" s="337" t="s">
        <v>155</v>
      </c>
      <c r="AU1955" s="337" t="s">
        <v>83</v>
      </c>
      <c r="AV1955" s="335" t="s">
        <v>83</v>
      </c>
      <c r="AW1955" s="335" t="s">
        <v>34</v>
      </c>
      <c r="AX1955" s="335" t="s">
        <v>76</v>
      </c>
      <c r="AY1955" s="337" t="s">
        <v>146</v>
      </c>
    </row>
    <row r="1956" spans="2:51" s="326" customFormat="1" ht="12">
      <c r="B1956" s="327"/>
      <c r="D1956" s="328" t="s">
        <v>155</v>
      </c>
      <c r="E1956" s="329" t="s">
        <v>1</v>
      </c>
      <c r="F1956" s="330" t="s">
        <v>986</v>
      </c>
      <c r="H1956" s="329" t="s">
        <v>1</v>
      </c>
      <c r="I1956" s="497"/>
      <c r="L1956" s="331"/>
      <c r="M1956" s="332"/>
      <c r="N1956" s="333"/>
      <c r="O1956" s="333"/>
      <c r="P1956" s="333"/>
      <c r="Q1956" s="333"/>
      <c r="R1956" s="333"/>
      <c r="S1956" s="333"/>
      <c r="T1956" s="334"/>
      <c r="AT1956" s="329" t="s">
        <v>155</v>
      </c>
      <c r="AU1956" s="329" t="s">
        <v>83</v>
      </c>
      <c r="AV1956" s="326" t="s">
        <v>81</v>
      </c>
      <c r="AW1956" s="326" t="s">
        <v>34</v>
      </c>
      <c r="AX1956" s="326" t="s">
        <v>76</v>
      </c>
      <c r="AY1956" s="329" t="s">
        <v>146</v>
      </c>
    </row>
    <row r="1957" spans="2:51" s="335" customFormat="1" ht="12">
      <c r="B1957" s="336"/>
      <c r="D1957" s="328" t="s">
        <v>155</v>
      </c>
      <c r="E1957" s="337" t="s">
        <v>1</v>
      </c>
      <c r="F1957" s="338" t="s">
        <v>3128</v>
      </c>
      <c r="H1957" s="339">
        <f>2*5.6*(0.1+0.12)*2</f>
        <v>4.928</v>
      </c>
      <c r="I1957" s="498"/>
      <c r="L1957" s="340"/>
      <c r="M1957" s="341"/>
      <c r="N1957" s="342"/>
      <c r="O1957" s="342"/>
      <c r="P1957" s="342"/>
      <c r="Q1957" s="342"/>
      <c r="R1957" s="342"/>
      <c r="S1957" s="342"/>
      <c r="T1957" s="343"/>
      <c r="AT1957" s="337" t="s">
        <v>155</v>
      </c>
      <c r="AU1957" s="337" t="s">
        <v>83</v>
      </c>
      <c r="AV1957" s="335" t="s">
        <v>83</v>
      </c>
      <c r="AW1957" s="335" t="s">
        <v>34</v>
      </c>
      <c r="AX1957" s="335" t="s">
        <v>76</v>
      </c>
      <c r="AY1957" s="337" t="s">
        <v>146</v>
      </c>
    </row>
    <row r="1958" spans="2:51" s="326" customFormat="1" ht="12">
      <c r="B1958" s="327"/>
      <c r="D1958" s="328" t="s">
        <v>155</v>
      </c>
      <c r="E1958" s="329" t="s">
        <v>1</v>
      </c>
      <c r="F1958" s="330" t="s">
        <v>987</v>
      </c>
      <c r="H1958" s="329" t="s">
        <v>1</v>
      </c>
      <c r="I1958" s="497"/>
      <c r="L1958" s="331"/>
      <c r="M1958" s="332"/>
      <c r="N1958" s="333"/>
      <c r="O1958" s="333"/>
      <c r="P1958" s="333"/>
      <c r="Q1958" s="333"/>
      <c r="R1958" s="333"/>
      <c r="S1958" s="333"/>
      <c r="T1958" s="334"/>
      <c r="AT1958" s="329" t="s">
        <v>155</v>
      </c>
      <c r="AU1958" s="329" t="s">
        <v>83</v>
      </c>
      <c r="AV1958" s="326" t="s">
        <v>81</v>
      </c>
      <c r="AW1958" s="326" t="s">
        <v>34</v>
      </c>
      <c r="AX1958" s="326" t="s">
        <v>76</v>
      </c>
      <c r="AY1958" s="329" t="s">
        <v>146</v>
      </c>
    </row>
    <row r="1959" spans="2:51" s="335" customFormat="1" ht="12">
      <c r="B1959" s="336"/>
      <c r="D1959" s="328" t="s">
        <v>155</v>
      </c>
      <c r="E1959" s="337" t="s">
        <v>1</v>
      </c>
      <c r="F1959" s="338" t="s">
        <v>1319</v>
      </c>
      <c r="H1959" s="339">
        <f>3.28*(0.1+0.12)*2</f>
        <v>1.4431999999999998</v>
      </c>
      <c r="I1959" s="498"/>
      <c r="L1959" s="340"/>
      <c r="M1959" s="341"/>
      <c r="N1959" s="342"/>
      <c r="O1959" s="342"/>
      <c r="P1959" s="342"/>
      <c r="Q1959" s="342"/>
      <c r="R1959" s="342"/>
      <c r="S1959" s="342"/>
      <c r="T1959" s="343"/>
      <c r="AT1959" s="337" t="s">
        <v>155</v>
      </c>
      <c r="AU1959" s="337" t="s">
        <v>83</v>
      </c>
      <c r="AV1959" s="335" t="s">
        <v>83</v>
      </c>
      <c r="AW1959" s="335" t="s">
        <v>34</v>
      </c>
      <c r="AX1959" s="335" t="s">
        <v>76</v>
      </c>
      <c r="AY1959" s="337" t="s">
        <v>146</v>
      </c>
    </row>
    <row r="1960" spans="2:51" s="326" customFormat="1" ht="12">
      <c r="B1960" s="327"/>
      <c r="D1960" s="328" t="s">
        <v>155</v>
      </c>
      <c r="E1960" s="329" t="s">
        <v>1</v>
      </c>
      <c r="F1960" s="330" t="s">
        <v>1320</v>
      </c>
      <c r="H1960" s="329" t="s">
        <v>1</v>
      </c>
      <c r="I1960" s="497"/>
      <c r="L1960" s="331"/>
      <c r="M1960" s="332"/>
      <c r="N1960" s="333"/>
      <c r="O1960" s="333"/>
      <c r="P1960" s="333"/>
      <c r="Q1960" s="333"/>
      <c r="R1960" s="333"/>
      <c r="S1960" s="333"/>
      <c r="T1960" s="334"/>
      <c r="AT1960" s="329" t="s">
        <v>155</v>
      </c>
      <c r="AU1960" s="329" t="s">
        <v>83</v>
      </c>
      <c r="AV1960" s="326" t="s">
        <v>81</v>
      </c>
      <c r="AW1960" s="326" t="s">
        <v>34</v>
      </c>
      <c r="AX1960" s="326" t="s">
        <v>76</v>
      </c>
      <c r="AY1960" s="329" t="s">
        <v>146</v>
      </c>
    </row>
    <row r="1961" spans="2:51" s="335" customFormat="1" ht="12">
      <c r="B1961" s="336"/>
      <c r="D1961" s="328" t="s">
        <v>155</v>
      </c>
      <c r="E1961" s="337" t="s">
        <v>1</v>
      </c>
      <c r="F1961" s="338" t="s">
        <v>1321</v>
      </c>
      <c r="H1961" s="339">
        <f>16*(0.06+0.12)*2+30*(0.12*4)</f>
        <v>20.159999999999997</v>
      </c>
      <c r="I1961" s="498"/>
      <c r="L1961" s="340"/>
      <c r="M1961" s="341"/>
      <c r="N1961" s="342"/>
      <c r="O1961" s="342"/>
      <c r="P1961" s="342"/>
      <c r="Q1961" s="342"/>
      <c r="R1961" s="342"/>
      <c r="S1961" s="342"/>
      <c r="T1961" s="343"/>
      <c r="AT1961" s="337" t="s">
        <v>155</v>
      </c>
      <c r="AU1961" s="337" t="s">
        <v>83</v>
      </c>
      <c r="AV1961" s="335" t="s">
        <v>83</v>
      </c>
      <c r="AW1961" s="335" t="s">
        <v>34</v>
      </c>
      <c r="AX1961" s="335" t="s">
        <v>76</v>
      </c>
      <c r="AY1961" s="337" t="s">
        <v>146</v>
      </c>
    </row>
    <row r="1962" spans="2:51" s="347" customFormat="1" ht="12">
      <c r="B1962" s="348"/>
      <c r="D1962" s="328" t="s">
        <v>155</v>
      </c>
      <c r="E1962" s="349" t="s">
        <v>1</v>
      </c>
      <c r="F1962" s="356" t="s">
        <v>157</v>
      </c>
      <c r="H1962" s="351">
        <f>SUM(H1930:H1961)</f>
        <v>1290.3932</v>
      </c>
      <c r="I1962" s="499"/>
      <c r="L1962" s="352"/>
      <c r="M1962" s="353"/>
      <c r="N1962" s="354"/>
      <c r="O1962" s="354"/>
      <c r="P1962" s="354"/>
      <c r="Q1962" s="354"/>
      <c r="R1962" s="354"/>
      <c r="S1962" s="354"/>
      <c r="T1962" s="355"/>
      <c r="AT1962" s="349" t="s">
        <v>155</v>
      </c>
      <c r="AU1962" s="349" t="s">
        <v>83</v>
      </c>
      <c r="AV1962" s="347" t="s">
        <v>153</v>
      </c>
      <c r="AW1962" s="347" t="s">
        <v>34</v>
      </c>
      <c r="AX1962" s="347" t="s">
        <v>81</v>
      </c>
      <c r="AY1962" s="349" t="s">
        <v>146</v>
      </c>
    </row>
    <row r="1963" spans="1:65" s="263" customFormat="1" ht="24.2" customHeight="1">
      <c r="A1963" s="258"/>
      <c r="B1963" s="259"/>
      <c r="C1963" s="357">
        <v>391</v>
      </c>
      <c r="D1963" s="357" t="s">
        <v>148</v>
      </c>
      <c r="E1963" s="397" t="s">
        <v>1323</v>
      </c>
      <c r="F1963" s="344" t="s">
        <v>1324</v>
      </c>
      <c r="G1963" s="399" t="s">
        <v>151</v>
      </c>
      <c r="H1963" s="400">
        <f>H1974</f>
        <v>135.45888000000002</v>
      </c>
      <c r="I1963" s="85"/>
      <c r="J1963" s="401">
        <f>ROUND(I1963*H1963,2)</f>
        <v>0</v>
      </c>
      <c r="K1963" s="344"/>
      <c r="L1963" s="373"/>
      <c r="M1963" s="402" t="s">
        <v>1</v>
      </c>
      <c r="N1963" s="403" t="s">
        <v>42</v>
      </c>
      <c r="O1963" s="404">
        <v>0.167</v>
      </c>
      <c r="P1963" s="404">
        <f>O1963*H1963</f>
        <v>22.621632960000007</v>
      </c>
      <c r="Q1963" s="404">
        <v>6.0528E-05</v>
      </c>
      <c r="R1963" s="404">
        <f>Q1963*H1963</f>
        <v>0.008199055088640002</v>
      </c>
      <c r="S1963" s="404">
        <v>0</v>
      </c>
      <c r="T1963" s="405">
        <f>S1963*H1963</f>
        <v>0</v>
      </c>
      <c r="U1963" s="258"/>
      <c r="V1963" s="258"/>
      <c r="W1963" s="258"/>
      <c r="X1963" s="258"/>
      <c r="Y1963" s="258"/>
      <c r="Z1963" s="258"/>
      <c r="AA1963" s="258"/>
      <c r="AB1963" s="258"/>
      <c r="AC1963" s="258"/>
      <c r="AD1963" s="258"/>
      <c r="AE1963" s="258"/>
      <c r="AR1963" s="260" t="s">
        <v>212</v>
      </c>
      <c r="AT1963" s="260" t="s">
        <v>148</v>
      </c>
      <c r="AU1963" s="260" t="s">
        <v>83</v>
      </c>
      <c r="AY1963" s="406" t="s">
        <v>146</v>
      </c>
      <c r="BE1963" s="407">
        <f>IF(N1963="základní",J1963,0)</f>
        <v>0</v>
      </c>
      <c r="BF1963" s="407">
        <f>IF(N1963="snížená",J1963,0)</f>
        <v>0</v>
      </c>
      <c r="BG1963" s="407">
        <f>IF(N1963="zákl. přenesená",J1963,0)</f>
        <v>0</v>
      </c>
      <c r="BH1963" s="407">
        <f>IF(N1963="sníž. přenesená",J1963,0)</f>
        <v>0</v>
      </c>
      <c r="BI1963" s="407">
        <f>IF(N1963="nulová",J1963,0)</f>
        <v>0</v>
      </c>
      <c r="BJ1963" s="406" t="s">
        <v>81</v>
      </c>
      <c r="BK1963" s="407">
        <f>ROUND(I1963*H1963,2)</f>
        <v>0</v>
      </c>
      <c r="BL1963" s="406" t="s">
        <v>212</v>
      </c>
      <c r="BM1963" s="260" t="s">
        <v>1325</v>
      </c>
    </row>
    <row r="1964" spans="2:51" s="326" customFormat="1" ht="12">
      <c r="B1964" s="327"/>
      <c r="D1964" s="328" t="s">
        <v>155</v>
      </c>
      <c r="E1964" s="329" t="s">
        <v>1</v>
      </c>
      <c r="F1964" s="330" t="s">
        <v>2941</v>
      </c>
      <c r="H1964" s="329" t="s">
        <v>1</v>
      </c>
      <c r="I1964" s="497"/>
      <c r="L1964" s="331"/>
      <c r="M1964" s="332"/>
      <c r="N1964" s="333"/>
      <c r="O1964" s="333"/>
      <c r="P1964" s="333"/>
      <c r="Q1964" s="333"/>
      <c r="R1964" s="333"/>
      <c r="S1964" s="333"/>
      <c r="T1964" s="334"/>
      <c r="AT1964" s="329" t="s">
        <v>155</v>
      </c>
      <c r="AU1964" s="329" t="s">
        <v>83</v>
      </c>
      <c r="AV1964" s="326" t="s">
        <v>81</v>
      </c>
      <c r="AW1964" s="326" t="s">
        <v>34</v>
      </c>
      <c r="AX1964" s="326" t="s">
        <v>76</v>
      </c>
      <c r="AY1964" s="329" t="s">
        <v>146</v>
      </c>
    </row>
    <row r="1965" spans="1:65" s="225" customFormat="1" ht="13.5" customHeight="1">
      <c r="A1965" s="222"/>
      <c r="B1965" s="223"/>
      <c r="C1965" s="383"/>
      <c r="D1965" s="383"/>
      <c r="E1965" s="384"/>
      <c r="F1965" s="388" t="s">
        <v>2942</v>
      </c>
      <c r="G1965" s="385"/>
      <c r="H1965" s="386">
        <f>(3.7*4+0.4)*1.2</f>
        <v>18.240000000000002</v>
      </c>
      <c r="I1965" s="86"/>
      <c r="J1965" s="387"/>
      <c r="K1965" s="388"/>
      <c r="L1965" s="229"/>
      <c r="M1965" s="320"/>
      <c r="N1965" s="321"/>
      <c r="O1965" s="322"/>
      <c r="P1965" s="322"/>
      <c r="Q1965" s="322"/>
      <c r="R1965" s="322"/>
      <c r="S1965" s="322"/>
      <c r="T1965" s="323"/>
      <c r="U1965" s="222"/>
      <c r="V1965" s="222"/>
      <c r="W1965" s="222"/>
      <c r="X1965" s="222"/>
      <c r="Y1965" s="222"/>
      <c r="Z1965" s="222"/>
      <c r="AA1965" s="222"/>
      <c r="AB1965" s="222"/>
      <c r="AC1965" s="222"/>
      <c r="AD1965" s="222"/>
      <c r="AE1965" s="222"/>
      <c r="AR1965" s="324"/>
      <c r="AT1965" s="324"/>
      <c r="AU1965" s="324"/>
      <c r="AY1965" s="214"/>
      <c r="BE1965" s="325"/>
      <c r="BF1965" s="325"/>
      <c r="BG1965" s="325"/>
      <c r="BH1965" s="325"/>
      <c r="BI1965" s="325"/>
      <c r="BJ1965" s="214"/>
      <c r="BK1965" s="325"/>
      <c r="BL1965" s="214"/>
      <c r="BM1965" s="324"/>
    </row>
    <row r="1966" spans="1:65" s="225" customFormat="1" ht="13.5" customHeight="1">
      <c r="A1966" s="222"/>
      <c r="B1966" s="223"/>
      <c r="C1966" s="383"/>
      <c r="D1966" s="383"/>
      <c r="E1966" s="384"/>
      <c r="F1966" s="388" t="s">
        <v>2943</v>
      </c>
      <c r="G1966" s="385"/>
      <c r="H1966" s="386">
        <f>(3.7*4+2+0.4*4)*1.2</f>
        <v>22.080000000000002</v>
      </c>
      <c r="I1966" s="86"/>
      <c r="J1966" s="387"/>
      <c r="K1966" s="388"/>
      <c r="L1966" s="229"/>
      <c r="M1966" s="320"/>
      <c r="N1966" s="321"/>
      <c r="O1966" s="322"/>
      <c r="P1966" s="322"/>
      <c r="Q1966" s="322"/>
      <c r="R1966" s="322"/>
      <c r="S1966" s="322"/>
      <c r="T1966" s="323"/>
      <c r="U1966" s="222"/>
      <c r="V1966" s="222"/>
      <c r="W1966" s="222"/>
      <c r="X1966" s="222"/>
      <c r="Y1966" s="222"/>
      <c r="Z1966" s="222"/>
      <c r="AA1966" s="222"/>
      <c r="AB1966" s="222"/>
      <c r="AC1966" s="222"/>
      <c r="AD1966" s="222"/>
      <c r="AE1966" s="222"/>
      <c r="AR1966" s="324"/>
      <c r="AT1966" s="324"/>
      <c r="AU1966" s="324"/>
      <c r="AY1966" s="214"/>
      <c r="BE1966" s="325"/>
      <c r="BF1966" s="325"/>
      <c r="BG1966" s="325"/>
      <c r="BH1966" s="325"/>
      <c r="BI1966" s="325"/>
      <c r="BJ1966" s="214"/>
      <c r="BK1966" s="325"/>
      <c r="BL1966" s="214"/>
      <c r="BM1966" s="324"/>
    </row>
    <row r="1967" spans="2:51" s="326" customFormat="1" ht="12">
      <c r="B1967" s="327"/>
      <c r="D1967" s="328" t="s">
        <v>155</v>
      </c>
      <c r="E1967" s="329" t="s">
        <v>1</v>
      </c>
      <c r="F1967" s="330" t="s">
        <v>1326</v>
      </c>
      <c r="H1967" s="329" t="s">
        <v>1</v>
      </c>
      <c r="I1967" s="497"/>
      <c r="L1967" s="331"/>
      <c r="M1967" s="332"/>
      <c r="N1967" s="333"/>
      <c r="O1967" s="333"/>
      <c r="P1967" s="333"/>
      <c r="Q1967" s="333"/>
      <c r="R1967" s="333"/>
      <c r="S1967" s="333"/>
      <c r="T1967" s="334"/>
      <c r="AT1967" s="329" t="s">
        <v>155</v>
      </c>
      <c r="AU1967" s="329" t="s">
        <v>83</v>
      </c>
      <c r="AV1967" s="326" t="s">
        <v>81</v>
      </c>
      <c r="AW1967" s="326" t="s">
        <v>34</v>
      </c>
      <c r="AX1967" s="326" t="s">
        <v>76</v>
      </c>
      <c r="AY1967" s="329" t="s">
        <v>146</v>
      </c>
    </row>
    <row r="1968" spans="2:51" s="335" customFormat="1" ht="12">
      <c r="B1968" s="336"/>
      <c r="D1968" s="328" t="s">
        <v>155</v>
      </c>
      <c r="E1968" s="337" t="s">
        <v>1</v>
      </c>
      <c r="F1968" s="338" t="s">
        <v>2944</v>
      </c>
      <c r="H1968" s="339">
        <f>(1.5+2*2)*0.25*2</f>
        <v>2.75</v>
      </c>
      <c r="I1968" s="498"/>
      <c r="L1968" s="340"/>
      <c r="M1968" s="341"/>
      <c r="N1968" s="342"/>
      <c r="O1968" s="342"/>
      <c r="P1968" s="342"/>
      <c r="Q1968" s="342"/>
      <c r="R1968" s="342"/>
      <c r="S1968" s="342"/>
      <c r="T1968" s="343"/>
      <c r="AT1968" s="337" t="s">
        <v>155</v>
      </c>
      <c r="AU1968" s="337" t="s">
        <v>83</v>
      </c>
      <c r="AV1968" s="335" t="s">
        <v>83</v>
      </c>
      <c r="AW1968" s="335" t="s">
        <v>34</v>
      </c>
      <c r="AX1968" s="335" t="s">
        <v>76</v>
      </c>
      <c r="AY1968" s="337" t="s">
        <v>146</v>
      </c>
    </row>
    <row r="1969" spans="2:51" s="335" customFormat="1" ht="12">
      <c r="B1969" s="336"/>
      <c r="D1969" s="328" t="s">
        <v>155</v>
      </c>
      <c r="E1969" s="337" t="s">
        <v>1</v>
      </c>
      <c r="F1969" s="338" t="s">
        <v>2945</v>
      </c>
      <c r="H1969" s="339">
        <f>(0.9+2*2)*0.25*10</f>
        <v>12.25</v>
      </c>
      <c r="I1969" s="498"/>
      <c r="L1969" s="340"/>
      <c r="M1969" s="341"/>
      <c r="N1969" s="342"/>
      <c r="O1969" s="342"/>
      <c r="P1969" s="342"/>
      <c r="Q1969" s="342"/>
      <c r="R1969" s="342"/>
      <c r="S1969" s="342"/>
      <c r="T1969" s="343"/>
      <c r="AT1969" s="337" t="s">
        <v>155</v>
      </c>
      <c r="AU1969" s="337" t="s">
        <v>83</v>
      </c>
      <c r="AV1969" s="335" t="s">
        <v>83</v>
      </c>
      <c r="AW1969" s="335" t="s">
        <v>34</v>
      </c>
      <c r="AX1969" s="335" t="s">
        <v>76</v>
      </c>
      <c r="AY1969" s="337" t="s">
        <v>146</v>
      </c>
    </row>
    <row r="1970" spans="2:51" s="326" customFormat="1" ht="12">
      <c r="B1970" s="327"/>
      <c r="D1970" s="328" t="s">
        <v>155</v>
      </c>
      <c r="E1970" s="329" t="s">
        <v>1</v>
      </c>
      <c r="F1970" s="330" t="s">
        <v>3129</v>
      </c>
      <c r="H1970" s="329" t="s">
        <v>1</v>
      </c>
      <c r="I1970" s="497"/>
      <c r="L1970" s="331"/>
      <c r="M1970" s="332"/>
      <c r="N1970" s="333"/>
      <c r="O1970" s="333"/>
      <c r="P1970" s="333"/>
      <c r="Q1970" s="333"/>
      <c r="R1970" s="333"/>
      <c r="S1970" s="333"/>
      <c r="T1970" s="334"/>
      <c r="AT1970" s="329" t="s">
        <v>155</v>
      </c>
      <c r="AU1970" s="329" t="s">
        <v>83</v>
      </c>
      <c r="AV1970" s="326" t="s">
        <v>81</v>
      </c>
      <c r="AW1970" s="326" t="s">
        <v>34</v>
      </c>
      <c r="AX1970" s="326" t="s">
        <v>76</v>
      </c>
      <c r="AY1970" s="329" t="s">
        <v>146</v>
      </c>
    </row>
    <row r="1971" spans="2:51" s="335" customFormat="1" ht="12">
      <c r="B1971" s="336"/>
      <c r="D1971" s="328" t="s">
        <v>155</v>
      </c>
      <c r="E1971" s="337" t="s">
        <v>1</v>
      </c>
      <c r="F1971" s="338" t="s">
        <v>3130</v>
      </c>
      <c r="H1971" s="339">
        <f>3.2*3.4*2</f>
        <v>21.76</v>
      </c>
      <c r="I1971" s="498"/>
      <c r="L1971" s="340"/>
      <c r="M1971" s="341"/>
      <c r="N1971" s="342"/>
      <c r="O1971" s="342"/>
      <c r="P1971" s="342"/>
      <c r="Q1971" s="342"/>
      <c r="R1971" s="342"/>
      <c r="S1971" s="342"/>
      <c r="T1971" s="343"/>
      <c r="AT1971" s="337" t="s">
        <v>155</v>
      </c>
      <c r="AU1971" s="337" t="s">
        <v>83</v>
      </c>
      <c r="AV1971" s="335" t="s">
        <v>83</v>
      </c>
      <c r="AW1971" s="335" t="s">
        <v>34</v>
      </c>
      <c r="AX1971" s="335" t="s">
        <v>76</v>
      </c>
      <c r="AY1971" s="337" t="s">
        <v>146</v>
      </c>
    </row>
    <row r="1972" spans="2:51" s="326" customFormat="1" ht="12">
      <c r="B1972" s="327"/>
      <c r="D1972" s="328" t="s">
        <v>155</v>
      </c>
      <c r="E1972" s="329" t="s">
        <v>1</v>
      </c>
      <c r="F1972" s="330" t="s">
        <v>3283</v>
      </c>
      <c r="H1972" s="329" t="s">
        <v>1</v>
      </c>
      <c r="I1972" s="497"/>
      <c r="L1972" s="331"/>
      <c r="M1972" s="332"/>
      <c r="N1972" s="333"/>
      <c r="O1972" s="333"/>
      <c r="P1972" s="333"/>
      <c r="Q1972" s="333"/>
      <c r="R1972" s="333"/>
      <c r="S1972" s="333"/>
      <c r="T1972" s="334"/>
      <c r="AT1972" s="329" t="s">
        <v>155</v>
      </c>
      <c r="AU1972" s="329" t="s">
        <v>83</v>
      </c>
      <c r="AV1972" s="326" t="s">
        <v>81</v>
      </c>
      <c r="AW1972" s="326" t="s">
        <v>34</v>
      </c>
      <c r="AX1972" s="326" t="s">
        <v>76</v>
      </c>
      <c r="AY1972" s="329" t="s">
        <v>146</v>
      </c>
    </row>
    <row r="1973" spans="2:51" s="335" customFormat="1" ht="12">
      <c r="B1973" s="336"/>
      <c r="D1973" s="328" t="s">
        <v>155</v>
      </c>
      <c r="E1973" s="337" t="s">
        <v>1</v>
      </c>
      <c r="F1973" s="346" t="s">
        <v>3284</v>
      </c>
      <c r="H1973" s="339">
        <f>332/3*2.4*(3.14*0.07)</f>
        <v>58.37888000000001</v>
      </c>
      <c r="I1973" s="498"/>
      <c r="L1973" s="340"/>
      <c r="M1973" s="341"/>
      <c r="N1973" s="342"/>
      <c r="O1973" s="342"/>
      <c r="P1973" s="342"/>
      <c r="Q1973" s="342"/>
      <c r="R1973" s="342"/>
      <c r="S1973" s="342"/>
      <c r="T1973" s="343"/>
      <c r="AT1973" s="337" t="s">
        <v>155</v>
      </c>
      <c r="AU1973" s="337" t="s">
        <v>83</v>
      </c>
      <c r="AV1973" s="335" t="s">
        <v>83</v>
      </c>
      <c r="AW1973" s="335" t="s">
        <v>34</v>
      </c>
      <c r="AX1973" s="335" t="s">
        <v>76</v>
      </c>
      <c r="AY1973" s="337" t="s">
        <v>146</v>
      </c>
    </row>
    <row r="1974" spans="2:51" s="347" customFormat="1" ht="12">
      <c r="B1974" s="348"/>
      <c r="D1974" s="328" t="s">
        <v>155</v>
      </c>
      <c r="E1974" s="349" t="s">
        <v>1</v>
      </c>
      <c r="F1974" s="356" t="s">
        <v>157</v>
      </c>
      <c r="H1974" s="351">
        <f>SUM(H1965:H1973)</f>
        <v>135.45888000000002</v>
      </c>
      <c r="I1974" s="499"/>
      <c r="L1974" s="352"/>
      <c r="M1974" s="353"/>
      <c r="N1974" s="354"/>
      <c r="O1974" s="354"/>
      <c r="P1974" s="354"/>
      <c r="Q1974" s="354"/>
      <c r="R1974" s="354"/>
      <c r="S1974" s="354"/>
      <c r="T1974" s="355"/>
      <c r="AT1974" s="349" t="s">
        <v>155</v>
      </c>
      <c r="AU1974" s="349" t="s">
        <v>83</v>
      </c>
      <c r="AV1974" s="347" t="s">
        <v>153</v>
      </c>
      <c r="AW1974" s="347" t="s">
        <v>34</v>
      </c>
      <c r="AX1974" s="347" t="s">
        <v>81</v>
      </c>
      <c r="AY1974" s="349" t="s">
        <v>146</v>
      </c>
    </row>
    <row r="1975" spans="1:65" s="225" customFormat="1" ht="24.2" customHeight="1">
      <c r="A1975" s="222"/>
      <c r="B1975" s="223"/>
      <c r="C1975" s="314">
        <v>392</v>
      </c>
      <c r="D1975" s="314" t="s">
        <v>148</v>
      </c>
      <c r="E1975" s="315" t="s">
        <v>1327</v>
      </c>
      <c r="F1975" s="316" t="s">
        <v>3769</v>
      </c>
      <c r="G1975" s="317" t="s">
        <v>151</v>
      </c>
      <c r="H1975" s="318">
        <f>H1998</f>
        <v>46.0548</v>
      </c>
      <c r="I1975" s="79"/>
      <c r="J1975" s="319">
        <f>ROUND(I1975*H1975,2)</f>
        <v>0</v>
      </c>
      <c r="K1975" s="316"/>
      <c r="L1975" s="229"/>
      <c r="M1975" s="320" t="s">
        <v>1</v>
      </c>
      <c r="N1975" s="321" t="s">
        <v>42</v>
      </c>
      <c r="O1975" s="322">
        <v>0.184</v>
      </c>
      <c r="P1975" s="322">
        <f>O1975*H1975</f>
        <v>8.474083199999999</v>
      </c>
      <c r="Q1975" s="322">
        <v>0.00014375</v>
      </c>
      <c r="R1975" s="322">
        <f>Q1975*H1975</f>
        <v>0.0066203775</v>
      </c>
      <c r="S1975" s="322">
        <v>0</v>
      </c>
      <c r="T1975" s="323">
        <f>S1975*H1975</f>
        <v>0</v>
      </c>
      <c r="U1975" s="222"/>
      <c r="V1975" s="222"/>
      <c r="W1975" s="222"/>
      <c r="X1975" s="222"/>
      <c r="Y1975" s="222"/>
      <c r="Z1975" s="222"/>
      <c r="AA1975" s="222"/>
      <c r="AB1975" s="222"/>
      <c r="AC1975" s="222"/>
      <c r="AD1975" s="222"/>
      <c r="AE1975" s="222"/>
      <c r="AR1975" s="324" t="s">
        <v>212</v>
      </c>
      <c r="AT1975" s="324" t="s">
        <v>148</v>
      </c>
      <c r="AU1975" s="324" t="s">
        <v>83</v>
      </c>
      <c r="AY1975" s="214" t="s">
        <v>146</v>
      </c>
      <c r="BE1975" s="325">
        <f>IF(N1975="základní",J1975,0)</f>
        <v>0</v>
      </c>
      <c r="BF1975" s="325">
        <f>IF(N1975="snížená",J1975,0)</f>
        <v>0</v>
      </c>
      <c r="BG1975" s="325">
        <f>IF(N1975="zákl. přenesená",J1975,0)</f>
        <v>0</v>
      </c>
      <c r="BH1975" s="325">
        <f>IF(N1975="sníž. přenesená",J1975,0)</f>
        <v>0</v>
      </c>
      <c r="BI1975" s="325">
        <f>IF(N1975="nulová",J1975,0)</f>
        <v>0</v>
      </c>
      <c r="BJ1975" s="214" t="s">
        <v>81</v>
      </c>
      <c r="BK1975" s="325">
        <f>ROUND(I1975*H1975,2)</f>
        <v>0</v>
      </c>
      <c r="BL1975" s="214" t="s">
        <v>212</v>
      </c>
      <c r="BM1975" s="324" t="s">
        <v>1328</v>
      </c>
    </row>
    <row r="1976" spans="2:51" s="326" customFormat="1" ht="12">
      <c r="B1976" s="327"/>
      <c r="D1976" s="328" t="s">
        <v>155</v>
      </c>
      <c r="E1976" s="329" t="s">
        <v>1</v>
      </c>
      <c r="F1976" s="330" t="s">
        <v>3141</v>
      </c>
      <c r="H1976" s="329" t="s">
        <v>1</v>
      </c>
      <c r="I1976" s="497"/>
      <c r="L1976" s="330"/>
      <c r="M1976" s="332"/>
      <c r="N1976" s="333"/>
      <c r="O1976" s="333"/>
      <c r="P1976" s="333"/>
      <c r="Q1976" s="333"/>
      <c r="R1976" s="333"/>
      <c r="S1976" s="333"/>
      <c r="T1976" s="334"/>
      <c r="AT1976" s="329" t="s">
        <v>155</v>
      </c>
      <c r="AU1976" s="329" t="s">
        <v>83</v>
      </c>
      <c r="AV1976" s="326" t="s">
        <v>81</v>
      </c>
      <c r="AW1976" s="326" t="s">
        <v>34</v>
      </c>
      <c r="AX1976" s="326" t="s">
        <v>76</v>
      </c>
      <c r="AY1976" s="329" t="s">
        <v>146</v>
      </c>
    </row>
    <row r="1977" spans="2:51" s="326" customFormat="1" ht="12">
      <c r="B1977" s="327"/>
      <c r="D1977" s="328" t="s">
        <v>155</v>
      </c>
      <c r="E1977" s="329" t="s">
        <v>1</v>
      </c>
      <c r="F1977" s="330" t="s">
        <v>2916</v>
      </c>
      <c r="H1977" s="329" t="s">
        <v>1</v>
      </c>
      <c r="I1977" s="497"/>
      <c r="L1977" s="338"/>
      <c r="M1977" s="332"/>
      <c r="N1977" s="333"/>
      <c r="O1977" s="333"/>
      <c r="P1977" s="333"/>
      <c r="Q1977" s="333"/>
      <c r="R1977" s="333"/>
      <c r="S1977" s="333"/>
      <c r="T1977" s="334"/>
      <c r="AT1977" s="329" t="s">
        <v>155</v>
      </c>
      <c r="AU1977" s="329" t="s">
        <v>83</v>
      </c>
      <c r="AV1977" s="326" t="s">
        <v>81</v>
      </c>
      <c r="AW1977" s="326" t="s">
        <v>34</v>
      </c>
      <c r="AX1977" s="326" t="s">
        <v>76</v>
      </c>
      <c r="AY1977" s="329" t="s">
        <v>146</v>
      </c>
    </row>
    <row r="1978" spans="2:51" s="326" customFormat="1" ht="12">
      <c r="B1978" s="327"/>
      <c r="D1978" s="328" t="s">
        <v>155</v>
      </c>
      <c r="E1978" s="329" t="s">
        <v>1</v>
      </c>
      <c r="F1978" s="338" t="s">
        <v>3131</v>
      </c>
      <c r="H1978" s="469">
        <f>(4.4*2+3.8*4)*(0.06+0.08)*2</f>
        <v>6.720000000000001</v>
      </c>
      <c r="I1978" s="497"/>
      <c r="L1978" s="330"/>
      <c r="M1978" s="332"/>
      <c r="N1978" s="333"/>
      <c r="O1978" s="333"/>
      <c r="P1978" s="333"/>
      <c r="Q1978" s="333"/>
      <c r="R1978" s="333"/>
      <c r="S1978" s="333"/>
      <c r="T1978" s="334"/>
      <c r="AT1978" s="329" t="s">
        <v>155</v>
      </c>
      <c r="AU1978" s="329" t="s">
        <v>83</v>
      </c>
      <c r="AV1978" s="326" t="s">
        <v>81</v>
      </c>
      <c r="AW1978" s="326" t="s">
        <v>34</v>
      </c>
      <c r="AX1978" s="326" t="s">
        <v>76</v>
      </c>
      <c r="AY1978" s="329" t="s">
        <v>146</v>
      </c>
    </row>
    <row r="1979" spans="2:51" s="335" customFormat="1" ht="12.75" customHeight="1">
      <c r="B1979" s="336"/>
      <c r="D1979" s="328" t="s">
        <v>155</v>
      </c>
      <c r="E1979" s="337" t="s">
        <v>1</v>
      </c>
      <c r="F1979" s="330" t="s">
        <v>2917</v>
      </c>
      <c r="H1979" s="480"/>
      <c r="I1979" s="498"/>
      <c r="L1979" s="338"/>
      <c r="M1979" s="341"/>
      <c r="N1979" s="342"/>
      <c r="O1979" s="342"/>
      <c r="P1979" s="342"/>
      <c r="Q1979" s="342"/>
      <c r="R1979" s="342"/>
      <c r="S1979" s="342"/>
      <c r="T1979" s="343"/>
      <c r="AT1979" s="337" t="s">
        <v>155</v>
      </c>
      <c r="AU1979" s="337" t="s">
        <v>83</v>
      </c>
      <c r="AV1979" s="335" t="s">
        <v>83</v>
      </c>
      <c r="AW1979" s="335" t="s">
        <v>34</v>
      </c>
      <c r="AX1979" s="335" t="s">
        <v>76</v>
      </c>
      <c r="AY1979" s="337" t="s">
        <v>146</v>
      </c>
    </row>
    <row r="1980" spans="2:51" s="326" customFormat="1" ht="12">
      <c r="B1980" s="327"/>
      <c r="D1980" s="328" t="s">
        <v>155</v>
      </c>
      <c r="E1980" s="329" t="s">
        <v>1</v>
      </c>
      <c r="F1980" s="338" t="s">
        <v>3132</v>
      </c>
      <c r="H1980" s="469">
        <f>(5.33*6+3.6+3*2)*0.08*4</f>
        <v>13.3056</v>
      </c>
      <c r="I1980" s="497"/>
      <c r="L1980" s="330"/>
      <c r="M1980" s="332"/>
      <c r="N1980" s="333"/>
      <c r="O1980" s="333"/>
      <c r="P1980" s="333"/>
      <c r="Q1980" s="333"/>
      <c r="R1980" s="333"/>
      <c r="S1980" s="333"/>
      <c r="T1980" s="334"/>
      <c r="AT1980" s="329" t="s">
        <v>155</v>
      </c>
      <c r="AU1980" s="329" t="s">
        <v>83</v>
      </c>
      <c r="AV1980" s="326" t="s">
        <v>81</v>
      </c>
      <c r="AW1980" s="326" t="s">
        <v>34</v>
      </c>
      <c r="AX1980" s="326" t="s">
        <v>76</v>
      </c>
      <c r="AY1980" s="329" t="s">
        <v>146</v>
      </c>
    </row>
    <row r="1981" spans="2:51" s="335" customFormat="1" ht="15.75" customHeight="1">
      <c r="B1981" s="336"/>
      <c r="D1981" s="328" t="s">
        <v>155</v>
      </c>
      <c r="E1981" s="337" t="s">
        <v>1</v>
      </c>
      <c r="F1981" s="330" t="s">
        <v>2918</v>
      </c>
      <c r="H1981" s="480"/>
      <c r="I1981" s="498"/>
      <c r="L1981" s="364"/>
      <c r="M1981" s="341"/>
      <c r="N1981" s="342"/>
      <c r="O1981" s="342"/>
      <c r="P1981" s="342"/>
      <c r="Q1981" s="342"/>
      <c r="R1981" s="342"/>
      <c r="S1981" s="342"/>
      <c r="T1981" s="343"/>
      <c r="AT1981" s="337" t="s">
        <v>155</v>
      </c>
      <c r="AU1981" s="337" t="s">
        <v>83</v>
      </c>
      <c r="AV1981" s="335" t="s">
        <v>83</v>
      </c>
      <c r="AW1981" s="335" t="s">
        <v>34</v>
      </c>
      <c r="AX1981" s="335" t="s">
        <v>76</v>
      </c>
      <c r="AY1981" s="337" t="s">
        <v>146</v>
      </c>
    </row>
    <row r="1982" spans="2:51" s="326" customFormat="1" ht="12">
      <c r="B1982" s="327"/>
      <c r="D1982" s="328" t="s">
        <v>155</v>
      </c>
      <c r="E1982" s="329" t="s">
        <v>1</v>
      </c>
      <c r="F1982" s="338" t="s">
        <v>3134</v>
      </c>
      <c r="H1982" s="469">
        <f>3.9*0.489</f>
        <v>1.9071</v>
      </c>
      <c r="I1982" s="497"/>
      <c r="L1982" s="330"/>
      <c r="M1982" s="332"/>
      <c r="N1982" s="333"/>
      <c r="O1982" s="333"/>
      <c r="P1982" s="333"/>
      <c r="Q1982" s="333"/>
      <c r="R1982" s="333"/>
      <c r="S1982" s="333"/>
      <c r="T1982" s="334"/>
      <c r="AT1982" s="329" t="s">
        <v>155</v>
      </c>
      <c r="AU1982" s="329" t="s">
        <v>83</v>
      </c>
      <c r="AV1982" s="326" t="s">
        <v>81</v>
      </c>
      <c r="AW1982" s="326" t="s">
        <v>34</v>
      </c>
      <c r="AX1982" s="326" t="s">
        <v>76</v>
      </c>
      <c r="AY1982" s="329" t="s">
        <v>146</v>
      </c>
    </row>
    <row r="1983" spans="2:51" s="335" customFormat="1" ht="12">
      <c r="B1983" s="336"/>
      <c r="D1983" s="328" t="s">
        <v>155</v>
      </c>
      <c r="E1983" s="337" t="s">
        <v>1</v>
      </c>
      <c r="F1983" s="330" t="s">
        <v>2919</v>
      </c>
      <c r="H1983" s="480"/>
      <c r="I1983" s="498"/>
      <c r="L1983" s="338"/>
      <c r="M1983" s="341"/>
      <c r="N1983" s="342"/>
      <c r="O1983" s="342"/>
      <c r="P1983" s="342"/>
      <c r="Q1983" s="342"/>
      <c r="R1983" s="342"/>
      <c r="S1983" s="342"/>
      <c r="T1983" s="343"/>
      <c r="AT1983" s="337" t="s">
        <v>155</v>
      </c>
      <c r="AU1983" s="337" t="s">
        <v>83</v>
      </c>
      <c r="AV1983" s="335" t="s">
        <v>83</v>
      </c>
      <c r="AW1983" s="335" t="s">
        <v>34</v>
      </c>
      <c r="AX1983" s="335" t="s">
        <v>76</v>
      </c>
      <c r="AY1983" s="337" t="s">
        <v>146</v>
      </c>
    </row>
    <row r="1984" spans="2:51" s="455" customFormat="1" ht="12">
      <c r="B1984" s="456"/>
      <c r="D1984" s="328" t="s">
        <v>155</v>
      </c>
      <c r="E1984" s="457" t="s">
        <v>1</v>
      </c>
      <c r="F1984" s="338" t="s">
        <v>3135</v>
      </c>
      <c r="H1984" s="480">
        <f>3.3*2*0.434</f>
        <v>2.8644</v>
      </c>
      <c r="I1984" s="506"/>
      <c r="L1984" s="330"/>
      <c r="M1984" s="461"/>
      <c r="N1984" s="462"/>
      <c r="O1984" s="462"/>
      <c r="P1984" s="462"/>
      <c r="Q1984" s="462"/>
      <c r="R1984" s="462"/>
      <c r="S1984" s="462"/>
      <c r="T1984" s="463"/>
      <c r="AT1984" s="457" t="s">
        <v>155</v>
      </c>
      <c r="AU1984" s="457" t="s">
        <v>83</v>
      </c>
      <c r="AV1984" s="455" t="s">
        <v>159</v>
      </c>
      <c r="AW1984" s="455" t="s">
        <v>34</v>
      </c>
      <c r="AX1984" s="455" t="s">
        <v>76</v>
      </c>
      <c r="AY1984" s="457" t="s">
        <v>146</v>
      </c>
    </row>
    <row r="1985" spans="2:51" s="481" customFormat="1" ht="12">
      <c r="B1985" s="482"/>
      <c r="D1985" s="483" t="s">
        <v>155</v>
      </c>
      <c r="E1985" s="484" t="s">
        <v>1</v>
      </c>
      <c r="F1985" s="485" t="s">
        <v>2862</v>
      </c>
      <c r="H1985" s="486">
        <f>SUM(H1978:H1984)</f>
        <v>24.7971</v>
      </c>
      <c r="I1985" s="508"/>
      <c r="L1985" s="487"/>
      <c r="M1985" s="488"/>
      <c r="N1985" s="489"/>
      <c r="O1985" s="489"/>
      <c r="P1985" s="489"/>
      <c r="Q1985" s="489"/>
      <c r="R1985" s="489"/>
      <c r="S1985" s="489"/>
      <c r="T1985" s="490"/>
      <c r="AT1985" s="484" t="s">
        <v>155</v>
      </c>
      <c r="AU1985" s="484" t="s">
        <v>83</v>
      </c>
      <c r="AV1985" s="481" t="s">
        <v>153</v>
      </c>
      <c r="AW1985" s="481" t="s">
        <v>34</v>
      </c>
      <c r="AX1985" s="481" t="s">
        <v>81</v>
      </c>
      <c r="AY1985" s="484" t="s">
        <v>146</v>
      </c>
    </row>
    <row r="1986" spans="2:51" s="326" customFormat="1" ht="12">
      <c r="B1986" s="327"/>
      <c r="D1986" s="328" t="s">
        <v>155</v>
      </c>
      <c r="E1986" s="329" t="s">
        <v>1</v>
      </c>
      <c r="F1986" s="330" t="s">
        <v>3140</v>
      </c>
      <c r="H1986" s="329" t="s">
        <v>1</v>
      </c>
      <c r="I1986" s="497"/>
      <c r="L1986" s="330"/>
      <c r="M1986" s="332"/>
      <c r="N1986" s="333"/>
      <c r="O1986" s="333"/>
      <c r="P1986" s="333"/>
      <c r="Q1986" s="333"/>
      <c r="R1986" s="333"/>
      <c r="S1986" s="333"/>
      <c r="T1986" s="334"/>
      <c r="AT1986" s="329" t="s">
        <v>155</v>
      </c>
      <c r="AU1986" s="329" t="s">
        <v>83</v>
      </c>
      <c r="AV1986" s="326" t="s">
        <v>81</v>
      </c>
      <c r="AW1986" s="326" t="s">
        <v>34</v>
      </c>
      <c r="AX1986" s="326" t="s">
        <v>76</v>
      </c>
      <c r="AY1986" s="329" t="s">
        <v>146</v>
      </c>
    </row>
    <row r="1987" spans="2:51" s="335" customFormat="1" ht="12">
      <c r="B1987" s="336"/>
      <c r="D1987" s="328" t="s">
        <v>155</v>
      </c>
      <c r="E1987" s="337" t="s">
        <v>1</v>
      </c>
      <c r="F1987" s="330" t="s">
        <v>2926</v>
      </c>
      <c r="H1987" s="480"/>
      <c r="I1987" s="498"/>
      <c r="L1987" s="338"/>
      <c r="M1987" s="341"/>
      <c r="N1987" s="342"/>
      <c r="O1987" s="342"/>
      <c r="P1987" s="342"/>
      <c r="Q1987" s="342"/>
      <c r="R1987" s="342"/>
      <c r="S1987" s="342"/>
      <c r="T1987" s="343"/>
      <c r="AT1987" s="337" t="s">
        <v>155</v>
      </c>
      <c r="AU1987" s="337" t="s">
        <v>83</v>
      </c>
      <c r="AV1987" s="335" t="s">
        <v>83</v>
      </c>
      <c r="AW1987" s="335" t="s">
        <v>34</v>
      </c>
      <c r="AX1987" s="335" t="s">
        <v>76</v>
      </c>
      <c r="AY1987" s="337" t="s">
        <v>146</v>
      </c>
    </row>
    <row r="1988" spans="2:51" s="326" customFormat="1" ht="12">
      <c r="B1988" s="327"/>
      <c r="D1988" s="328" t="s">
        <v>155</v>
      </c>
      <c r="E1988" s="329" t="s">
        <v>1</v>
      </c>
      <c r="F1988" s="338" t="s">
        <v>3133</v>
      </c>
      <c r="H1988" s="469">
        <f>3.19*4*0.1*4</f>
        <v>5.104</v>
      </c>
      <c r="I1988" s="497"/>
      <c r="L1988" s="356"/>
      <c r="M1988" s="332"/>
      <c r="N1988" s="333"/>
      <c r="O1988" s="333"/>
      <c r="P1988" s="333"/>
      <c r="Q1988" s="333"/>
      <c r="R1988" s="333"/>
      <c r="S1988" s="333"/>
      <c r="T1988" s="334"/>
      <c r="AT1988" s="329" t="s">
        <v>155</v>
      </c>
      <c r="AU1988" s="329" t="s">
        <v>83</v>
      </c>
      <c r="AV1988" s="326" t="s">
        <v>81</v>
      </c>
      <c r="AW1988" s="326" t="s">
        <v>34</v>
      </c>
      <c r="AX1988" s="326" t="s">
        <v>76</v>
      </c>
      <c r="AY1988" s="329" t="s">
        <v>146</v>
      </c>
    </row>
    <row r="1989" spans="2:51" s="326" customFormat="1" ht="12">
      <c r="B1989" s="327"/>
      <c r="D1989" s="328" t="s">
        <v>155</v>
      </c>
      <c r="E1989" s="329" t="s">
        <v>1</v>
      </c>
      <c r="F1989" s="330" t="s">
        <v>3136</v>
      </c>
      <c r="H1989" s="469">
        <f>(0.3*0.2+0.15*0.275)*2</f>
        <v>0.2025</v>
      </c>
      <c r="I1989" s="497"/>
      <c r="L1989" s="338"/>
      <c r="M1989" s="332"/>
      <c r="N1989" s="333"/>
      <c r="O1989" s="333"/>
      <c r="P1989" s="333"/>
      <c r="Q1989" s="333"/>
      <c r="R1989" s="333"/>
      <c r="S1989" s="333"/>
      <c r="T1989" s="334"/>
      <c r="AT1989" s="329" t="s">
        <v>155</v>
      </c>
      <c r="AU1989" s="329" t="s">
        <v>83</v>
      </c>
      <c r="AV1989" s="326" t="s">
        <v>81</v>
      </c>
      <c r="AW1989" s="326" t="s">
        <v>34</v>
      </c>
      <c r="AX1989" s="326" t="s">
        <v>76</v>
      </c>
      <c r="AY1989" s="329" t="s">
        <v>146</v>
      </c>
    </row>
    <row r="1990" spans="2:51" s="326" customFormat="1" ht="12">
      <c r="B1990" s="327"/>
      <c r="D1990" s="328" t="s">
        <v>155</v>
      </c>
      <c r="E1990" s="329" t="s">
        <v>1</v>
      </c>
      <c r="F1990" s="330" t="s">
        <v>3137</v>
      </c>
      <c r="H1990" s="469">
        <f>(0.15*0.15/2)*8*2</f>
        <v>0.18</v>
      </c>
      <c r="I1990" s="497"/>
      <c r="L1990" s="356"/>
      <c r="M1990" s="332"/>
      <c r="N1990" s="333"/>
      <c r="O1990" s="333"/>
      <c r="P1990" s="333"/>
      <c r="Q1990" s="333"/>
      <c r="R1990" s="333"/>
      <c r="S1990" s="333"/>
      <c r="T1990" s="334"/>
      <c r="AT1990" s="329" t="s">
        <v>155</v>
      </c>
      <c r="AU1990" s="329" t="s">
        <v>83</v>
      </c>
      <c r="AV1990" s="326" t="s">
        <v>81</v>
      </c>
      <c r="AW1990" s="326" t="s">
        <v>34</v>
      </c>
      <c r="AX1990" s="326" t="s">
        <v>76</v>
      </c>
      <c r="AY1990" s="329" t="s">
        <v>146</v>
      </c>
    </row>
    <row r="1991" spans="2:51" s="481" customFormat="1" ht="12">
      <c r="B1991" s="482"/>
      <c r="D1991" s="483" t="s">
        <v>155</v>
      </c>
      <c r="E1991" s="484" t="s">
        <v>1</v>
      </c>
      <c r="F1991" s="485" t="s">
        <v>2862</v>
      </c>
      <c r="H1991" s="486">
        <f>SUM(H1988:H1990)</f>
        <v>5.4864999999999995</v>
      </c>
      <c r="I1991" s="508"/>
      <c r="L1991" s="487"/>
      <c r="M1991" s="488"/>
      <c r="N1991" s="489"/>
      <c r="O1991" s="489"/>
      <c r="P1991" s="489"/>
      <c r="Q1991" s="489"/>
      <c r="R1991" s="489"/>
      <c r="S1991" s="489"/>
      <c r="T1991" s="490"/>
      <c r="AT1991" s="484" t="s">
        <v>155</v>
      </c>
      <c r="AU1991" s="484" t="s">
        <v>83</v>
      </c>
      <c r="AV1991" s="481" t="s">
        <v>153</v>
      </c>
      <c r="AW1991" s="481" t="s">
        <v>34</v>
      </c>
      <c r="AX1991" s="481" t="s">
        <v>81</v>
      </c>
      <c r="AY1991" s="484" t="s">
        <v>146</v>
      </c>
    </row>
    <row r="1992" spans="2:51" s="455" customFormat="1" ht="12">
      <c r="B1992" s="456"/>
      <c r="D1992" s="328" t="s">
        <v>155</v>
      </c>
      <c r="E1992" s="457" t="s">
        <v>1</v>
      </c>
      <c r="F1992" s="330" t="s">
        <v>3139</v>
      </c>
      <c r="H1992" s="459"/>
      <c r="I1992" s="506"/>
      <c r="L1992" s="460"/>
      <c r="M1992" s="461"/>
      <c r="N1992" s="462"/>
      <c r="O1992" s="462"/>
      <c r="P1992" s="462"/>
      <c r="Q1992" s="462"/>
      <c r="R1992" s="462"/>
      <c r="S1992" s="462"/>
      <c r="T1992" s="463"/>
      <c r="AT1992" s="457" t="s">
        <v>155</v>
      </c>
      <c r="AU1992" s="457" t="s">
        <v>83</v>
      </c>
      <c r="AV1992" s="455" t="s">
        <v>159</v>
      </c>
      <c r="AW1992" s="455" t="s">
        <v>34</v>
      </c>
      <c r="AX1992" s="455" t="s">
        <v>76</v>
      </c>
      <c r="AY1992" s="457" t="s">
        <v>146</v>
      </c>
    </row>
    <row r="1993" spans="2:51" s="326" customFormat="1" ht="12">
      <c r="B1993" s="327"/>
      <c r="D1993" s="328" t="s">
        <v>155</v>
      </c>
      <c r="E1993" s="329" t="s">
        <v>1</v>
      </c>
      <c r="F1993" s="468" t="s">
        <v>3149</v>
      </c>
      <c r="H1993" s="491">
        <f>2*(2.1*(0.18*2+0.008*2)+15*0.04*0.04)</f>
        <v>1.6272000000000002</v>
      </c>
      <c r="I1993" s="497"/>
      <c r="L1993" s="331"/>
      <c r="M1993" s="332"/>
      <c r="N1993" s="333"/>
      <c r="O1993" s="333"/>
      <c r="P1993" s="333"/>
      <c r="Q1993" s="333"/>
      <c r="R1993" s="333"/>
      <c r="S1993" s="333"/>
      <c r="T1993" s="334"/>
      <c r="AT1993" s="329" t="s">
        <v>155</v>
      </c>
      <c r="AU1993" s="329" t="s">
        <v>83</v>
      </c>
      <c r="AV1993" s="326" t="s">
        <v>81</v>
      </c>
      <c r="AW1993" s="326" t="s">
        <v>34</v>
      </c>
      <c r="AX1993" s="326" t="s">
        <v>76</v>
      </c>
      <c r="AY1993" s="329" t="s">
        <v>146</v>
      </c>
    </row>
    <row r="1994" spans="2:51" s="335" customFormat="1" ht="12">
      <c r="B1994" s="336"/>
      <c r="D1994" s="328" t="s">
        <v>155</v>
      </c>
      <c r="E1994" s="337" t="s">
        <v>1</v>
      </c>
      <c r="F1994" s="330" t="s">
        <v>3158</v>
      </c>
      <c r="H1994" s="480"/>
      <c r="I1994" s="498"/>
      <c r="L1994" s="338"/>
      <c r="M1994" s="341"/>
      <c r="N1994" s="342"/>
      <c r="O1994" s="342"/>
      <c r="P1994" s="342"/>
      <c r="Q1994" s="342"/>
      <c r="R1994" s="342"/>
      <c r="S1994" s="342"/>
      <c r="T1994" s="343"/>
      <c r="AT1994" s="337" t="s">
        <v>155</v>
      </c>
      <c r="AU1994" s="337" t="s">
        <v>83</v>
      </c>
      <c r="AV1994" s="335" t="s">
        <v>83</v>
      </c>
      <c r="AW1994" s="335" t="s">
        <v>34</v>
      </c>
      <c r="AX1994" s="335" t="s">
        <v>76</v>
      </c>
      <c r="AY1994" s="337" t="s">
        <v>146</v>
      </c>
    </row>
    <row r="1995" spans="2:51" s="326" customFormat="1" ht="12">
      <c r="B1995" s="327"/>
      <c r="D1995" s="328" t="s">
        <v>155</v>
      </c>
      <c r="E1995" s="329" t="s">
        <v>1</v>
      </c>
      <c r="F1995" s="338" t="s">
        <v>3159</v>
      </c>
      <c r="H1995" s="491">
        <f>(20*2+24*1.8)*(0.08*2+0.005*2)</f>
        <v>14.144000000000002</v>
      </c>
      <c r="I1995" s="497"/>
      <c r="L1995" s="356"/>
      <c r="M1995" s="332"/>
      <c r="N1995" s="333"/>
      <c r="O1995" s="333"/>
      <c r="P1995" s="333"/>
      <c r="Q1995" s="333"/>
      <c r="R1995" s="333"/>
      <c r="S1995" s="333"/>
      <c r="T1995" s="334"/>
      <c r="AT1995" s="329" t="s">
        <v>155</v>
      </c>
      <c r="AU1995" s="329" t="s">
        <v>83</v>
      </c>
      <c r="AV1995" s="326" t="s">
        <v>81</v>
      </c>
      <c r="AW1995" s="326" t="s">
        <v>34</v>
      </c>
      <c r="AX1995" s="326" t="s">
        <v>76</v>
      </c>
      <c r="AY1995" s="329" t="s">
        <v>146</v>
      </c>
    </row>
    <row r="1996" spans="2:51" s="326" customFormat="1" ht="12">
      <c r="B1996" s="327"/>
      <c r="D1996" s="328"/>
      <c r="E1996" s="329"/>
      <c r="F1996" s="330"/>
      <c r="H1996" s="329"/>
      <c r="I1996" s="497"/>
      <c r="L1996" s="331"/>
      <c r="M1996" s="332"/>
      <c r="N1996" s="333"/>
      <c r="O1996" s="333"/>
      <c r="P1996" s="333"/>
      <c r="Q1996" s="333"/>
      <c r="R1996" s="333"/>
      <c r="S1996" s="333"/>
      <c r="T1996" s="334"/>
      <c r="AT1996" s="329"/>
      <c r="AU1996" s="329"/>
      <c r="AY1996" s="329"/>
    </row>
    <row r="1997" spans="2:51" s="335" customFormat="1" ht="12">
      <c r="B1997" s="336"/>
      <c r="D1997" s="328"/>
      <c r="E1997" s="337"/>
      <c r="F1997" s="338"/>
      <c r="H1997" s="339"/>
      <c r="I1997" s="498"/>
      <c r="L1997" s="340"/>
      <c r="M1997" s="341"/>
      <c r="N1997" s="342"/>
      <c r="O1997" s="342"/>
      <c r="P1997" s="342"/>
      <c r="Q1997" s="342"/>
      <c r="R1997" s="342"/>
      <c r="S1997" s="342"/>
      <c r="T1997" s="343"/>
      <c r="AT1997" s="337"/>
      <c r="AU1997" s="337"/>
      <c r="AY1997" s="337"/>
    </row>
    <row r="1998" spans="2:51" s="347" customFormat="1" ht="12">
      <c r="B1998" s="348"/>
      <c r="D1998" s="328" t="s">
        <v>155</v>
      </c>
      <c r="E1998" s="349" t="s">
        <v>1</v>
      </c>
      <c r="F1998" s="356" t="s">
        <v>157</v>
      </c>
      <c r="H1998" s="351">
        <f>SUM(H1985,H1991,H1993,H1995)</f>
        <v>46.0548</v>
      </c>
      <c r="I1998" s="499"/>
      <c r="L1998" s="352"/>
      <c r="M1998" s="353"/>
      <c r="N1998" s="354"/>
      <c r="O1998" s="354"/>
      <c r="P1998" s="354"/>
      <c r="Q1998" s="354"/>
      <c r="R1998" s="354"/>
      <c r="S1998" s="354"/>
      <c r="T1998" s="355"/>
      <c r="AT1998" s="349" t="s">
        <v>155</v>
      </c>
      <c r="AU1998" s="349" t="s">
        <v>83</v>
      </c>
      <c r="AV1998" s="347" t="s">
        <v>153</v>
      </c>
      <c r="AW1998" s="347" t="s">
        <v>34</v>
      </c>
      <c r="AX1998" s="347" t="s">
        <v>81</v>
      </c>
      <c r="AY1998" s="349" t="s">
        <v>146</v>
      </c>
    </row>
    <row r="1999" spans="1:65" s="225" customFormat="1" ht="38.25" customHeight="1">
      <c r="A1999" s="222"/>
      <c r="B1999" s="223"/>
      <c r="C1999" s="314" t="s">
        <v>1329</v>
      </c>
      <c r="D1999" s="314" t="s">
        <v>148</v>
      </c>
      <c r="E1999" s="315"/>
      <c r="F1999" s="316" t="s">
        <v>3770</v>
      </c>
      <c r="G1999" s="317" t="s">
        <v>151</v>
      </c>
      <c r="H1999" s="318">
        <f>H2015</f>
        <v>219.85618000000002</v>
      </c>
      <c r="I1999" s="79"/>
      <c r="J1999" s="319">
        <f>ROUND(I1999*H1999,2)</f>
        <v>0</v>
      </c>
      <c r="K1999" s="316"/>
      <c r="L1999" s="229"/>
      <c r="M1999" s="320" t="s">
        <v>1</v>
      </c>
      <c r="N1999" s="321" t="s">
        <v>42</v>
      </c>
      <c r="O1999" s="322">
        <v>0.172</v>
      </c>
      <c r="P1999" s="322">
        <f>O1999*H1999</f>
        <v>37.81526296</v>
      </c>
      <c r="Q1999" s="322">
        <v>0.00012305</v>
      </c>
      <c r="R1999" s="322">
        <f>Q1999*H1999</f>
        <v>0.027053302949000005</v>
      </c>
      <c r="S1999" s="322">
        <v>0</v>
      </c>
      <c r="T1999" s="323">
        <f>S1999*H1999</f>
        <v>0</v>
      </c>
      <c r="U1999" s="222"/>
      <c r="V1999" s="222"/>
      <c r="W1999" s="222"/>
      <c r="X1999" s="222"/>
      <c r="Y1999" s="222"/>
      <c r="Z1999" s="222"/>
      <c r="AA1999" s="222"/>
      <c r="AB1999" s="222"/>
      <c r="AC1999" s="222"/>
      <c r="AD1999" s="222"/>
      <c r="AE1999" s="222"/>
      <c r="AR1999" s="324" t="s">
        <v>212</v>
      </c>
      <c r="AT1999" s="324" t="s">
        <v>148</v>
      </c>
      <c r="AU1999" s="324" t="s">
        <v>83</v>
      </c>
      <c r="AY1999" s="214" t="s">
        <v>146</v>
      </c>
      <c r="BE1999" s="325">
        <f>IF(N1999="základní",J1999,0)</f>
        <v>0</v>
      </c>
      <c r="BF1999" s="325">
        <f>IF(N1999="snížená",J1999,0)</f>
        <v>0</v>
      </c>
      <c r="BG1999" s="325">
        <f>IF(N1999="zákl. přenesená",J1999,0)</f>
        <v>0</v>
      </c>
      <c r="BH1999" s="325">
        <f>IF(N1999="sníž. přenesená",J1999,0)</f>
        <v>0</v>
      </c>
      <c r="BI1999" s="325">
        <f>IF(N1999="nulová",J1999,0)</f>
        <v>0</v>
      </c>
      <c r="BJ1999" s="214" t="s">
        <v>81</v>
      </c>
      <c r="BK1999" s="325">
        <f>ROUND(I1999*H1999,2)</f>
        <v>0</v>
      </c>
      <c r="BL1999" s="214" t="s">
        <v>212</v>
      </c>
      <c r="BM1999" s="324" t="s">
        <v>1330</v>
      </c>
    </row>
    <row r="2000" spans="2:51" s="326" customFormat="1" ht="12">
      <c r="B2000" s="327"/>
      <c r="D2000" s="328" t="s">
        <v>155</v>
      </c>
      <c r="E2000" s="329" t="s">
        <v>1</v>
      </c>
      <c r="F2000" s="330" t="s">
        <v>3141</v>
      </c>
      <c r="H2000" s="480">
        <f>H1985</f>
        <v>24.7971</v>
      </c>
      <c r="I2000" s="497"/>
      <c r="L2000" s="330"/>
      <c r="M2000" s="332"/>
      <c r="N2000" s="333"/>
      <c r="O2000" s="333"/>
      <c r="P2000" s="333"/>
      <c r="Q2000" s="333"/>
      <c r="R2000" s="333"/>
      <c r="S2000" s="333"/>
      <c r="T2000" s="334"/>
      <c r="AT2000" s="329" t="s">
        <v>155</v>
      </c>
      <c r="AU2000" s="329" t="s">
        <v>83</v>
      </c>
      <c r="AV2000" s="326" t="s">
        <v>81</v>
      </c>
      <c r="AW2000" s="326" t="s">
        <v>34</v>
      </c>
      <c r="AX2000" s="326" t="s">
        <v>76</v>
      </c>
      <c r="AY2000" s="329" t="s">
        <v>146</v>
      </c>
    </row>
    <row r="2001" spans="2:51" s="326" customFormat="1" ht="19.5" customHeight="1">
      <c r="B2001" s="327"/>
      <c r="D2001" s="328" t="s">
        <v>155</v>
      </c>
      <c r="E2001" s="329" t="s">
        <v>1</v>
      </c>
      <c r="F2001" s="330" t="s">
        <v>3140</v>
      </c>
      <c r="H2001" s="480">
        <f>H1991</f>
        <v>5.4864999999999995</v>
      </c>
      <c r="I2001" s="497"/>
      <c r="L2001" s="364"/>
      <c r="M2001" s="361"/>
      <c r="N2001" s="362"/>
      <c r="O2001" s="333"/>
      <c r="P2001" s="333"/>
      <c r="Q2001" s="333"/>
      <c r="R2001" s="333"/>
      <c r="S2001" s="333"/>
      <c r="T2001" s="334"/>
      <c r="AT2001" s="329" t="s">
        <v>155</v>
      </c>
      <c r="AU2001" s="329" t="s">
        <v>83</v>
      </c>
      <c r="AV2001" s="326" t="s">
        <v>81</v>
      </c>
      <c r="AW2001" s="326" t="s">
        <v>34</v>
      </c>
      <c r="AX2001" s="326" t="s">
        <v>76</v>
      </c>
      <c r="AY2001" s="329" t="s">
        <v>146</v>
      </c>
    </row>
    <row r="2002" spans="2:51" s="455" customFormat="1" ht="19.5" customHeight="1">
      <c r="B2002" s="456"/>
      <c r="D2002" s="328" t="s">
        <v>155</v>
      </c>
      <c r="E2002" s="457" t="s">
        <v>1</v>
      </c>
      <c r="F2002" s="330" t="s">
        <v>3139</v>
      </c>
      <c r="H2002" s="480">
        <f>H1993</f>
        <v>1.6272000000000002</v>
      </c>
      <c r="I2002" s="506"/>
      <c r="L2002" s="330"/>
      <c r="M2002" s="326"/>
      <c r="N2002" s="329"/>
      <c r="O2002" s="462"/>
      <c r="P2002" s="462"/>
      <c r="Q2002" s="462"/>
      <c r="R2002" s="462"/>
      <c r="S2002" s="462"/>
      <c r="T2002" s="463"/>
      <c r="AT2002" s="457" t="s">
        <v>155</v>
      </c>
      <c r="AU2002" s="457" t="s">
        <v>83</v>
      </c>
      <c r="AV2002" s="455" t="s">
        <v>159</v>
      </c>
      <c r="AW2002" s="455" t="s">
        <v>34</v>
      </c>
      <c r="AX2002" s="455" t="s">
        <v>76</v>
      </c>
      <c r="AY2002" s="457" t="s">
        <v>146</v>
      </c>
    </row>
    <row r="2003" spans="2:51" s="455" customFormat="1" ht="11.25" customHeight="1">
      <c r="B2003" s="456"/>
      <c r="D2003" s="328" t="s">
        <v>155</v>
      </c>
      <c r="E2003" s="457" t="s">
        <v>1</v>
      </c>
      <c r="F2003" s="330" t="s">
        <v>3150</v>
      </c>
      <c r="H2003" s="480"/>
      <c r="I2003" s="506"/>
      <c r="L2003" s="364"/>
      <c r="M2003" s="361"/>
      <c r="N2003" s="362"/>
      <c r="O2003" s="462"/>
      <c r="P2003" s="462"/>
      <c r="Q2003" s="462"/>
      <c r="R2003" s="462"/>
      <c r="S2003" s="462"/>
      <c r="T2003" s="463"/>
      <c r="AT2003" s="457" t="s">
        <v>155</v>
      </c>
      <c r="AU2003" s="457" t="s">
        <v>83</v>
      </c>
      <c r="AV2003" s="455" t="s">
        <v>159</v>
      </c>
      <c r="AW2003" s="455" t="s">
        <v>34</v>
      </c>
      <c r="AX2003" s="455" t="s">
        <v>76</v>
      </c>
      <c r="AY2003" s="457" t="s">
        <v>146</v>
      </c>
    </row>
    <row r="2004" spans="1:65" s="225" customFormat="1" ht="14.25" customHeight="1">
      <c r="A2004" s="222"/>
      <c r="B2004" s="223"/>
      <c r="C2004" s="492"/>
      <c r="D2004" s="383"/>
      <c r="E2004" s="384"/>
      <c r="F2004" s="388" t="s">
        <v>3152</v>
      </c>
      <c r="G2004" s="385"/>
      <c r="H2004" s="386">
        <f>(0.7+2*2)*0.3*11</f>
        <v>15.51</v>
      </c>
      <c r="I2004" s="86"/>
      <c r="J2004" s="387"/>
      <c r="K2004" s="493"/>
      <c r="L2004" s="330"/>
      <c r="M2004" s="326"/>
      <c r="N2004" s="329"/>
      <c r="O2004" s="322"/>
      <c r="P2004" s="322"/>
      <c r="Q2004" s="322"/>
      <c r="R2004" s="322"/>
      <c r="S2004" s="322"/>
      <c r="T2004" s="323"/>
      <c r="U2004" s="222"/>
      <c r="V2004" s="222"/>
      <c r="W2004" s="222"/>
      <c r="X2004" s="222"/>
      <c r="Y2004" s="222"/>
      <c r="Z2004" s="222"/>
      <c r="AA2004" s="222"/>
      <c r="AB2004" s="222"/>
      <c r="AC2004" s="222"/>
      <c r="AD2004" s="222"/>
      <c r="AE2004" s="222"/>
      <c r="AR2004" s="324"/>
      <c r="AT2004" s="324"/>
      <c r="AU2004" s="324"/>
      <c r="AY2004" s="214"/>
      <c r="BE2004" s="325"/>
      <c r="BF2004" s="325"/>
      <c r="BG2004" s="325"/>
      <c r="BH2004" s="325"/>
      <c r="BI2004" s="325"/>
      <c r="BJ2004" s="214"/>
      <c r="BK2004" s="325"/>
      <c r="BL2004" s="214"/>
      <c r="BM2004" s="324"/>
    </row>
    <row r="2005" spans="1:65" s="225" customFormat="1" ht="14.25" customHeight="1">
      <c r="A2005" s="222"/>
      <c r="B2005" s="223"/>
      <c r="C2005" s="492"/>
      <c r="D2005" s="383"/>
      <c r="E2005" s="384"/>
      <c r="F2005" s="388" t="s">
        <v>3153</v>
      </c>
      <c r="G2005" s="385"/>
      <c r="H2005" s="386">
        <f>(0.8+2*2)*0.3*13</f>
        <v>18.72</v>
      </c>
      <c r="I2005" s="86"/>
      <c r="J2005" s="387"/>
      <c r="K2005" s="493"/>
      <c r="L2005" s="364"/>
      <c r="M2005" s="361"/>
      <c r="N2005" s="362"/>
      <c r="O2005" s="322"/>
      <c r="P2005" s="322"/>
      <c r="Q2005" s="322"/>
      <c r="R2005" s="322"/>
      <c r="S2005" s="322"/>
      <c r="T2005" s="323"/>
      <c r="U2005" s="222"/>
      <c r="V2005" s="222"/>
      <c r="W2005" s="222"/>
      <c r="X2005" s="222"/>
      <c r="Y2005" s="222"/>
      <c r="Z2005" s="222"/>
      <c r="AA2005" s="222"/>
      <c r="AB2005" s="222"/>
      <c r="AC2005" s="222"/>
      <c r="AD2005" s="222"/>
      <c r="AE2005" s="222"/>
      <c r="AR2005" s="324"/>
      <c r="AT2005" s="324"/>
      <c r="AU2005" s="324"/>
      <c r="AY2005" s="214"/>
      <c r="BE2005" s="325"/>
      <c r="BF2005" s="325"/>
      <c r="BG2005" s="325"/>
      <c r="BH2005" s="325"/>
      <c r="BI2005" s="325"/>
      <c r="BJ2005" s="214"/>
      <c r="BK2005" s="325"/>
      <c r="BL2005" s="214"/>
      <c r="BM2005" s="324"/>
    </row>
    <row r="2006" spans="1:65" s="225" customFormat="1" ht="14.25" customHeight="1">
      <c r="A2006" s="222"/>
      <c r="B2006" s="223"/>
      <c r="C2006" s="492"/>
      <c r="D2006" s="383"/>
      <c r="E2006" s="384"/>
      <c r="F2006" s="388" t="s">
        <v>3154</v>
      </c>
      <c r="G2006" s="385"/>
      <c r="H2006" s="386">
        <f>(1.4+2*2)*0.25*2</f>
        <v>2.7</v>
      </c>
      <c r="I2006" s="86"/>
      <c r="J2006" s="387"/>
      <c r="K2006" s="493"/>
      <c r="L2006" s="330"/>
      <c r="M2006" s="326"/>
      <c r="N2006" s="329"/>
      <c r="O2006" s="322"/>
      <c r="P2006" s="322"/>
      <c r="Q2006" s="322"/>
      <c r="R2006" s="322"/>
      <c r="S2006" s="322"/>
      <c r="T2006" s="323"/>
      <c r="U2006" s="222"/>
      <c r="V2006" s="222"/>
      <c r="W2006" s="222"/>
      <c r="X2006" s="222"/>
      <c r="Y2006" s="222"/>
      <c r="Z2006" s="222"/>
      <c r="AA2006" s="222"/>
      <c r="AB2006" s="222"/>
      <c r="AC2006" s="222"/>
      <c r="AD2006" s="222"/>
      <c r="AE2006" s="222"/>
      <c r="AR2006" s="324"/>
      <c r="AT2006" s="324"/>
      <c r="AU2006" s="324"/>
      <c r="AY2006" s="214"/>
      <c r="BE2006" s="325"/>
      <c r="BF2006" s="325"/>
      <c r="BG2006" s="325"/>
      <c r="BH2006" s="325"/>
      <c r="BI2006" s="325"/>
      <c r="BJ2006" s="214"/>
      <c r="BK2006" s="325"/>
      <c r="BL2006" s="214"/>
      <c r="BM2006" s="324"/>
    </row>
    <row r="2007" spans="1:65" s="225" customFormat="1" ht="14.25" customHeight="1">
      <c r="A2007" s="222"/>
      <c r="B2007" s="223"/>
      <c r="C2007" s="492"/>
      <c r="D2007" s="383"/>
      <c r="E2007" s="384"/>
      <c r="F2007" s="388" t="s">
        <v>3155</v>
      </c>
      <c r="G2007" s="385"/>
      <c r="H2007" s="386">
        <f>(1.65+2*2)*0.25*1</f>
        <v>1.4125</v>
      </c>
      <c r="I2007" s="86"/>
      <c r="J2007" s="387"/>
      <c r="K2007" s="493"/>
      <c r="L2007" s="364"/>
      <c r="M2007" s="361"/>
      <c r="N2007" s="362"/>
      <c r="O2007" s="322"/>
      <c r="P2007" s="322"/>
      <c r="Q2007" s="322"/>
      <c r="R2007" s="322"/>
      <c r="S2007" s="322"/>
      <c r="T2007" s="323"/>
      <c r="U2007" s="222"/>
      <c r="V2007" s="222"/>
      <c r="W2007" s="222"/>
      <c r="X2007" s="222"/>
      <c r="Y2007" s="222"/>
      <c r="Z2007" s="222"/>
      <c r="AA2007" s="222"/>
      <c r="AB2007" s="222"/>
      <c r="AC2007" s="222"/>
      <c r="AD2007" s="222"/>
      <c r="AE2007" s="222"/>
      <c r="AR2007" s="324"/>
      <c r="AT2007" s="324"/>
      <c r="AU2007" s="324"/>
      <c r="AY2007" s="214"/>
      <c r="BE2007" s="325"/>
      <c r="BF2007" s="325"/>
      <c r="BG2007" s="325"/>
      <c r="BH2007" s="325"/>
      <c r="BI2007" s="325"/>
      <c r="BJ2007" s="214"/>
      <c r="BK2007" s="325"/>
      <c r="BL2007" s="214"/>
      <c r="BM2007" s="324"/>
    </row>
    <row r="2008" spans="2:51" s="326" customFormat="1" ht="12">
      <c r="B2008" s="327"/>
      <c r="D2008" s="328" t="s">
        <v>155</v>
      </c>
      <c r="E2008" s="329" t="s">
        <v>1</v>
      </c>
      <c r="F2008" s="330" t="s">
        <v>3156</v>
      </c>
      <c r="H2008" s="480">
        <f>H1965+H1966</f>
        <v>40.32000000000001</v>
      </c>
      <c r="I2008" s="497"/>
      <c r="L2008" s="330"/>
      <c r="M2008" s="332"/>
      <c r="N2008" s="333"/>
      <c r="O2008" s="333"/>
      <c r="P2008" s="333"/>
      <c r="Q2008" s="333"/>
      <c r="R2008" s="333"/>
      <c r="S2008" s="333"/>
      <c r="T2008" s="334"/>
      <c r="AT2008" s="329" t="s">
        <v>155</v>
      </c>
      <c r="AU2008" s="329" t="s">
        <v>83</v>
      </c>
      <c r="AV2008" s="326" t="s">
        <v>81</v>
      </c>
      <c r="AW2008" s="326" t="s">
        <v>34</v>
      </c>
      <c r="AX2008" s="326" t="s">
        <v>76</v>
      </c>
      <c r="AY2008" s="329" t="s">
        <v>146</v>
      </c>
    </row>
    <row r="2009" spans="2:51" s="326" customFormat="1" ht="12">
      <c r="B2009" s="327"/>
      <c r="D2009" s="328" t="s">
        <v>155</v>
      </c>
      <c r="E2009" s="329" t="s">
        <v>1</v>
      </c>
      <c r="F2009" s="330" t="s">
        <v>1326</v>
      </c>
      <c r="H2009" s="480">
        <f>H1968+H1969</f>
        <v>15</v>
      </c>
      <c r="I2009" s="497"/>
      <c r="L2009" s="331"/>
      <c r="M2009" s="332"/>
      <c r="N2009" s="333"/>
      <c r="O2009" s="333"/>
      <c r="P2009" s="333"/>
      <c r="Q2009" s="333"/>
      <c r="R2009" s="333"/>
      <c r="S2009" s="333"/>
      <c r="T2009" s="334"/>
      <c r="AT2009" s="329" t="s">
        <v>155</v>
      </c>
      <c r="AU2009" s="329" t="s">
        <v>83</v>
      </c>
      <c r="AV2009" s="326" t="s">
        <v>81</v>
      </c>
      <c r="AW2009" s="326" t="s">
        <v>34</v>
      </c>
      <c r="AX2009" s="326" t="s">
        <v>76</v>
      </c>
      <c r="AY2009" s="329" t="s">
        <v>146</v>
      </c>
    </row>
    <row r="2010" spans="2:51" s="326" customFormat="1" ht="12">
      <c r="B2010" s="327"/>
      <c r="D2010" s="328" t="s">
        <v>155</v>
      </c>
      <c r="E2010" s="329" t="s">
        <v>1</v>
      </c>
      <c r="F2010" s="330" t="s">
        <v>3129</v>
      </c>
      <c r="H2010" s="480">
        <f>H1971</f>
        <v>21.76</v>
      </c>
      <c r="I2010" s="497"/>
      <c r="L2010" s="331"/>
      <c r="M2010" s="332"/>
      <c r="N2010" s="333"/>
      <c r="O2010" s="333"/>
      <c r="P2010" s="333"/>
      <c r="Q2010" s="333"/>
      <c r="R2010" s="333"/>
      <c r="S2010" s="333"/>
      <c r="T2010" s="334"/>
      <c r="AT2010" s="329" t="s">
        <v>155</v>
      </c>
      <c r="AU2010" s="329" t="s">
        <v>83</v>
      </c>
      <c r="AV2010" s="326" t="s">
        <v>81</v>
      </c>
      <c r="AW2010" s="326" t="s">
        <v>34</v>
      </c>
      <c r="AX2010" s="326" t="s">
        <v>76</v>
      </c>
      <c r="AY2010" s="329" t="s">
        <v>146</v>
      </c>
    </row>
    <row r="2011" spans="2:51" s="335" customFormat="1" ht="12">
      <c r="B2011" s="336"/>
      <c r="D2011" s="328" t="s">
        <v>155</v>
      </c>
      <c r="E2011" s="337" t="s">
        <v>1</v>
      </c>
      <c r="F2011" s="330" t="s">
        <v>3158</v>
      </c>
      <c r="H2011" s="480"/>
      <c r="I2011" s="498"/>
      <c r="L2011" s="338"/>
      <c r="M2011" s="341"/>
      <c r="N2011" s="342"/>
      <c r="O2011" s="342"/>
      <c r="P2011" s="342"/>
      <c r="Q2011" s="342"/>
      <c r="R2011" s="342"/>
      <c r="S2011" s="342"/>
      <c r="T2011" s="343"/>
      <c r="AT2011" s="337" t="s">
        <v>155</v>
      </c>
      <c r="AU2011" s="337" t="s">
        <v>83</v>
      </c>
      <c r="AV2011" s="335" t="s">
        <v>83</v>
      </c>
      <c r="AW2011" s="335" t="s">
        <v>34</v>
      </c>
      <c r="AX2011" s="335" t="s">
        <v>76</v>
      </c>
      <c r="AY2011" s="337" t="s">
        <v>146</v>
      </c>
    </row>
    <row r="2012" spans="2:51" s="326" customFormat="1" ht="12">
      <c r="B2012" s="327"/>
      <c r="D2012" s="328" t="s">
        <v>155</v>
      </c>
      <c r="E2012" s="329" t="s">
        <v>1</v>
      </c>
      <c r="F2012" s="338" t="s">
        <v>3159</v>
      </c>
      <c r="H2012" s="469">
        <f>(20*2+24*1.8)*(0.08*2+0.005*2)</f>
        <v>14.144000000000002</v>
      </c>
      <c r="I2012" s="497"/>
      <c r="L2012" s="356"/>
      <c r="M2012" s="332"/>
      <c r="N2012" s="333"/>
      <c r="O2012" s="333"/>
      <c r="P2012" s="333"/>
      <c r="Q2012" s="333"/>
      <c r="R2012" s="333"/>
      <c r="S2012" s="333"/>
      <c r="T2012" s="334"/>
      <c r="AT2012" s="329" t="s">
        <v>155</v>
      </c>
      <c r="AU2012" s="329" t="s">
        <v>83</v>
      </c>
      <c r="AV2012" s="326" t="s">
        <v>81</v>
      </c>
      <c r="AW2012" s="326" t="s">
        <v>34</v>
      </c>
      <c r="AX2012" s="326" t="s">
        <v>76</v>
      </c>
      <c r="AY2012" s="329" t="s">
        <v>146</v>
      </c>
    </row>
    <row r="2013" spans="2:51" s="326" customFormat="1" ht="12">
      <c r="B2013" s="327"/>
      <c r="D2013" s="328" t="s">
        <v>155</v>
      </c>
      <c r="E2013" s="329" t="s">
        <v>1</v>
      </c>
      <c r="F2013" s="330" t="s">
        <v>3283</v>
      </c>
      <c r="H2013" s="329" t="s">
        <v>1</v>
      </c>
      <c r="I2013" s="497"/>
      <c r="L2013" s="331"/>
      <c r="M2013" s="332"/>
      <c r="N2013" s="333"/>
      <c r="O2013" s="333"/>
      <c r="P2013" s="333"/>
      <c r="Q2013" s="333"/>
      <c r="R2013" s="333"/>
      <c r="S2013" s="333"/>
      <c r="T2013" s="334"/>
      <c r="AT2013" s="329" t="s">
        <v>155</v>
      </c>
      <c r="AU2013" s="329" t="s">
        <v>83</v>
      </c>
      <c r="AV2013" s="326" t="s">
        <v>81</v>
      </c>
      <c r="AW2013" s="326" t="s">
        <v>34</v>
      </c>
      <c r="AX2013" s="326" t="s">
        <v>76</v>
      </c>
      <c r="AY2013" s="329" t="s">
        <v>146</v>
      </c>
    </row>
    <row r="2014" spans="2:51" s="464" customFormat="1" ht="12">
      <c r="B2014" s="465"/>
      <c r="D2014" s="466" t="s">
        <v>155</v>
      </c>
      <c r="E2014" s="467" t="s">
        <v>1</v>
      </c>
      <c r="F2014" s="494" t="s">
        <v>3284</v>
      </c>
      <c r="H2014" s="495">
        <f>332/3*2.4*(3.14*0.07)</f>
        <v>58.37888000000001</v>
      </c>
      <c r="I2014" s="507"/>
      <c r="L2014" s="470"/>
      <c r="M2014" s="471"/>
      <c r="N2014" s="472"/>
      <c r="O2014" s="472"/>
      <c r="P2014" s="472"/>
      <c r="Q2014" s="472"/>
      <c r="R2014" s="472"/>
      <c r="S2014" s="472"/>
      <c r="T2014" s="473"/>
      <c r="AT2014" s="467" t="s">
        <v>155</v>
      </c>
      <c r="AU2014" s="467" t="s">
        <v>83</v>
      </c>
      <c r="AV2014" s="464" t="s">
        <v>83</v>
      </c>
      <c r="AW2014" s="464" t="s">
        <v>34</v>
      </c>
      <c r="AX2014" s="464" t="s">
        <v>76</v>
      </c>
      <c r="AY2014" s="467" t="s">
        <v>146</v>
      </c>
    </row>
    <row r="2015" spans="2:51" s="374" customFormat="1" ht="12">
      <c r="B2015" s="375"/>
      <c r="D2015" s="376" t="s">
        <v>155</v>
      </c>
      <c r="E2015" s="377" t="s">
        <v>1</v>
      </c>
      <c r="F2015" s="350" t="s">
        <v>157</v>
      </c>
      <c r="H2015" s="378">
        <f>SUM(H2000:H2014)</f>
        <v>219.85618000000002</v>
      </c>
      <c r="I2015" s="502"/>
      <c r="L2015" s="379"/>
      <c r="M2015" s="380"/>
      <c r="N2015" s="381"/>
      <c r="O2015" s="381"/>
      <c r="P2015" s="381"/>
      <c r="Q2015" s="381"/>
      <c r="R2015" s="381"/>
      <c r="S2015" s="381"/>
      <c r="T2015" s="382"/>
      <c r="AT2015" s="377" t="s">
        <v>155</v>
      </c>
      <c r="AU2015" s="377" t="s">
        <v>83</v>
      </c>
      <c r="AV2015" s="374" t="s">
        <v>153</v>
      </c>
      <c r="AW2015" s="374" t="s">
        <v>34</v>
      </c>
      <c r="AX2015" s="374" t="s">
        <v>81</v>
      </c>
      <c r="AY2015" s="377" t="s">
        <v>146</v>
      </c>
    </row>
    <row r="2016" spans="2:63" s="297" customFormat="1" ht="22.9" customHeight="1">
      <c r="B2016" s="298"/>
      <c r="D2016" s="299" t="s">
        <v>75</v>
      </c>
      <c r="E2016" s="310" t="s">
        <v>1331</v>
      </c>
      <c r="F2016" s="310" t="s">
        <v>1332</v>
      </c>
      <c r="I2016" s="501"/>
      <c r="J2016" s="311">
        <f>SUM(J2017:J2074)</f>
        <v>0</v>
      </c>
      <c r="L2016" s="302"/>
      <c r="M2016" s="303"/>
      <c r="N2016" s="304"/>
      <c r="O2016" s="304"/>
      <c r="P2016" s="305">
        <f>SUM(P2017:P2068)</f>
        <v>564.20065795</v>
      </c>
      <c r="Q2016" s="304"/>
      <c r="R2016" s="305">
        <f>SUM(R2017:R2068)</f>
        <v>3.4971398334600003</v>
      </c>
      <c r="S2016" s="304"/>
      <c r="T2016" s="313">
        <f>SUM(T2017:T2068)</f>
        <v>0.792451605</v>
      </c>
      <c r="AR2016" s="299" t="s">
        <v>83</v>
      </c>
      <c r="AT2016" s="308" t="s">
        <v>75</v>
      </c>
      <c r="AU2016" s="308" t="s">
        <v>81</v>
      </c>
      <c r="AY2016" s="299" t="s">
        <v>146</v>
      </c>
      <c r="BK2016" s="309">
        <f>SUM(BK2017:BK2068)</f>
        <v>0</v>
      </c>
    </row>
    <row r="2017" spans="1:65" s="225" customFormat="1" ht="16.5" customHeight="1">
      <c r="A2017" s="222"/>
      <c r="B2017" s="223"/>
      <c r="C2017" s="314">
        <v>379</v>
      </c>
      <c r="D2017" s="314" t="s">
        <v>148</v>
      </c>
      <c r="E2017" s="315" t="s">
        <v>1334</v>
      </c>
      <c r="F2017" s="316" t="s">
        <v>1335</v>
      </c>
      <c r="G2017" s="317" t="s">
        <v>151</v>
      </c>
      <c r="H2017" s="318">
        <f>H2020</f>
        <v>2556.2955</v>
      </c>
      <c r="I2017" s="79"/>
      <c r="J2017" s="319">
        <f>ROUND(I2017*H2017,2)</f>
        <v>0</v>
      </c>
      <c r="K2017" s="316"/>
      <c r="L2017" s="229" t="s">
        <v>2626</v>
      </c>
      <c r="M2017" s="320" t="s">
        <v>1</v>
      </c>
      <c r="N2017" s="321" t="s">
        <v>42</v>
      </c>
      <c r="O2017" s="322">
        <v>0.074</v>
      </c>
      <c r="P2017" s="322">
        <f>O2017*H2017</f>
        <v>189.165867</v>
      </c>
      <c r="Q2017" s="322">
        <v>0.001</v>
      </c>
      <c r="R2017" s="322">
        <f>Q2017*H2017</f>
        <v>2.5562955</v>
      </c>
      <c r="S2017" s="322">
        <v>0.00031</v>
      </c>
      <c r="T2017" s="479">
        <f>S2017*H2017</f>
        <v>0.792451605</v>
      </c>
      <c r="U2017" s="222"/>
      <c r="V2017" s="222"/>
      <c r="W2017" s="222"/>
      <c r="X2017" s="222"/>
      <c r="Y2017" s="222"/>
      <c r="Z2017" s="222"/>
      <c r="AA2017" s="222"/>
      <c r="AB2017" s="222"/>
      <c r="AC2017" s="222"/>
      <c r="AD2017" s="222"/>
      <c r="AE2017" s="222"/>
      <c r="AR2017" s="324" t="s">
        <v>212</v>
      </c>
      <c r="AT2017" s="324" t="s">
        <v>148</v>
      </c>
      <c r="AU2017" s="324" t="s">
        <v>83</v>
      </c>
      <c r="AY2017" s="214" t="s">
        <v>146</v>
      </c>
      <c r="BE2017" s="325">
        <f>IF(N2017="základní",J2017,0)</f>
        <v>0</v>
      </c>
      <c r="BF2017" s="325">
        <f>IF(N2017="snížená",J2017,0)</f>
        <v>0</v>
      </c>
      <c r="BG2017" s="325">
        <f>IF(N2017="zákl. přenesená",J2017,0)</f>
        <v>0</v>
      </c>
      <c r="BH2017" s="325">
        <f>IF(N2017="sníž. přenesená",J2017,0)</f>
        <v>0</v>
      </c>
      <c r="BI2017" s="325">
        <f>IF(N2017="nulová",J2017,0)</f>
        <v>0</v>
      </c>
      <c r="BJ2017" s="214" t="s">
        <v>81</v>
      </c>
      <c r="BK2017" s="325">
        <f>ROUND(I2017*H2017,2)</f>
        <v>0</v>
      </c>
      <c r="BL2017" s="214" t="s">
        <v>212</v>
      </c>
      <c r="BM2017" s="324" t="s">
        <v>1336</v>
      </c>
    </row>
    <row r="2018" spans="2:51" s="326" customFormat="1" ht="22.5">
      <c r="B2018" s="327"/>
      <c r="D2018" s="328" t="s">
        <v>155</v>
      </c>
      <c r="E2018" s="329" t="s">
        <v>1</v>
      </c>
      <c r="F2018" s="345" t="s">
        <v>3282</v>
      </c>
      <c r="H2018" s="480">
        <f>H592</f>
        <v>1986.058</v>
      </c>
      <c r="I2018" s="497"/>
      <c r="L2018" s="331"/>
      <c r="M2018" s="332"/>
      <c r="N2018" s="333"/>
      <c r="O2018" s="333"/>
      <c r="P2018" s="333"/>
      <c r="Q2018" s="333"/>
      <c r="R2018" s="333"/>
      <c r="S2018" s="333"/>
      <c r="T2018" s="334"/>
      <c r="AT2018" s="329" t="s">
        <v>155</v>
      </c>
      <c r="AU2018" s="329" t="s">
        <v>83</v>
      </c>
      <c r="AV2018" s="326" t="s">
        <v>81</v>
      </c>
      <c r="AW2018" s="326" t="s">
        <v>34</v>
      </c>
      <c r="AX2018" s="326" t="s">
        <v>76</v>
      </c>
      <c r="AY2018" s="329" t="s">
        <v>146</v>
      </c>
    </row>
    <row r="2019" spans="2:51" s="335" customFormat="1" ht="26.25" customHeight="1">
      <c r="B2019" s="336"/>
      <c r="D2019" s="328" t="s">
        <v>155</v>
      </c>
      <c r="E2019" s="337" t="s">
        <v>1</v>
      </c>
      <c r="F2019" s="345" t="s">
        <v>3281</v>
      </c>
      <c r="H2019" s="339">
        <f>H522</f>
        <v>570.2375000000001</v>
      </c>
      <c r="I2019" s="498"/>
      <c r="L2019" s="340"/>
      <c r="M2019" s="341"/>
      <c r="N2019" s="342"/>
      <c r="O2019" s="342"/>
      <c r="P2019" s="342"/>
      <c r="Q2019" s="342"/>
      <c r="R2019" s="342"/>
      <c r="S2019" s="342"/>
      <c r="T2019" s="343"/>
      <c r="AT2019" s="337" t="s">
        <v>155</v>
      </c>
      <c r="AU2019" s="337" t="s">
        <v>83</v>
      </c>
      <c r="AV2019" s="335" t="s">
        <v>83</v>
      </c>
      <c r="AW2019" s="335" t="s">
        <v>34</v>
      </c>
      <c r="AX2019" s="335" t="s">
        <v>76</v>
      </c>
      <c r="AY2019" s="337" t="s">
        <v>146</v>
      </c>
    </row>
    <row r="2020" spans="2:51" s="347" customFormat="1" ht="12">
      <c r="B2020" s="348"/>
      <c r="D2020" s="328" t="s">
        <v>155</v>
      </c>
      <c r="E2020" s="349" t="s">
        <v>1</v>
      </c>
      <c r="F2020" s="350" t="s">
        <v>157</v>
      </c>
      <c r="H2020" s="351">
        <f>SUM(H2018:H2019)</f>
        <v>2556.2955</v>
      </c>
      <c r="I2020" s="499"/>
      <c r="L2020" s="352"/>
      <c r="M2020" s="353"/>
      <c r="N2020" s="354"/>
      <c r="O2020" s="354"/>
      <c r="P2020" s="354"/>
      <c r="Q2020" s="354"/>
      <c r="R2020" s="354"/>
      <c r="S2020" s="354"/>
      <c r="T2020" s="355"/>
      <c r="AT2020" s="349" t="s">
        <v>155</v>
      </c>
      <c r="AU2020" s="349" t="s">
        <v>83</v>
      </c>
      <c r="AV2020" s="347" t="s">
        <v>153</v>
      </c>
      <c r="AW2020" s="347" t="s">
        <v>34</v>
      </c>
      <c r="AX2020" s="347" t="s">
        <v>81</v>
      </c>
      <c r="AY2020" s="349" t="s">
        <v>146</v>
      </c>
    </row>
    <row r="2021" spans="1:65" s="225" customFormat="1" ht="24.2" customHeight="1">
      <c r="A2021" s="222"/>
      <c r="B2021" s="223"/>
      <c r="C2021" s="314">
        <v>380</v>
      </c>
      <c r="D2021" s="314" t="s">
        <v>148</v>
      </c>
      <c r="E2021" s="315" t="s">
        <v>1337</v>
      </c>
      <c r="F2021" s="344" t="s">
        <v>1338</v>
      </c>
      <c r="G2021" s="317" t="s">
        <v>151</v>
      </c>
      <c r="H2021" s="318">
        <f>H2017</f>
        <v>2556.2955</v>
      </c>
      <c r="I2021" s="79"/>
      <c r="J2021" s="319">
        <f>ROUND(I2021*H2021,2)</f>
        <v>0</v>
      </c>
      <c r="K2021" s="316"/>
      <c r="L2021" s="229" t="s">
        <v>2626</v>
      </c>
      <c r="M2021" s="320" t="s">
        <v>1</v>
      </c>
      <c r="N2021" s="321" t="s">
        <v>42</v>
      </c>
      <c r="O2021" s="322">
        <v>0.037</v>
      </c>
      <c r="P2021" s="322">
        <f>O2021*H2021</f>
        <v>94.5829335</v>
      </c>
      <c r="Q2021" s="322">
        <v>0</v>
      </c>
      <c r="R2021" s="322">
        <f>Q2021*H2021</f>
        <v>0</v>
      </c>
      <c r="S2021" s="322">
        <v>0</v>
      </c>
      <c r="T2021" s="323">
        <f>S2021*H2021</f>
        <v>0</v>
      </c>
      <c r="U2021" s="222"/>
      <c r="V2021" s="222"/>
      <c r="W2021" s="222"/>
      <c r="X2021" s="222"/>
      <c r="Y2021" s="222"/>
      <c r="Z2021" s="222"/>
      <c r="AA2021" s="222"/>
      <c r="AB2021" s="222"/>
      <c r="AC2021" s="222"/>
      <c r="AD2021" s="222"/>
      <c r="AE2021" s="222"/>
      <c r="AR2021" s="324" t="s">
        <v>212</v>
      </c>
      <c r="AT2021" s="324" t="s">
        <v>148</v>
      </c>
      <c r="AU2021" s="324" t="s">
        <v>83</v>
      </c>
      <c r="AY2021" s="214" t="s">
        <v>146</v>
      </c>
      <c r="BE2021" s="325">
        <f>IF(N2021="základní",J2021,0)</f>
        <v>0</v>
      </c>
      <c r="BF2021" s="325">
        <f>IF(N2021="snížená",J2021,0)</f>
        <v>0</v>
      </c>
      <c r="BG2021" s="325">
        <f>IF(N2021="zákl. přenesená",J2021,0)</f>
        <v>0</v>
      </c>
      <c r="BH2021" s="325">
        <f>IF(N2021="sníž. přenesená",J2021,0)</f>
        <v>0</v>
      </c>
      <c r="BI2021" s="325">
        <f>IF(N2021="nulová",J2021,0)</f>
        <v>0</v>
      </c>
      <c r="BJ2021" s="214" t="s">
        <v>81</v>
      </c>
      <c r="BK2021" s="325">
        <f>ROUND(I2021*H2021,2)</f>
        <v>0</v>
      </c>
      <c r="BL2021" s="214" t="s">
        <v>212</v>
      </c>
      <c r="BM2021" s="324" t="s">
        <v>1339</v>
      </c>
    </row>
    <row r="2022" spans="2:51" s="326" customFormat="1" ht="12">
      <c r="B2022" s="327"/>
      <c r="D2022" s="328" t="s">
        <v>155</v>
      </c>
      <c r="E2022" s="329" t="s">
        <v>1</v>
      </c>
      <c r="F2022" s="345" t="s">
        <v>1333</v>
      </c>
      <c r="H2022" s="329" t="s">
        <v>1</v>
      </c>
      <c r="I2022" s="497"/>
      <c r="L2022" s="331"/>
      <c r="M2022" s="332"/>
      <c r="N2022" s="333"/>
      <c r="O2022" s="333"/>
      <c r="P2022" s="333"/>
      <c r="Q2022" s="333"/>
      <c r="R2022" s="333"/>
      <c r="S2022" s="333"/>
      <c r="T2022" s="334"/>
      <c r="AT2022" s="329" t="s">
        <v>155</v>
      </c>
      <c r="AU2022" s="329" t="s">
        <v>83</v>
      </c>
      <c r="AV2022" s="326" t="s">
        <v>81</v>
      </c>
      <c r="AW2022" s="326" t="s">
        <v>34</v>
      </c>
      <c r="AX2022" s="326" t="s">
        <v>76</v>
      </c>
      <c r="AY2022" s="329" t="s">
        <v>146</v>
      </c>
    </row>
    <row r="2023" spans="1:65" s="225" customFormat="1" ht="24.2" customHeight="1">
      <c r="A2023" s="222"/>
      <c r="B2023" s="223"/>
      <c r="C2023" s="314">
        <v>381</v>
      </c>
      <c r="D2023" s="314" t="s">
        <v>148</v>
      </c>
      <c r="E2023" s="315" t="s">
        <v>1340</v>
      </c>
      <c r="F2023" s="344" t="s">
        <v>1341</v>
      </c>
      <c r="G2023" s="317" t="s">
        <v>151</v>
      </c>
      <c r="H2023" s="318">
        <f>H2025</f>
        <v>2047.0938500000002</v>
      </c>
      <c r="I2023" s="79"/>
      <c r="J2023" s="319">
        <f>ROUND(I2023*H2023,2)</f>
        <v>0</v>
      </c>
      <c r="K2023" s="316"/>
      <c r="L2023" s="229"/>
      <c r="M2023" s="320" t="s">
        <v>1</v>
      </c>
      <c r="N2023" s="321" t="s">
        <v>42</v>
      </c>
      <c r="O2023" s="322">
        <v>0.033</v>
      </c>
      <c r="P2023" s="322">
        <f>O2023*H2023</f>
        <v>67.55409705000001</v>
      </c>
      <c r="Q2023" s="322">
        <v>0.0002012</v>
      </c>
      <c r="R2023" s="322">
        <f>Q2023*H2023</f>
        <v>0.41187528262000006</v>
      </c>
      <c r="S2023" s="322">
        <v>0</v>
      </c>
      <c r="T2023" s="323">
        <f>S2023*H2023</f>
        <v>0</v>
      </c>
      <c r="U2023" s="222"/>
      <c r="V2023" s="222"/>
      <c r="W2023" s="222"/>
      <c r="X2023" s="222"/>
      <c r="Y2023" s="222"/>
      <c r="Z2023" s="222"/>
      <c r="AA2023" s="222"/>
      <c r="AB2023" s="222"/>
      <c r="AC2023" s="222"/>
      <c r="AD2023" s="222"/>
      <c r="AE2023" s="222"/>
      <c r="AR2023" s="324" t="s">
        <v>212</v>
      </c>
      <c r="AT2023" s="324" t="s">
        <v>148</v>
      </c>
      <c r="AU2023" s="324" t="s">
        <v>83</v>
      </c>
      <c r="AY2023" s="214" t="s">
        <v>146</v>
      </c>
      <c r="BE2023" s="325">
        <f>IF(N2023="základní",J2023,0)</f>
        <v>0</v>
      </c>
      <c r="BF2023" s="325">
        <f>IF(N2023="snížená",J2023,0)</f>
        <v>0</v>
      </c>
      <c r="BG2023" s="325">
        <f>IF(N2023="zákl. přenesená",J2023,0)</f>
        <v>0</v>
      </c>
      <c r="BH2023" s="325">
        <f>IF(N2023="sníž. přenesená",J2023,0)</f>
        <v>0</v>
      </c>
      <c r="BI2023" s="325">
        <f>IF(N2023="nulová",J2023,0)</f>
        <v>0</v>
      </c>
      <c r="BJ2023" s="214" t="s">
        <v>81</v>
      </c>
      <c r="BK2023" s="325">
        <f>ROUND(I2023*H2023,2)</f>
        <v>0</v>
      </c>
      <c r="BL2023" s="214" t="s">
        <v>212</v>
      </c>
      <c r="BM2023" s="324" t="s">
        <v>1342</v>
      </c>
    </row>
    <row r="2024" spans="2:51" s="326" customFormat="1" ht="12">
      <c r="B2024" s="327"/>
      <c r="D2024" s="328" t="s">
        <v>155</v>
      </c>
      <c r="E2024" s="329" t="s">
        <v>1</v>
      </c>
      <c r="F2024" s="345" t="s">
        <v>3278</v>
      </c>
      <c r="H2024" s="329" t="s">
        <v>1</v>
      </c>
      <c r="I2024" s="497"/>
      <c r="L2024" s="331"/>
      <c r="M2024" s="332"/>
      <c r="N2024" s="333"/>
      <c r="O2024" s="333"/>
      <c r="P2024" s="333"/>
      <c r="Q2024" s="333"/>
      <c r="R2024" s="333"/>
      <c r="S2024" s="333"/>
      <c r="T2024" s="334"/>
      <c r="AT2024" s="329" t="s">
        <v>155</v>
      </c>
      <c r="AU2024" s="329" t="s">
        <v>83</v>
      </c>
      <c r="AV2024" s="326" t="s">
        <v>81</v>
      </c>
      <c r="AW2024" s="326" t="s">
        <v>34</v>
      </c>
      <c r="AX2024" s="326" t="s">
        <v>76</v>
      </c>
      <c r="AY2024" s="329" t="s">
        <v>146</v>
      </c>
    </row>
    <row r="2025" spans="2:51" s="326" customFormat="1" ht="12">
      <c r="B2025" s="327"/>
      <c r="D2025" s="328"/>
      <c r="E2025" s="329"/>
      <c r="F2025" s="345" t="s">
        <v>3279</v>
      </c>
      <c r="H2025" s="480">
        <f>H2026+H2069</f>
        <v>2047.0938500000002</v>
      </c>
      <c r="I2025" s="497"/>
      <c r="L2025" s="331"/>
      <c r="M2025" s="332"/>
      <c r="N2025" s="333"/>
      <c r="O2025" s="333"/>
      <c r="P2025" s="333"/>
      <c r="Q2025" s="333"/>
      <c r="R2025" s="333"/>
      <c r="S2025" s="333"/>
      <c r="T2025" s="334"/>
      <c r="AT2025" s="329"/>
      <c r="AU2025" s="329"/>
      <c r="AY2025" s="329"/>
    </row>
    <row r="2026" spans="1:65" s="225" customFormat="1" ht="33" customHeight="1">
      <c r="A2026" s="222"/>
      <c r="B2026" s="223"/>
      <c r="C2026" s="314">
        <v>382</v>
      </c>
      <c r="D2026" s="314" t="s">
        <v>148</v>
      </c>
      <c r="E2026" s="315" t="s">
        <v>1343</v>
      </c>
      <c r="F2026" s="344" t="s">
        <v>1344</v>
      </c>
      <c r="G2026" s="317" t="s">
        <v>151</v>
      </c>
      <c r="H2026" s="318">
        <f>H2068</f>
        <v>2047.0938500000002</v>
      </c>
      <c r="I2026" s="79"/>
      <c r="J2026" s="319">
        <f>ROUND(I2026*H2026,2)</f>
        <v>0</v>
      </c>
      <c r="K2026" s="316"/>
      <c r="L2026" s="229"/>
      <c r="M2026" s="320" t="s">
        <v>1</v>
      </c>
      <c r="N2026" s="321" t="s">
        <v>42</v>
      </c>
      <c r="O2026" s="322">
        <v>0.104</v>
      </c>
      <c r="P2026" s="322">
        <f>O2026*H2026</f>
        <v>212.8977604</v>
      </c>
      <c r="Q2026" s="322">
        <v>0.0002584</v>
      </c>
      <c r="R2026" s="322">
        <f>Q2026*H2026</f>
        <v>0.52896905084</v>
      </c>
      <c r="S2026" s="322">
        <v>0</v>
      </c>
      <c r="T2026" s="323">
        <f>S2026*H2026</f>
        <v>0</v>
      </c>
      <c r="U2026" s="222"/>
      <c r="V2026" s="222"/>
      <c r="W2026" s="222"/>
      <c r="X2026" s="222"/>
      <c r="Y2026" s="222"/>
      <c r="Z2026" s="222"/>
      <c r="AA2026" s="222"/>
      <c r="AB2026" s="222"/>
      <c r="AC2026" s="222"/>
      <c r="AD2026" s="222"/>
      <c r="AE2026" s="222"/>
      <c r="AR2026" s="324" t="s">
        <v>212</v>
      </c>
      <c r="AT2026" s="324" t="s">
        <v>148</v>
      </c>
      <c r="AU2026" s="324" t="s">
        <v>83</v>
      </c>
      <c r="AY2026" s="214" t="s">
        <v>146</v>
      </c>
      <c r="BE2026" s="325">
        <f>IF(N2026="základní",J2026,0)</f>
        <v>0</v>
      </c>
      <c r="BF2026" s="325">
        <f>IF(N2026="snížená",J2026,0)</f>
        <v>0</v>
      </c>
      <c r="BG2026" s="325">
        <f>IF(N2026="zákl. přenesená",J2026,0)</f>
        <v>0</v>
      </c>
      <c r="BH2026" s="325">
        <f>IF(N2026="sníž. přenesená",J2026,0)</f>
        <v>0</v>
      </c>
      <c r="BI2026" s="325">
        <f>IF(N2026="nulová",J2026,0)</f>
        <v>0</v>
      </c>
      <c r="BJ2026" s="214" t="s">
        <v>81</v>
      </c>
      <c r="BK2026" s="325">
        <f>ROUND(I2026*H2026,2)</f>
        <v>0</v>
      </c>
      <c r="BL2026" s="214" t="s">
        <v>212</v>
      </c>
      <c r="BM2026" s="324" t="s">
        <v>1345</v>
      </c>
    </row>
    <row r="2027" spans="2:51" s="390" customFormat="1" ht="22.5">
      <c r="B2027" s="389"/>
      <c r="D2027" s="376" t="s">
        <v>155</v>
      </c>
      <c r="E2027" s="391" t="s">
        <v>1</v>
      </c>
      <c r="F2027" s="346" t="s">
        <v>3201</v>
      </c>
      <c r="H2027" s="392">
        <f>(4.6+2.85*2+0.4*2)*2.75-1.6*2-1.8*2.4+(1.8+2.4*2)*0.25</f>
        <v>24.655000000000005</v>
      </c>
      <c r="I2027" s="503"/>
      <c r="L2027" s="393"/>
      <c r="M2027" s="394"/>
      <c r="N2027" s="395"/>
      <c r="O2027" s="395"/>
      <c r="P2027" s="395"/>
      <c r="Q2027" s="395"/>
      <c r="R2027" s="395"/>
      <c r="S2027" s="395"/>
      <c r="T2027" s="396"/>
      <c r="AT2027" s="391" t="s">
        <v>155</v>
      </c>
      <c r="AU2027" s="391" t="s">
        <v>83</v>
      </c>
      <c r="AV2027" s="390" t="s">
        <v>83</v>
      </c>
      <c r="AW2027" s="390" t="s">
        <v>34</v>
      </c>
      <c r="AX2027" s="390" t="s">
        <v>76</v>
      </c>
      <c r="AY2027" s="391" t="s">
        <v>146</v>
      </c>
    </row>
    <row r="2028" spans="2:51" s="390" customFormat="1" ht="22.5">
      <c r="B2028" s="389"/>
      <c r="D2028" s="376" t="s">
        <v>155</v>
      </c>
      <c r="E2028" s="391" t="s">
        <v>1</v>
      </c>
      <c r="F2028" s="346" t="s">
        <v>3202</v>
      </c>
      <c r="H2028" s="392">
        <f>(3.7+3.6)*2*2.9-0.9*2-2.1*1.5+(2.1+1.5*2)*0.25</f>
        <v>38.665000000000006</v>
      </c>
      <c r="I2028" s="503"/>
      <c r="L2028" s="393"/>
      <c r="M2028" s="496" t="s">
        <v>3239</v>
      </c>
      <c r="N2028" s="395"/>
      <c r="O2028" s="395"/>
      <c r="P2028" s="395"/>
      <c r="Q2028" s="395"/>
      <c r="R2028" s="395"/>
      <c r="S2028" s="395"/>
      <c r="T2028" s="396"/>
      <c r="AT2028" s="391" t="s">
        <v>155</v>
      </c>
      <c r="AU2028" s="391" t="s">
        <v>83</v>
      </c>
      <c r="AV2028" s="390" t="s">
        <v>83</v>
      </c>
      <c r="AW2028" s="390" t="s">
        <v>34</v>
      </c>
      <c r="AX2028" s="390" t="s">
        <v>76</v>
      </c>
      <c r="AY2028" s="391" t="s">
        <v>146</v>
      </c>
    </row>
    <row r="2029" spans="2:51" s="390" customFormat="1" ht="22.5">
      <c r="B2029" s="389"/>
      <c r="D2029" s="376" t="s">
        <v>155</v>
      </c>
      <c r="E2029" s="391" t="s">
        <v>1</v>
      </c>
      <c r="F2029" s="346" t="s">
        <v>3203</v>
      </c>
      <c r="H2029" s="392">
        <f>(6.4+4.15+0.4)*2.9-0.9*2-1.55*2-2.1*1.5*2+(2.1+1.5*2)*0.25*2+(0.9+2.1*2+1.6+2.1*2)*0.15</f>
        <v>24.740000000000002</v>
      </c>
      <c r="I2029" s="503"/>
      <c r="L2029" s="393"/>
      <c r="M2029" s="496" t="s">
        <v>3240</v>
      </c>
      <c r="N2029" s="395"/>
      <c r="O2029" s="395"/>
      <c r="P2029" s="395"/>
      <c r="Q2029" s="395"/>
      <c r="R2029" s="395"/>
      <c r="S2029" s="395"/>
      <c r="T2029" s="396"/>
      <c r="AT2029" s="391" t="s">
        <v>155</v>
      </c>
      <c r="AU2029" s="391" t="s">
        <v>83</v>
      </c>
      <c r="AV2029" s="390" t="s">
        <v>83</v>
      </c>
      <c r="AW2029" s="390" t="s">
        <v>34</v>
      </c>
      <c r="AX2029" s="390" t="s">
        <v>76</v>
      </c>
      <c r="AY2029" s="391" t="s">
        <v>146</v>
      </c>
    </row>
    <row r="2030" spans="2:51" s="390" customFormat="1" ht="22.5">
      <c r="B2030" s="389"/>
      <c r="D2030" s="376" t="s">
        <v>155</v>
      </c>
      <c r="E2030" s="391" t="s">
        <v>1</v>
      </c>
      <c r="F2030" s="346" t="s">
        <v>3204</v>
      </c>
      <c r="H2030" s="392">
        <f>(4.05+4.15)*2*2.9-1.55*2-2.1*1.5+(2.1+1.5*2)*0.25+(1.6+2.1*2)*0.15</f>
        <v>43.45499999999999</v>
      </c>
      <c r="I2030" s="503"/>
      <c r="L2030" s="393"/>
      <c r="M2030" s="496" t="s">
        <v>3241</v>
      </c>
      <c r="N2030" s="395"/>
      <c r="O2030" s="395"/>
      <c r="P2030" s="395"/>
      <c r="Q2030" s="395"/>
      <c r="R2030" s="395"/>
      <c r="S2030" s="395"/>
      <c r="T2030" s="396"/>
      <c r="AT2030" s="391" t="s">
        <v>155</v>
      </c>
      <c r="AU2030" s="391" t="s">
        <v>83</v>
      </c>
      <c r="AV2030" s="390" t="s">
        <v>83</v>
      </c>
      <c r="AW2030" s="390" t="s">
        <v>34</v>
      </c>
      <c r="AX2030" s="390" t="s">
        <v>76</v>
      </c>
      <c r="AY2030" s="391" t="s">
        <v>146</v>
      </c>
    </row>
    <row r="2031" spans="2:51" s="390" customFormat="1" ht="22.5">
      <c r="B2031" s="389"/>
      <c r="D2031" s="376" t="s">
        <v>155</v>
      </c>
      <c r="E2031" s="391" t="s">
        <v>1</v>
      </c>
      <c r="F2031" s="346" t="s">
        <v>3205</v>
      </c>
      <c r="H2031" s="392">
        <f>(3.63+4.15)*2*2.9-(0.6*2+4.15)*0.55-0.9*2-2.1*1.5+(2.1+1.5*2)*0.25+(1+2.1*2)*0.15</f>
        <v>39.286500000000004</v>
      </c>
      <c r="I2031" s="503"/>
      <c r="L2031" s="393"/>
      <c r="M2031" s="496" t="s">
        <v>3242</v>
      </c>
      <c r="N2031" s="395"/>
      <c r="O2031" s="395"/>
      <c r="P2031" s="395"/>
      <c r="Q2031" s="395"/>
      <c r="R2031" s="395"/>
      <c r="S2031" s="395"/>
      <c r="T2031" s="396"/>
      <c r="AT2031" s="391" t="s">
        <v>155</v>
      </c>
      <c r="AU2031" s="391" t="s">
        <v>83</v>
      </c>
      <c r="AV2031" s="390" t="s">
        <v>83</v>
      </c>
      <c r="AW2031" s="390" t="s">
        <v>34</v>
      </c>
      <c r="AX2031" s="390" t="s">
        <v>76</v>
      </c>
      <c r="AY2031" s="391" t="s">
        <v>146</v>
      </c>
    </row>
    <row r="2032" spans="2:51" s="390" customFormat="1" ht="33.75">
      <c r="B2032" s="389"/>
      <c r="D2032" s="376" t="s">
        <v>155</v>
      </c>
      <c r="E2032" s="391" t="s">
        <v>1</v>
      </c>
      <c r="F2032" s="346" t="s">
        <v>3260</v>
      </c>
      <c r="H2032" s="392">
        <f>(1.73+2.35)*2.8-0.8*2+(1+2.1*2)*0.15+(2.35+0.825+0.9)*2.8-0.8*2*2-(1.2+0.825)*2.05+3.06</f>
        <v>17.72275</v>
      </c>
      <c r="I2032" s="503"/>
      <c r="L2032" s="393"/>
      <c r="M2032" s="496" t="s">
        <v>3243</v>
      </c>
      <c r="N2032" s="395"/>
      <c r="O2032" s="395"/>
      <c r="P2032" s="395"/>
      <c r="Q2032" s="395"/>
      <c r="R2032" s="395"/>
      <c r="S2032" s="395"/>
      <c r="T2032" s="396"/>
      <c r="AT2032" s="391" t="s">
        <v>155</v>
      </c>
      <c r="AU2032" s="391" t="s">
        <v>83</v>
      </c>
      <c r="AV2032" s="390" t="s">
        <v>83</v>
      </c>
      <c r="AW2032" s="390" t="s">
        <v>34</v>
      </c>
      <c r="AX2032" s="390" t="s">
        <v>76</v>
      </c>
      <c r="AY2032" s="391" t="s">
        <v>146</v>
      </c>
    </row>
    <row r="2033" spans="2:51" s="390" customFormat="1" ht="22.5">
      <c r="B2033" s="389"/>
      <c r="D2033" s="376" t="s">
        <v>155</v>
      </c>
      <c r="E2033" s="391" t="s">
        <v>1</v>
      </c>
      <c r="F2033" s="346" t="s">
        <v>3259</v>
      </c>
      <c r="H2033" s="392">
        <f>(1.55+0.9)*(2.8-2.05)-0.6*0.75+(0.6+0.75*2)*0.25+(0.9+1.55)*(2.8-2.05)+1.48</f>
        <v>5.23</v>
      </c>
      <c r="I2033" s="503"/>
      <c r="L2033" s="393"/>
      <c r="M2033" s="496" t="s">
        <v>3230</v>
      </c>
      <c r="N2033" s="395"/>
      <c r="O2033" s="395"/>
      <c r="P2033" s="395"/>
      <c r="Q2033" s="395"/>
      <c r="R2033" s="395"/>
      <c r="S2033" s="395"/>
      <c r="T2033" s="396"/>
      <c r="AT2033" s="391" t="s">
        <v>155</v>
      </c>
      <c r="AU2033" s="391" t="s">
        <v>83</v>
      </c>
      <c r="AV2033" s="390" t="s">
        <v>83</v>
      </c>
      <c r="AW2033" s="390" t="s">
        <v>34</v>
      </c>
      <c r="AX2033" s="390" t="s">
        <v>76</v>
      </c>
      <c r="AY2033" s="391" t="s">
        <v>146</v>
      </c>
    </row>
    <row r="2034" spans="2:51" s="390" customFormat="1" ht="21.75" customHeight="1">
      <c r="B2034" s="389"/>
      <c r="D2034" s="376" t="s">
        <v>155</v>
      </c>
      <c r="E2034" s="391" t="s">
        <v>1</v>
      </c>
      <c r="F2034" s="346" t="s">
        <v>3258</v>
      </c>
      <c r="H2034" s="392">
        <f>(1.88+0.4*2+1.8)*2.8-0.6*0.75*2+(0.6+0.75*2)*0.25*2+(2.625+2.85)*2.8-0.8*2+7.37</f>
        <v>33.794</v>
      </c>
      <c r="I2034" s="503"/>
      <c r="L2034" s="393"/>
      <c r="M2034" s="496" t="s">
        <v>3244</v>
      </c>
      <c r="N2034" s="395"/>
      <c r="O2034" s="395"/>
      <c r="P2034" s="395"/>
      <c r="Q2034" s="395"/>
      <c r="R2034" s="395"/>
      <c r="S2034" s="395"/>
      <c r="T2034" s="396"/>
      <c r="AT2034" s="391" t="s">
        <v>155</v>
      </c>
      <c r="AU2034" s="391" t="s">
        <v>83</v>
      </c>
      <c r="AV2034" s="390" t="s">
        <v>83</v>
      </c>
      <c r="AW2034" s="390" t="s">
        <v>34</v>
      </c>
      <c r="AX2034" s="390" t="s">
        <v>76</v>
      </c>
      <c r="AY2034" s="391" t="s">
        <v>146</v>
      </c>
    </row>
    <row r="2035" spans="2:51" s="390" customFormat="1" ht="12">
      <c r="B2035" s="389"/>
      <c r="D2035" s="376" t="s">
        <v>155</v>
      </c>
      <c r="E2035" s="391" t="s">
        <v>1</v>
      </c>
      <c r="F2035" s="346" t="s">
        <v>3257</v>
      </c>
      <c r="H2035" s="392">
        <f>(1.2+1.83)*(2.8-0.05)+(1.2+1.825)*(2.8-2.05)+5.95</f>
        <v>16.55125</v>
      </c>
      <c r="I2035" s="503"/>
      <c r="L2035" s="393"/>
      <c r="M2035" s="496" t="s">
        <v>3245</v>
      </c>
      <c r="N2035" s="395"/>
      <c r="O2035" s="395"/>
      <c r="P2035" s="395"/>
      <c r="Q2035" s="395"/>
      <c r="R2035" s="395"/>
      <c r="S2035" s="395"/>
      <c r="T2035" s="396"/>
      <c r="AT2035" s="391" t="s">
        <v>155</v>
      </c>
      <c r="AU2035" s="391" t="s">
        <v>83</v>
      </c>
      <c r="AV2035" s="390" t="s">
        <v>83</v>
      </c>
      <c r="AW2035" s="390" t="s">
        <v>34</v>
      </c>
      <c r="AX2035" s="390" t="s">
        <v>76</v>
      </c>
      <c r="AY2035" s="391" t="s">
        <v>146</v>
      </c>
    </row>
    <row r="2036" spans="2:51" s="390" customFormat="1" ht="22.5">
      <c r="B2036" s="389"/>
      <c r="D2036" s="376" t="s">
        <v>155</v>
      </c>
      <c r="E2036" s="391" t="s">
        <v>1</v>
      </c>
      <c r="F2036" s="346" t="s">
        <v>3256</v>
      </c>
      <c r="H2036" s="392">
        <f>1.95*(2.7-2.05)+(1.15*2+1.95)*(2.7-2.05)+2.18</f>
        <v>6.210000000000003</v>
      </c>
      <c r="I2036" s="503"/>
      <c r="L2036" s="393"/>
      <c r="M2036" s="496" t="s">
        <v>3246</v>
      </c>
      <c r="N2036" s="395"/>
      <c r="O2036" s="395"/>
      <c r="P2036" s="395"/>
      <c r="Q2036" s="395"/>
      <c r="R2036" s="395"/>
      <c r="S2036" s="395"/>
      <c r="T2036" s="396"/>
      <c r="AT2036" s="391" t="s">
        <v>155</v>
      </c>
      <c r="AU2036" s="391" t="s">
        <v>83</v>
      </c>
      <c r="AV2036" s="390" t="s">
        <v>83</v>
      </c>
      <c r="AW2036" s="390" t="s">
        <v>34</v>
      </c>
      <c r="AX2036" s="390" t="s">
        <v>76</v>
      </c>
      <c r="AY2036" s="391" t="s">
        <v>146</v>
      </c>
    </row>
    <row r="2037" spans="2:51" s="390" customFormat="1" ht="12">
      <c r="B2037" s="389"/>
      <c r="D2037" s="376"/>
      <c r="E2037" s="391"/>
      <c r="F2037" s="346" t="s">
        <v>3261</v>
      </c>
      <c r="H2037" s="392">
        <f>1.35*2.7-0.6*0.63+(0.6+0.63*2)*0.4+6.28</f>
        <v>10.291</v>
      </c>
      <c r="I2037" s="503"/>
      <c r="L2037" s="393"/>
      <c r="M2037" s="496"/>
      <c r="N2037" s="395"/>
      <c r="O2037" s="395"/>
      <c r="P2037" s="395"/>
      <c r="Q2037" s="395"/>
      <c r="R2037" s="395"/>
      <c r="S2037" s="395"/>
      <c r="T2037" s="396"/>
      <c r="AT2037" s="391"/>
      <c r="AU2037" s="391"/>
      <c r="AY2037" s="391"/>
    </row>
    <row r="2038" spans="2:51" s="390" customFormat="1" ht="12">
      <c r="B2038" s="389"/>
      <c r="D2038" s="376"/>
      <c r="E2038" s="391"/>
      <c r="F2038" s="346" t="s">
        <v>3255</v>
      </c>
      <c r="H2038" s="392">
        <f>(1+1.55)*2*(2.7-2.05)+1.5</f>
        <v>4.815000000000001</v>
      </c>
      <c r="I2038" s="503"/>
      <c r="L2038" s="393"/>
      <c r="M2038" s="496"/>
      <c r="N2038" s="395"/>
      <c r="O2038" s="395"/>
      <c r="P2038" s="395"/>
      <c r="Q2038" s="395"/>
      <c r="R2038" s="395"/>
      <c r="S2038" s="395"/>
      <c r="T2038" s="396"/>
      <c r="AT2038" s="391"/>
      <c r="AU2038" s="391"/>
      <c r="AY2038" s="391"/>
    </row>
    <row r="2039" spans="2:51" s="390" customFormat="1" ht="22.5">
      <c r="B2039" s="389"/>
      <c r="D2039" s="376" t="s">
        <v>155</v>
      </c>
      <c r="E2039" s="391" t="s">
        <v>1</v>
      </c>
      <c r="F2039" s="346" t="s">
        <v>3254</v>
      </c>
      <c r="H2039" s="392">
        <f>(1+1.55)*(2.7-2.05)+1.45</f>
        <v>3.107500000000001</v>
      </c>
      <c r="I2039" s="503"/>
      <c r="L2039" s="393"/>
      <c r="M2039" s="496" t="s">
        <v>3247</v>
      </c>
      <c r="N2039" s="395"/>
      <c r="O2039" s="395"/>
      <c r="P2039" s="395"/>
      <c r="Q2039" s="395"/>
      <c r="R2039" s="395"/>
      <c r="S2039" s="395"/>
      <c r="T2039" s="396"/>
      <c r="AT2039" s="391" t="s">
        <v>155</v>
      </c>
      <c r="AU2039" s="391" t="s">
        <v>83</v>
      </c>
      <c r="AV2039" s="390" t="s">
        <v>83</v>
      </c>
      <c r="AW2039" s="390" t="s">
        <v>34</v>
      </c>
      <c r="AX2039" s="390" t="s">
        <v>76</v>
      </c>
      <c r="AY2039" s="391" t="s">
        <v>146</v>
      </c>
    </row>
    <row r="2040" spans="2:51" s="390" customFormat="1" ht="22.5">
      <c r="B2040" s="389"/>
      <c r="D2040" s="376" t="s">
        <v>155</v>
      </c>
      <c r="E2040" s="391" t="s">
        <v>1</v>
      </c>
      <c r="F2040" s="346" t="s">
        <v>3253</v>
      </c>
      <c r="H2040" s="392">
        <f>(6.125+4.15)*2*2.7-0.8*2-0.9*2*2-0.6*0.63+(0.6+0.63*2)*0.4+18.5</f>
        <v>69.15100000000001</v>
      </c>
      <c r="I2040" s="503"/>
      <c r="L2040" s="393"/>
      <c r="M2040" s="496" t="s">
        <v>3248</v>
      </c>
      <c r="N2040" s="395"/>
      <c r="O2040" s="395"/>
      <c r="P2040" s="395"/>
      <c r="Q2040" s="395"/>
      <c r="R2040" s="395"/>
      <c r="S2040" s="395"/>
      <c r="T2040" s="396"/>
      <c r="AT2040" s="391" t="s">
        <v>155</v>
      </c>
      <c r="AU2040" s="391" t="s">
        <v>83</v>
      </c>
      <c r="AV2040" s="390" t="s">
        <v>83</v>
      </c>
      <c r="AW2040" s="390" t="s">
        <v>34</v>
      </c>
      <c r="AX2040" s="390" t="s">
        <v>76</v>
      </c>
      <c r="AY2040" s="391" t="s">
        <v>146</v>
      </c>
    </row>
    <row r="2041" spans="2:51" s="390" customFormat="1" ht="12">
      <c r="B2041" s="389"/>
      <c r="D2041" s="376" t="s">
        <v>155</v>
      </c>
      <c r="E2041" s="391" t="s">
        <v>1</v>
      </c>
      <c r="F2041" s="346" t="s">
        <v>3262</v>
      </c>
      <c r="H2041" s="392">
        <v>7.13</v>
      </c>
      <c r="I2041" s="503"/>
      <c r="L2041" s="393"/>
      <c r="M2041" s="496" t="s">
        <v>3248</v>
      </c>
      <c r="N2041" s="395"/>
      <c r="O2041" s="395"/>
      <c r="P2041" s="395"/>
      <c r="Q2041" s="395"/>
      <c r="R2041" s="395"/>
      <c r="S2041" s="395"/>
      <c r="T2041" s="396"/>
      <c r="AT2041" s="391" t="s">
        <v>155</v>
      </c>
      <c r="AU2041" s="391" t="s">
        <v>83</v>
      </c>
      <c r="AV2041" s="390" t="s">
        <v>83</v>
      </c>
      <c r="AW2041" s="390" t="s">
        <v>34</v>
      </c>
      <c r="AX2041" s="390" t="s">
        <v>76</v>
      </c>
      <c r="AY2041" s="391" t="s">
        <v>146</v>
      </c>
    </row>
    <row r="2042" spans="2:51" s="390" customFormat="1" ht="22.5">
      <c r="B2042" s="389"/>
      <c r="D2042" s="376" t="s">
        <v>155</v>
      </c>
      <c r="E2042" s="391" t="s">
        <v>1</v>
      </c>
      <c r="F2042" s="346" t="s">
        <v>3263</v>
      </c>
      <c r="H2042" s="392">
        <f>(6.08+5.9)*2*3.22+(5.9+12.225)*2*2.28-1.5*1.5*2+(1.5*3*0.4)+5.9*12.225</f>
        <v>229.2287</v>
      </c>
      <c r="I2042" s="503"/>
      <c r="L2042" s="393"/>
      <c r="M2042" s="496" t="s">
        <v>3249</v>
      </c>
      <c r="N2042" s="395"/>
      <c r="O2042" s="395"/>
      <c r="P2042" s="395"/>
      <c r="Q2042" s="395"/>
      <c r="R2042" s="395"/>
      <c r="S2042" s="395"/>
      <c r="T2042" s="396"/>
      <c r="AT2042" s="391" t="s">
        <v>155</v>
      </c>
      <c r="AU2042" s="391" t="s">
        <v>83</v>
      </c>
      <c r="AV2042" s="390" t="s">
        <v>83</v>
      </c>
      <c r="AW2042" s="390" t="s">
        <v>34</v>
      </c>
      <c r="AX2042" s="390" t="s">
        <v>76</v>
      </c>
      <c r="AY2042" s="391" t="s">
        <v>146</v>
      </c>
    </row>
    <row r="2043" spans="2:51" s="390" customFormat="1" ht="12">
      <c r="B2043" s="389"/>
      <c r="D2043" s="376" t="s">
        <v>155</v>
      </c>
      <c r="E2043" s="391" t="s">
        <v>1</v>
      </c>
      <c r="F2043" s="346" t="s">
        <v>3264</v>
      </c>
      <c r="H2043" s="392">
        <f>(6+1.55)*2*2.7-0.9*2*6+(1+2.1*2)*0.3*2+6*1.55</f>
        <v>42.39</v>
      </c>
      <c r="I2043" s="503"/>
      <c r="L2043" s="393"/>
      <c r="M2043" s="394"/>
      <c r="N2043" s="395"/>
      <c r="O2043" s="395"/>
      <c r="P2043" s="395"/>
      <c r="Q2043" s="395"/>
      <c r="R2043" s="395"/>
      <c r="S2043" s="395"/>
      <c r="T2043" s="396"/>
      <c r="AT2043" s="391" t="s">
        <v>155</v>
      </c>
      <c r="AU2043" s="391" t="s">
        <v>83</v>
      </c>
      <c r="AV2043" s="390" t="s">
        <v>83</v>
      </c>
      <c r="AW2043" s="390" t="s">
        <v>34</v>
      </c>
      <c r="AX2043" s="390" t="s">
        <v>76</v>
      </c>
      <c r="AY2043" s="391" t="s">
        <v>146</v>
      </c>
    </row>
    <row r="2044" spans="2:51" s="390" customFormat="1" ht="12">
      <c r="B2044" s="389"/>
      <c r="D2044" s="376" t="s">
        <v>155</v>
      </c>
      <c r="E2044" s="391" t="s">
        <v>1</v>
      </c>
      <c r="F2044" s="346" t="s">
        <v>3265</v>
      </c>
      <c r="H2044" s="392">
        <f>(17.6+1.6)*2*2.75-0.9*2*7-0.8*2-1.55*2*2-1.6*2.75</f>
        <v>80.80000000000003</v>
      </c>
      <c r="I2044" s="503"/>
      <c r="L2044" s="393"/>
      <c r="M2044" s="394"/>
      <c r="N2044" s="395"/>
      <c r="O2044" s="395"/>
      <c r="P2044" s="395"/>
      <c r="Q2044" s="395"/>
      <c r="R2044" s="395"/>
      <c r="S2044" s="395"/>
      <c r="T2044" s="396"/>
      <c r="AT2044" s="391" t="s">
        <v>155</v>
      </c>
      <c r="AU2044" s="391" t="s">
        <v>83</v>
      </c>
      <c r="AV2044" s="390" t="s">
        <v>83</v>
      </c>
      <c r="AW2044" s="390" t="s">
        <v>34</v>
      </c>
      <c r="AX2044" s="390" t="s">
        <v>76</v>
      </c>
      <c r="AY2044" s="391" t="s">
        <v>146</v>
      </c>
    </row>
    <row r="2045" spans="2:51" s="390" customFormat="1" ht="12">
      <c r="B2045" s="389"/>
      <c r="D2045" s="376" t="s">
        <v>155</v>
      </c>
      <c r="E2045" s="391" t="s">
        <v>1</v>
      </c>
      <c r="F2045" s="346" t="s">
        <v>3216</v>
      </c>
      <c r="H2045" s="392">
        <f>(5.8*2+3.6)*3.53-2.1*1.5+(2.1+1.5*2)*0.25</f>
        <v>51.78099999999999</v>
      </c>
      <c r="I2045" s="503"/>
      <c r="L2045" s="393"/>
      <c r="M2045" s="394"/>
      <c r="N2045" s="395"/>
      <c r="O2045" s="395"/>
      <c r="P2045" s="395"/>
      <c r="Q2045" s="395"/>
      <c r="R2045" s="395"/>
      <c r="S2045" s="395"/>
      <c r="T2045" s="396"/>
      <c r="AT2045" s="391" t="s">
        <v>155</v>
      </c>
      <c r="AU2045" s="391" t="s">
        <v>83</v>
      </c>
      <c r="AV2045" s="390" t="s">
        <v>83</v>
      </c>
      <c r="AW2045" s="390" t="s">
        <v>34</v>
      </c>
      <c r="AX2045" s="390" t="s">
        <v>76</v>
      </c>
      <c r="AY2045" s="391" t="s">
        <v>146</v>
      </c>
    </row>
    <row r="2046" spans="2:51" s="390" customFormat="1" ht="22.5">
      <c r="B2046" s="389"/>
      <c r="D2046" s="376" t="s">
        <v>155</v>
      </c>
      <c r="E2046" s="391" t="s">
        <v>1</v>
      </c>
      <c r="F2046" s="346" t="s">
        <v>3268</v>
      </c>
      <c r="H2046" s="392">
        <f>(6.15+3.5)*2*3.18-0.9*2-2.1*1.5+(1+2.1*2)*0.15+(2.1+1.5*2)*0.25+6.15*3.5</f>
        <v>80.004</v>
      </c>
      <c r="I2046" s="503"/>
      <c r="L2046" s="393"/>
      <c r="M2046" s="394"/>
      <c r="N2046" s="395"/>
      <c r="O2046" s="395"/>
      <c r="P2046" s="395"/>
      <c r="Q2046" s="395"/>
      <c r="R2046" s="395"/>
      <c r="S2046" s="395"/>
      <c r="T2046" s="396"/>
      <c r="AT2046" s="391" t="s">
        <v>155</v>
      </c>
      <c r="AU2046" s="391" t="s">
        <v>83</v>
      </c>
      <c r="AV2046" s="390" t="s">
        <v>83</v>
      </c>
      <c r="AW2046" s="390" t="s">
        <v>34</v>
      </c>
      <c r="AX2046" s="390" t="s">
        <v>76</v>
      </c>
      <c r="AY2046" s="391" t="s">
        <v>146</v>
      </c>
    </row>
    <row r="2047" spans="2:51" s="390" customFormat="1" ht="22.5">
      <c r="B2047" s="389"/>
      <c r="D2047" s="376" t="s">
        <v>155</v>
      </c>
      <c r="E2047" s="391" t="s">
        <v>1</v>
      </c>
      <c r="F2047" s="346" t="s">
        <v>3269</v>
      </c>
      <c r="H2047" s="392">
        <f>(6.15+2.88)*2*3.18-0.9*2-2.1*1.5+(1+2.1*2)*0.15+(2.1+1.5*2)*0.25+6.15*2.88</f>
        <v>72.24780000000001</v>
      </c>
      <c r="I2047" s="503"/>
      <c r="L2047" s="393"/>
      <c r="M2047" s="394"/>
      <c r="N2047" s="395"/>
      <c r="O2047" s="395"/>
      <c r="P2047" s="395"/>
      <c r="Q2047" s="395"/>
      <c r="R2047" s="395"/>
      <c r="S2047" s="395"/>
      <c r="T2047" s="396"/>
      <c r="AT2047" s="391" t="s">
        <v>155</v>
      </c>
      <c r="AU2047" s="391" t="s">
        <v>83</v>
      </c>
      <c r="AV2047" s="390" t="s">
        <v>83</v>
      </c>
      <c r="AW2047" s="390" t="s">
        <v>34</v>
      </c>
      <c r="AX2047" s="390" t="s">
        <v>76</v>
      </c>
      <c r="AY2047" s="391" t="s">
        <v>146</v>
      </c>
    </row>
    <row r="2048" spans="2:51" s="390" customFormat="1" ht="33.75">
      <c r="B2048" s="389"/>
      <c r="D2048" s="376" t="s">
        <v>155</v>
      </c>
      <c r="E2048" s="391" t="s">
        <v>1</v>
      </c>
      <c r="F2048" s="346" t="s">
        <v>3270</v>
      </c>
      <c r="H2048" s="392">
        <f>(6.15+3.68)*2*3.18-0.9*2-1.45*2.4-0.9*1.5+(1+2.1*2)*0.15+(1.45+2.4*2+0.9+1.5*2)*0.25+6.15*3.68</f>
        <v>81.83830000000002</v>
      </c>
      <c r="I2048" s="503"/>
      <c r="L2048" s="393"/>
      <c r="M2048" s="394"/>
      <c r="N2048" s="395"/>
      <c r="O2048" s="395"/>
      <c r="P2048" s="395"/>
      <c r="Q2048" s="395"/>
      <c r="R2048" s="395"/>
      <c r="S2048" s="395"/>
      <c r="T2048" s="396"/>
      <c r="AT2048" s="391" t="s">
        <v>155</v>
      </c>
      <c r="AU2048" s="391" t="s">
        <v>83</v>
      </c>
      <c r="AV2048" s="390" t="s">
        <v>83</v>
      </c>
      <c r="AW2048" s="390" t="s">
        <v>34</v>
      </c>
      <c r="AX2048" s="390" t="s">
        <v>76</v>
      </c>
      <c r="AY2048" s="391" t="s">
        <v>146</v>
      </c>
    </row>
    <row r="2049" spans="2:51" s="390" customFormat="1" ht="33.75">
      <c r="B2049" s="389"/>
      <c r="D2049" s="376" t="s">
        <v>155</v>
      </c>
      <c r="E2049" s="391" t="s">
        <v>1</v>
      </c>
      <c r="F2049" s="346" t="s">
        <v>3271</v>
      </c>
      <c r="H2049" s="392">
        <f>(6.15+7.73+0.4)*2*3.18-0.9*2-1.75*2.4-2.1*1.5+(1+2.1*2)*0.15+(1.75+2.4*2+2.1+1.5*2)*0.25+6.15*7.73</f>
        <v>132.9028</v>
      </c>
      <c r="I2049" s="503"/>
      <c r="L2049" s="393"/>
      <c r="M2049" s="394"/>
      <c r="N2049" s="395"/>
      <c r="O2049" s="395"/>
      <c r="P2049" s="395"/>
      <c r="Q2049" s="395"/>
      <c r="R2049" s="395"/>
      <c r="S2049" s="395"/>
      <c r="T2049" s="396"/>
      <c r="AT2049" s="391" t="s">
        <v>155</v>
      </c>
      <c r="AU2049" s="391" t="s">
        <v>83</v>
      </c>
      <c r="AV2049" s="390" t="s">
        <v>83</v>
      </c>
      <c r="AW2049" s="390" t="s">
        <v>34</v>
      </c>
      <c r="AX2049" s="390" t="s">
        <v>76</v>
      </c>
      <c r="AY2049" s="391" t="s">
        <v>146</v>
      </c>
    </row>
    <row r="2050" spans="2:51" s="335" customFormat="1" ht="22.5">
      <c r="B2050" s="336"/>
      <c r="D2050" s="328" t="s">
        <v>155</v>
      </c>
      <c r="E2050" s="337" t="s">
        <v>1</v>
      </c>
      <c r="F2050" s="346" t="s">
        <v>3186</v>
      </c>
      <c r="H2050" s="339">
        <f>(8+3.6+0.4)*2*2.95-2.1*1.5*2-1.6*2.1+(6+6+3.6)*0.35+(2.1+1.5*2)*0.25*2+3.6*8</f>
        <v>97.95</v>
      </c>
      <c r="I2050" s="498"/>
      <c r="L2050" s="340"/>
      <c r="M2050" s="341"/>
      <c r="N2050" s="342"/>
      <c r="O2050" s="342"/>
      <c r="P2050" s="342"/>
      <c r="Q2050" s="342"/>
      <c r="R2050" s="342"/>
      <c r="S2050" s="342"/>
      <c r="T2050" s="343"/>
      <c r="AT2050" s="337" t="s">
        <v>155</v>
      </c>
      <c r="AU2050" s="337" t="s">
        <v>83</v>
      </c>
      <c r="AV2050" s="335" t="s">
        <v>83</v>
      </c>
      <c r="AW2050" s="335" t="s">
        <v>34</v>
      </c>
      <c r="AX2050" s="335" t="s">
        <v>76</v>
      </c>
      <c r="AY2050" s="337" t="s">
        <v>146</v>
      </c>
    </row>
    <row r="2051" spans="2:51" s="335" customFormat="1" ht="12">
      <c r="B2051" s="336"/>
      <c r="D2051" s="328" t="s">
        <v>155</v>
      </c>
      <c r="E2051" s="337" t="s">
        <v>1</v>
      </c>
      <c r="F2051" s="346" t="s">
        <v>3187</v>
      </c>
      <c r="H2051" s="339">
        <f>(16.6+1.6)*2*2.95-1.6*2.1-0.9*2*5-0.8*2*2+16.6*1.6</f>
        <v>118.38000000000002</v>
      </c>
      <c r="I2051" s="498"/>
      <c r="L2051" s="340"/>
      <c r="M2051" s="341"/>
      <c r="N2051" s="342"/>
      <c r="O2051" s="342"/>
      <c r="P2051" s="342"/>
      <c r="Q2051" s="342"/>
      <c r="R2051" s="342"/>
      <c r="S2051" s="342"/>
      <c r="T2051" s="343"/>
      <c r="AT2051" s="337" t="s">
        <v>155</v>
      </c>
      <c r="AU2051" s="337" t="s">
        <v>83</v>
      </c>
      <c r="AV2051" s="335" t="s">
        <v>83</v>
      </c>
      <c r="AW2051" s="335" t="s">
        <v>34</v>
      </c>
      <c r="AX2051" s="335" t="s">
        <v>76</v>
      </c>
      <c r="AY2051" s="337" t="s">
        <v>146</v>
      </c>
    </row>
    <row r="2052" spans="2:51" s="335" customFormat="1" ht="22.5">
      <c r="B2052" s="336"/>
      <c r="D2052" s="328" t="s">
        <v>155</v>
      </c>
      <c r="E2052" s="337" t="s">
        <v>1</v>
      </c>
      <c r="F2052" s="346" t="s">
        <v>3188</v>
      </c>
      <c r="H2052" s="339">
        <f>(7.8+4.25)*2*2.7-0.8*2-2.1*1.5*2+(2.1+1.5*2)*0.25*2-3.3*0.9+7.2*4.25+2.1*0.6</f>
        <v>88.61</v>
      </c>
      <c r="I2052" s="498"/>
      <c r="L2052" s="340"/>
      <c r="M2052" s="341"/>
      <c r="N2052" s="342"/>
      <c r="O2052" s="342"/>
      <c r="P2052" s="342"/>
      <c r="Q2052" s="342"/>
      <c r="R2052" s="342"/>
      <c r="S2052" s="342"/>
      <c r="T2052" s="343"/>
      <c r="AT2052" s="337" t="s">
        <v>155</v>
      </c>
      <c r="AU2052" s="337" t="s">
        <v>83</v>
      </c>
      <c r="AV2052" s="335" t="s">
        <v>83</v>
      </c>
      <c r="AW2052" s="335" t="s">
        <v>34</v>
      </c>
      <c r="AX2052" s="335" t="s">
        <v>76</v>
      </c>
      <c r="AY2052" s="337" t="s">
        <v>146</v>
      </c>
    </row>
    <row r="2053" spans="2:51" s="335" customFormat="1" ht="22.5">
      <c r="B2053" s="336"/>
      <c r="D2053" s="328" t="s">
        <v>155</v>
      </c>
      <c r="E2053" s="337" t="s">
        <v>1</v>
      </c>
      <c r="F2053" s="346" t="s">
        <v>3189</v>
      </c>
      <c r="H2053" s="339">
        <f>(7.3+4.25)*2*2.95-0.9*2*2-2.1*1.5*2+(2.1+1.5*2)*0.25*2+6.7*2.25+7.3*2</f>
        <v>90.47000000000001</v>
      </c>
      <c r="I2053" s="498"/>
      <c r="L2053" s="340"/>
      <c r="M2053" s="341"/>
      <c r="N2053" s="342"/>
      <c r="O2053" s="342"/>
      <c r="P2053" s="342"/>
      <c r="Q2053" s="342"/>
      <c r="R2053" s="342"/>
      <c r="S2053" s="342"/>
      <c r="T2053" s="343"/>
      <c r="AT2053" s="337" t="s">
        <v>155</v>
      </c>
      <c r="AU2053" s="337" t="s">
        <v>83</v>
      </c>
      <c r="AV2053" s="335" t="s">
        <v>83</v>
      </c>
      <c r="AW2053" s="335" t="s">
        <v>34</v>
      </c>
      <c r="AX2053" s="335" t="s">
        <v>76</v>
      </c>
      <c r="AY2053" s="337" t="s">
        <v>146</v>
      </c>
    </row>
    <row r="2054" spans="2:51" s="335" customFormat="1" ht="22.5">
      <c r="B2054" s="336"/>
      <c r="D2054" s="328" t="s">
        <v>155</v>
      </c>
      <c r="E2054" s="337" t="s">
        <v>1</v>
      </c>
      <c r="F2054" s="346" t="s">
        <v>3190</v>
      </c>
      <c r="H2054" s="339">
        <f>(3.73+4.25)*2*2.95-0.9*2-0.8*2-2.1*1.5+(2.1+1.5*2)*0.25+3.73*4.25</f>
        <v>57.65950000000001</v>
      </c>
      <c r="I2054" s="498"/>
      <c r="L2054" s="340"/>
      <c r="M2054" s="341"/>
      <c r="N2054" s="342"/>
      <c r="O2054" s="342"/>
      <c r="P2054" s="342"/>
      <c r="Q2054" s="342"/>
      <c r="R2054" s="342"/>
      <c r="S2054" s="342"/>
      <c r="T2054" s="343"/>
      <c r="AT2054" s="337" t="s">
        <v>155</v>
      </c>
      <c r="AU2054" s="337" t="s">
        <v>83</v>
      </c>
      <c r="AV2054" s="335" t="s">
        <v>83</v>
      </c>
      <c r="AW2054" s="335" t="s">
        <v>34</v>
      </c>
      <c r="AX2054" s="335" t="s">
        <v>76</v>
      </c>
      <c r="AY2054" s="337" t="s">
        <v>146</v>
      </c>
    </row>
    <row r="2055" spans="2:51" s="335" customFormat="1" ht="22.5">
      <c r="B2055" s="336"/>
      <c r="D2055" s="328" t="s">
        <v>155</v>
      </c>
      <c r="E2055" s="337" t="s">
        <v>1</v>
      </c>
      <c r="F2055" s="346" t="s">
        <v>3191</v>
      </c>
      <c r="H2055" s="339">
        <f>(2.6+3.7+1.25)*2*2.95-0.8*2-0.6*0.75*3+(0.6+0.75*2)*0.25*3+3.7*2.6</f>
        <v>52.790000000000006</v>
      </c>
      <c r="I2055" s="498"/>
      <c r="L2055" s="340"/>
      <c r="M2055" s="341"/>
      <c r="N2055" s="342"/>
      <c r="O2055" s="342"/>
      <c r="P2055" s="342"/>
      <c r="Q2055" s="342"/>
      <c r="R2055" s="342"/>
      <c r="S2055" s="342"/>
      <c r="T2055" s="343"/>
      <c r="AT2055" s="337" t="s">
        <v>155</v>
      </c>
      <c r="AU2055" s="337" t="s">
        <v>83</v>
      </c>
      <c r="AV2055" s="335" t="s">
        <v>83</v>
      </c>
      <c r="AW2055" s="335" t="s">
        <v>34</v>
      </c>
      <c r="AX2055" s="335" t="s">
        <v>76</v>
      </c>
      <c r="AY2055" s="337" t="s">
        <v>146</v>
      </c>
    </row>
    <row r="2056" spans="2:51" s="335" customFormat="1" ht="12">
      <c r="B2056" s="336"/>
      <c r="D2056" s="328" t="s">
        <v>155</v>
      </c>
      <c r="E2056" s="337" t="s">
        <v>1</v>
      </c>
      <c r="F2056" s="346" t="s">
        <v>3192</v>
      </c>
      <c r="H2056" s="339">
        <f>(1.5+1.73)*2*(2.5-2.05)+1.5*1.73</f>
        <v>5.502000000000001</v>
      </c>
      <c r="I2056" s="498"/>
      <c r="L2056" s="340"/>
      <c r="M2056" s="341"/>
      <c r="N2056" s="342"/>
      <c r="O2056" s="342"/>
      <c r="P2056" s="342"/>
      <c r="Q2056" s="342"/>
      <c r="R2056" s="342"/>
      <c r="S2056" s="342"/>
      <c r="T2056" s="343"/>
      <c r="AT2056" s="337" t="s">
        <v>155</v>
      </c>
      <c r="AU2056" s="337" t="s">
        <v>83</v>
      </c>
      <c r="AV2056" s="335" t="s">
        <v>83</v>
      </c>
      <c r="AW2056" s="335" t="s">
        <v>34</v>
      </c>
      <c r="AX2056" s="335" t="s">
        <v>76</v>
      </c>
      <c r="AY2056" s="337" t="s">
        <v>146</v>
      </c>
    </row>
    <row r="2057" spans="2:51" s="335" customFormat="1" ht="12">
      <c r="B2057" s="336"/>
      <c r="D2057" s="328" t="s">
        <v>155</v>
      </c>
      <c r="E2057" s="337" t="s">
        <v>1</v>
      </c>
      <c r="F2057" s="346" t="s">
        <v>3196</v>
      </c>
      <c r="H2057" s="339">
        <f>(1.5+1.7)*2*(2.5-2.05)+1.7*1.5</f>
        <v>5.4300000000000015</v>
      </c>
      <c r="I2057" s="498"/>
      <c r="L2057" s="340"/>
      <c r="M2057" s="341"/>
      <c r="N2057" s="342"/>
      <c r="O2057" s="342"/>
      <c r="P2057" s="342"/>
      <c r="Q2057" s="342"/>
      <c r="R2057" s="342"/>
      <c r="S2057" s="342"/>
      <c r="T2057" s="343"/>
      <c r="AT2057" s="337" t="s">
        <v>155</v>
      </c>
      <c r="AU2057" s="337" t="s">
        <v>83</v>
      </c>
      <c r="AV2057" s="335" t="s">
        <v>83</v>
      </c>
      <c r="AW2057" s="335" t="s">
        <v>34</v>
      </c>
      <c r="AX2057" s="335" t="s">
        <v>76</v>
      </c>
      <c r="AY2057" s="337" t="s">
        <v>146</v>
      </c>
    </row>
    <row r="2058" spans="2:51" s="335" customFormat="1" ht="12">
      <c r="B2058" s="336"/>
      <c r="D2058" s="328" t="s">
        <v>155</v>
      </c>
      <c r="E2058" s="337" t="s">
        <v>1</v>
      </c>
      <c r="F2058" s="346" t="s">
        <v>3197</v>
      </c>
      <c r="H2058" s="339">
        <f>(1.85+1.6)*2*(2.5-2.05)+1.85*1.6</f>
        <v>6.065000000000001</v>
      </c>
      <c r="I2058" s="498"/>
      <c r="L2058" s="340"/>
      <c r="M2058" s="341"/>
      <c r="N2058" s="342"/>
      <c r="O2058" s="342"/>
      <c r="P2058" s="342"/>
      <c r="Q2058" s="342"/>
      <c r="R2058" s="342"/>
      <c r="S2058" s="342"/>
      <c r="T2058" s="343"/>
      <c r="AT2058" s="337" t="s">
        <v>155</v>
      </c>
      <c r="AU2058" s="337" t="s">
        <v>83</v>
      </c>
      <c r="AV2058" s="335" t="s">
        <v>83</v>
      </c>
      <c r="AW2058" s="335" t="s">
        <v>34</v>
      </c>
      <c r="AX2058" s="335" t="s">
        <v>76</v>
      </c>
      <c r="AY2058" s="337" t="s">
        <v>146</v>
      </c>
    </row>
    <row r="2059" spans="2:51" s="335" customFormat="1" ht="22.5">
      <c r="B2059" s="336"/>
      <c r="D2059" s="328" t="s">
        <v>155</v>
      </c>
      <c r="E2059" s="337" t="s">
        <v>1</v>
      </c>
      <c r="F2059" s="346" t="s">
        <v>3198</v>
      </c>
      <c r="H2059" s="339">
        <f>(3.48+6.25)*2*2.95-0.9*2-2.1*1.5+(2.1+1.5*2)*0.25+3.48*6.25</f>
        <v>75.482</v>
      </c>
      <c r="I2059" s="498"/>
      <c r="L2059" s="340"/>
      <c r="M2059" s="341"/>
      <c r="N2059" s="342"/>
      <c r="O2059" s="342"/>
      <c r="P2059" s="342"/>
      <c r="Q2059" s="342"/>
      <c r="R2059" s="342"/>
      <c r="S2059" s="342"/>
      <c r="T2059" s="343"/>
      <c r="AT2059" s="337" t="s">
        <v>155</v>
      </c>
      <c r="AU2059" s="337" t="s">
        <v>83</v>
      </c>
      <c r="AV2059" s="335" t="s">
        <v>83</v>
      </c>
      <c r="AW2059" s="335" t="s">
        <v>34</v>
      </c>
      <c r="AX2059" s="335" t="s">
        <v>76</v>
      </c>
      <c r="AY2059" s="337" t="s">
        <v>146</v>
      </c>
    </row>
    <row r="2060" spans="2:51" s="335" customFormat="1" ht="22.5">
      <c r="B2060" s="336"/>
      <c r="D2060" s="328" t="s">
        <v>155</v>
      </c>
      <c r="E2060" s="337" t="s">
        <v>1</v>
      </c>
      <c r="F2060" s="346" t="s">
        <v>3199</v>
      </c>
      <c r="H2060" s="339">
        <f>(2.95+6.25)*2*2.95-0.9*2-2.1*1.5+(2.1+1.5*2)*0.25+2.95*6.25</f>
        <v>69.0425</v>
      </c>
      <c r="I2060" s="498"/>
      <c r="L2060" s="340"/>
      <c r="M2060" s="341"/>
      <c r="N2060" s="342"/>
      <c r="O2060" s="342"/>
      <c r="P2060" s="342"/>
      <c r="Q2060" s="342"/>
      <c r="R2060" s="342"/>
      <c r="S2060" s="342"/>
      <c r="T2060" s="343"/>
      <c r="AT2060" s="337" t="s">
        <v>155</v>
      </c>
      <c r="AU2060" s="337" t="s">
        <v>83</v>
      </c>
      <c r="AV2060" s="335" t="s">
        <v>83</v>
      </c>
      <c r="AW2060" s="335" t="s">
        <v>34</v>
      </c>
      <c r="AX2060" s="335" t="s">
        <v>76</v>
      </c>
      <c r="AY2060" s="337" t="s">
        <v>146</v>
      </c>
    </row>
    <row r="2061" spans="2:51" s="335" customFormat="1" ht="12">
      <c r="B2061" s="336"/>
      <c r="D2061" s="328" t="s">
        <v>155</v>
      </c>
      <c r="E2061" s="337" t="s">
        <v>1</v>
      </c>
      <c r="F2061" s="346" t="s">
        <v>3771</v>
      </c>
      <c r="H2061" s="339">
        <f>(5.6+3)*2*2.95-0.9*2*4-0.8*2*3+5.6*1.1+2.1*3</f>
        <v>51.19999999999999</v>
      </c>
      <c r="I2061" s="498"/>
      <c r="L2061" s="340"/>
      <c r="M2061" s="341"/>
      <c r="N2061" s="342"/>
      <c r="O2061" s="342"/>
      <c r="P2061" s="342"/>
      <c r="Q2061" s="342"/>
      <c r="R2061" s="342"/>
      <c r="S2061" s="342"/>
      <c r="T2061" s="343"/>
      <c r="AT2061" s="337" t="s">
        <v>155</v>
      </c>
      <c r="AU2061" s="337" t="s">
        <v>83</v>
      </c>
      <c r="AV2061" s="335" t="s">
        <v>83</v>
      </c>
      <c r="AW2061" s="335" t="s">
        <v>34</v>
      </c>
      <c r="AX2061" s="335" t="s">
        <v>76</v>
      </c>
      <c r="AY2061" s="337" t="s">
        <v>146</v>
      </c>
    </row>
    <row r="2062" spans="2:51" s="335" customFormat="1" ht="12">
      <c r="B2062" s="336"/>
      <c r="D2062" s="328" t="s">
        <v>155</v>
      </c>
      <c r="E2062" s="337" t="s">
        <v>1</v>
      </c>
      <c r="F2062" s="346" t="s">
        <v>3276</v>
      </c>
      <c r="H2062" s="339">
        <f>1.65*1</f>
        <v>1.65</v>
      </c>
      <c r="I2062" s="498"/>
      <c r="L2062" s="340"/>
      <c r="M2062" s="341"/>
      <c r="N2062" s="342"/>
      <c r="O2062" s="342"/>
      <c r="P2062" s="342"/>
      <c r="Q2062" s="342"/>
      <c r="R2062" s="342"/>
      <c r="S2062" s="342"/>
      <c r="T2062" s="343"/>
      <c r="AT2062" s="337" t="s">
        <v>155</v>
      </c>
      <c r="AU2062" s="337" t="s">
        <v>83</v>
      </c>
      <c r="AV2062" s="335" t="s">
        <v>83</v>
      </c>
      <c r="AW2062" s="335" t="s">
        <v>34</v>
      </c>
      <c r="AX2062" s="335" t="s">
        <v>76</v>
      </c>
      <c r="AY2062" s="337" t="s">
        <v>146</v>
      </c>
    </row>
    <row r="2063" spans="2:51" s="335" customFormat="1" ht="12">
      <c r="B2063" s="336"/>
      <c r="D2063" s="328" t="s">
        <v>155</v>
      </c>
      <c r="E2063" s="337"/>
      <c r="F2063" s="346" t="s">
        <v>3276</v>
      </c>
      <c r="H2063" s="339">
        <f>2.275*1.65</f>
        <v>3.7537499999999997</v>
      </c>
      <c r="I2063" s="498"/>
      <c r="L2063" s="340"/>
      <c r="M2063" s="341"/>
      <c r="N2063" s="342"/>
      <c r="O2063" s="342"/>
      <c r="P2063" s="342"/>
      <c r="Q2063" s="342"/>
      <c r="R2063" s="342"/>
      <c r="S2063" s="342"/>
      <c r="T2063" s="343"/>
      <c r="AT2063" s="337"/>
      <c r="AU2063" s="337"/>
      <c r="AY2063" s="337"/>
    </row>
    <row r="2064" spans="2:51" s="335" customFormat="1" ht="22.5">
      <c r="B2064" s="336"/>
      <c r="D2064" s="328" t="s">
        <v>155</v>
      </c>
      <c r="E2064" s="337" t="s">
        <v>1</v>
      </c>
      <c r="F2064" s="346" t="s">
        <v>3772</v>
      </c>
      <c r="H2064" s="339">
        <f>(4.2+6.25)*2*2.95-0.9*2-2.1*1.5+(2.1+1.5*2)*0.25-(3.9+0.6*2)*0.55+4.2*6.25</f>
        <v>81.42500000000001</v>
      </c>
      <c r="I2064" s="498"/>
      <c r="L2064" s="340"/>
      <c r="M2064" s="341"/>
      <c r="N2064" s="342"/>
      <c r="O2064" s="342"/>
      <c r="P2064" s="342"/>
      <c r="Q2064" s="342"/>
      <c r="R2064" s="342"/>
      <c r="S2064" s="342"/>
      <c r="T2064" s="343"/>
      <c r="AT2064" s="337" t="s">
        <v>155</v>
      </c>
      <c r="AU2064" s="337" t="s">
        <v>83</v>
      </c>
      <c r="AV2064" s="335" t="s">
        <v>83</v>
      </c>
      <c r="AW2064" s="335" t="s">
        <v>34</v>
      </c>
      <c r="AX2064" s="335" t="s">
        <v>76</v>
      </c>
      <c r="AY2064" s="337" t="s">
        <v>146</v>
      </c>
    </row>
    <row r="2065" spans="2:51" s="335" customFormat="1" ht="22.5">
      <c r="B2065" s="336"/>
      <c r="D2065" s="328" t="s">
        <v>155</v>
      </c>
      <c r="E2065" s="337" t="s">
        <v>1</v>
      </c>
      <c r="F2065" s="346" t="s">
        <v>3773</v>
      </c>
      <c r="H2065" s="339">
        <f>(3.35+3.1)*2*2.95-2.1*1.5+(2.1+1.5*2)*0.25-0.9*2+3.35*3.1</f>
        <v>44.76500000000001</v>
      </c>
      <c r="I2065" s="498"/>
      <c r="L2065" s="340"/>
      <c r="M2065" s="341"/>
      <c r="N2065" s="342"/>
      <c r="O2065" s="342"/>
      <c r="P2065" s="342"/>
      <c r="Q2065" s="342"/>
      <c r="R2065" s="342"/>
      <c r="S2065" s="342"/>
      <c r="T2065" s="343"/>
      <c r="AT2065" s="337" t="s">
        <v>155</v>
      </c>
      <c r="AU2065" s="337" t="s">
        <v>83</v>
      </c>
      <c r="AV2065" s="335" t="s">
        <v>83</v>
      </c>
      <c r="AW2065" s="335" t="s">
        <v>34</v>
      </c>
      <c r="AX2065" s="335" t="s">
        <v>76</v>
      </c>
      <c r="AY2065" s="337" t="s">
        <v>146</v>
      </c>
    </row>
    <row r="2066" spans="2:51" s="335" customFormat="1" ht="22.5">
      <c r="B2066" s="336"/>
      <c r="D2066" s="328" t="s">
        <v>155</v>
      </c>
      <c r="E2066" s="337" t="s">
        <v>1</v>
      </c>
      <c r="F2066" s="346" t="s">
        <v>3774</v>
      </c>
      <c r="H2066" s="339">
        <f>(3.83+3.1+0.4)*2*2.95-2.1*1.5+(2.1+1.5*2)*0.25-0.9*2+3.83*3.1</f>
        <v>51.44500000000001</v>
      </c>
      <c r="I2066" s="498"/>
      <c r="L2066" s="340"/>
      <c r="M2066" s="341"/>
      <c r="N2066" s="342"/>
      <c r="O2066" s="342"/>
      <c r="P2066" s="342"/>
      <c r="Q2066" s="342"/>
      <c r="R2066" s="342"/>
      <c r="S2066" s="342"/>
      <c r="T2066" s="343"/>
      <c r="AT2066" s="337" t="s">
        <v>155</v>
      </c>
      <c r="AU2066" s="337" t="s">
        <v>83</v>
      </c>
      <c r="AV2066" s="335" t="s">
        <v>83</v>
      </c>
      <c r="AW2066" s="335" t="s">
        <v>34</v>
      </c>
      <c r="AX2066" s="335" t="s">
        <v>76</v>
      </c>
      <c r="AY2066" s="337" t="s">
        <v>146</v>
      </c>
    </row>
    <row r="2067" spans="2:51" s="335" customFormat="1" ht="12">
      <c r="B2067" s="336"/>
      <c r="D2067" s="328" t="s">
        <v>155</v>
      </c>
      <c r="E2067" s="337" t="s">
        <v>1</v>
      </c>
      <c r="F2067" s="346" t="s">
        <v>3775</v>
      </c>
      <c r="H2067" s="339">
        <f>(2.85+1.63)*2*2.95-0.8*2+2.85*1.63</f>
        <v>29.477500000000006</v>
      </c>
      <c r="I2067" s="498"/>
      <c r="L2067" s="340"/>
      <c r="M2067" s="341"/>
      <c r="N2067" s="342"/>
      <c r="O2067" s="342"/>
      <c r="P2067" s="342"/>
      <c r="Q2067" s="342"/>
      <c r="R2067" s="342"/>
      <c r="S2067" s="342"/>
      <c r="T2067" s="343"/>
      <c r="AT2067" s="337" t="s">
        <v>155</v>
      </c>
      <c r="AU2067" s="337" t="s">
        <v>83</v>
      </c>
      <c r="AV2067" s="335" t="s">
        <v>83</v>
      </c>
      <c r="AW2067" s="335" t="s">
        <v>34</v>
      </c>
      <c r="AX2067" s="335" t="s">
        <v>76</v>
      </c>
      <c r="AY2067" s="337" t="s">
        <v>146</v>
      </c>
    </row>
    <row r="2068" spans="2:51" s="347" customFormat="1" ht="12">
      <c r="B2068" s="348"/>
      <c r="D2068" s="328" t="s">
        <v>155</v>
      </c>
      <c r="E2068" s="349" t="s">
        <v>1</v>
      </c>
      <c r="F2068" s="350" t="s">
        <v>157</v>
      </c>
      <c r="H2068" s="351">
        <f>SUM(H2027:H2067)</f>
        <v>2047.0938500000002</v>
      </c>
      <c r="I2068" s="499"/>
      <c r="L2068" s="340"/>
      <c r="M2068" s="353"/>
      <c r="N2068" s="354"/>
      <c r="O2068" s="354"/>
      <c r="P2068" s="354"/>
      <c r="Q2068" s="354"/>
      <c r="R2068" s="354"/>
      <c r="S2068" s="354"/>
      <c r="T2068" s="355"/>
      <c r="AT2068" s="349" t="s">
        <v>155</v>
      </c>
      <c r="AU2068" s="349" t="s">
        <v>83</v>
      </c>
      <c r="AV2068" s="347" t="s">
        <v>153</v>
      </c>
      <c r="AW2068" s="347" t="s">
        <v>34</v>
      </c>
      <c r="AX2068" s="347" t="s">
        <v>81</v>
      </c>
      <c r="AY2068" s="349" t="s">
        <v>146</v>
      </c>
    </row>
    <row r="2069" spans="1:65" s="225" customFormat="1" ht="33" customHeight="1">
      <c r="A2069" s="222"/>
      <c r="B2069" s="223"/>
      <c r="C2069" s="314"/>
      <c r="D2069" s="314" t="s">
        <v>148</v>
      </c>
      <c r="E2069" s="315"/>
      <c r="F2069" s="344" t="s">
        <v>3277</v>
      </c>
      <c r="G2069" s="317" t="s">
        <v>151</v>
      </c>
      <c r="H2069" s="318">
        <f>H2074</f>
        <v>0</v>
      </c>
      <c r="I2069" s="79"/>
      <c r="J2069" s="319">
        <f>ROUND(I2069*H2069,2)</f>
        <v>0</v>
      </c>
      <c r="K2069" s="316"/>
      <c r="L2069" s="229"/>
      <c r="M2069" s="320" t="s">
        <v>1</v>
      </c>
      <c r="N2069" s="321" t="s">
        <v>42</v>
      </c>
      <c r="O2069" s="322">
        <v>0.104</v>
      </c>
      <c r="P2069" s="322">
        <f>O2069*H2069</f>
        <v>0</v>
      </c>
      <c r="Q2069" s="322">
        <v>0.0002584</v>
      </c>
      <c r="R2069" s="322">
        <f>Q2069*H2069</f>
        <v>0</v>
      </c>
      <c r="S2069" s="322">
        <v>0</v>
      </c>
      <c r="T2069" s="323">
        <f>S2069*H2069</f>
        <v>0</v>
      </c>
      <c r="U2069" s="222"/>
      <c r="V2069" s="222"/>
      <c r="W2069" s="222"/>
      <c r="X2069" s="222"/>
      <c r="Y2069" s="222"/>
      <c r="Z2069" s="222"/>
      <c r="AA2069" s="222"/>
      <c r="AB2069" s="222"/>
      <c r="AC2069" s="222"/>
      <c r="AD2069" s="222"/>
      <c r="AE2069" s="222"/>
      <c r="AR2069" s="324" t="s">
        <v>212</v>
      </c>
      <c r="AT2069" s="324" t="s">
        <v>148</v>
      </c>
      <c r="AU2069" s="324" t="s">
        <v>83</v>
      </c>
      <c r="AY2069" s="214" t="s">
        <v>146</v>
      </c>
      <c r="BE2069" s="325">
        <f>IF(N2069="základní",J2069,0)</f>
        <v>0</v>
      </c>
      <c r="BF2069" s="325">
        <f>IF(N2069="snížená",J2069,0)</f>
        <v>0</v>
      </c>
      <c r="BG2069" s="325">
        <f>IF(N2069="zákl. přenesená",J2069,0)</f>
        <v>0</v>
      </c>
      <c r="BH2069" s="325">
        <f>IF(N2069="sníž. přenesená",J2069,0)</f>
        <v>0</v>
      </c>
      <c r="BI2069" s="325">
        <f>IF(N2069="nulová",J2069,0)</f>
        <v>0</v>
      </c>
      <c r="BJ2069" s="214" t="s">
        <v>81</v>
      </c>
      <c r="BK2069" s="325">
        <f>ROUND(I2069*H2069,2)</f>
        <v>0</v>
      </c>
      <c r="BL2069" s="214" t="s">
        <v>212</v>
      </c>
      <c r="BM2069" s="324" t="s">
        <v>1345</v>
      </c>
    </row>
    <row r="2070" spans="2:51" s="390" customFormat="1" ht="22.5">
      <c r="B2070" s="389"/>
      <c r="D2070" s="376" t="s">
        <v>155</v>
      </c>
      <c r="E2070" s="391" t="s">
        <v>1</v>
      </c>
      <c r="F2070" s="346" t="s">
        <v>3272</v>
      </c>
      <c r="H2070" s="392">
        <f>(10.325+5.7+0.4)*2*5.58-0.9*2-3*3.3*2+(1+2.1*2)*0.3*2+10.325*5.7</f>
        <v>223.67549999999997</v>
      </c>
      <c r="I2070" s="503"/>
      <c r="L2070" s="393"/>
      <c r="M2070" s="394"/>
      <c r="N2070" s="395"/>
      <c r="O2070" s="395"/>
      <c r="P2070" s="395"/>
      <c r="Q2070" s="395"/>
      <c r="R2070" s="395"/>
      <c r="S2070" s="395"/>
      <c r="T2070" s="396"/>
      <c r="AT2070" s="391" t="s">
        <v>155</v>
      </c>
      <c r="AU2070" s="391" t="s">
        <v>83</v>
      </c>
      <c r="AV2070" s="390" t="s">
        <v>83</v>
      </c>
      <c r="AW2070" s="390" t="s">
        <v>34</v>
      </c>
      <c r="AX2070" s="390" t="s">
        <v>76</v>
      </c>
      <c r="AY2070" s="391" t="s">
        <v>146</v>
      </c>
    </row>
    <row r="2071" spans="2:51" s="390" customFormat="1" ht="22.5">
      <c r="B2071" s="389"/>
      <c r="D2071" s="376" t="s">
        <v>155</v>
      </c>
      <c r="E2071" s="391" t="s">
        <v>1</v>
      </c>
      <c r="F2071" s="346" t="s">
        <v>3273</v>
      </c>
      <c r="H2071" s="392">
        <f>(10.325+6.4+0.4*2)*2*5.58-3*3.3-1.5*1.5*3+(3+3.3*2)*0.25+10.325*6.4</f>
        <v>247.40900000000005</v>
      </c>
      <c r="I2071" s="503"/>
      <c r="L2071" s="393"/>
      <c r="M2071" s="394"/>
      <c r="N2071" s="395"/>
      <c r="O2071" s="395"/>
      <c r="P2071" s="395"/>
      <c r="Q2071" s="395"/>
      <c r="R2071" s="395"/>
      <c r="S2071" s="395"/>
      <c r="T2071" s="396"/>
      <c r="AT2071" s="391" t="s">
        <v>155</v>
      </c>
      <c r="AU2071" s="391" t="s">
        <v>83</v>
      </c>
      <c r="AV2071" s="390" t="s">
        <v>83</v>
      </c>
      <c r="AW2071" s="390" t="s">
        <v>34</v>
      </c>
      <c r="AX2071" s="390" t="s">
        <v>76</v>
      </c>
      <c r="AY2071" s="391" t="s">
        <v>146</v>
      </c>
    </row>
    <row r="2072" spans="2:51" s="390" customFormat="1" ht="22.5">
      <c r="B2072" s="389"/>
      <c r="D2072" s="376" t="s">
        <v>155</v>
      </c>
      <c r="E2072" s="391" t="s">
        <v>1</v>
      </c>
      <c r="F2072" s="346" t="s">
        <v>3274</v>
      </c>
      <c r="H2072" s="392">
        <f>(12.4+3.3)*2*5.58-3*3.3-1.5*1.5+(1.5*3)*0.25+12.4*3.3</f>
        <v>205.10699999999997</v>
      </c>
      <c r="I2072" s="503"/>
      <c r="L2072" s="393"/>
      <c r="M2072" s="394"/>
      <c r="N2072" s="395"/>
      <c r="O2072" s="395"/>
      <c r="P2072" s="395"/>
      <c r="Q2072" s="395"/>
      <c r="R2072" s="395"/>
      <c r="S2072" s="395"/>
      <c r="T2072" s="396"/>
      <c r="AT2072" s="391" t="s">
        <v>155</v>
      </c>
      <c r="AU2072" s="391" t="s">
        <v>83</v>
      </c>
      <c r="AV2072" s="390" t="s">
        <v>83</v>
      </c>
      <c r="AW2072" s="390" t="s">
        <v>34</v>
      </c>
      <c r="AX2072" s="390" t="s">
        <v>76</v>
      </c>
      <c r="AY2072" s="391" t="s">
        <v>146</v>
      </c>
    </row>
    <row r="2073" spans="2:51" s="390" customFormat="1" ht="22.5">
      <c r="B2073" s="389"/>
      <c r="D2073" s="376" t="s">
        <v>155</v>
      </c>
      <c r="E2073" s="391" t="s">
        <v>1</v>
      </c>
      <c r="F2073" s="346" t="s">
        <v>3275</v>
      </c>
      <c r="H2073" s="392">
        <f>(12.4+6+0.4)*2*5.58-3.3*3.6-1.5*1.5*2+(1.5*3)*2*0.25+12.4*6</f>
        <v>270.078</v>
      </c>
      <c r="I2073" s="503"/>
      <c r="L2073" s="393"/>
      <c r="M2073" s="394"/>
      <c r="N2073" s="395"/>
      <c r="O2073" s="395"/>
      <c r="P2073" s="395"/>
      <c r="Q2073" s="395"/>
      <c r="R2073" s="395"/>
      <c r="S2073" s="395"/>
      <c r="T2073" s="396"/>
      <c r="AT2073" s="391" t="s">
        <v>155</v>
      </c>
      <c r="AU2073" s="391" t="s">
        <v>83</v>
      </c>
      <c r="AV2073" s="390" t="s">
        <v>83</v>
      </c>
      <c r="AW2073" s="390" t="s">
        <v>34</v>
      </c>
      <c r="AX2073" s="390" t="s">
        <v>76</v>
      </c>
      <c r="AY2073" s="391" t="s">
        <v>146</v>
      </c>
    </row>
    <row r="2074" spans="2:51" s="374" customFormat="1" ht="12">
      <c r="B2074" s="375"/>
      <c r="D2074" s="376"/>
      <c r="E2074" s="377"/>
      <c r="F2074" s="350"/>
      <c r="H2074" s="378"/>
      <c r="I2074" s="502"/>
      <c r="L2074" s="379"/>
      <c r="M2074" s="380"/>
      <c r="N2074" s="381"/>
      <c r="O2074" s="381"/>
      <c r="P2074" s="381"/>
      <c r="Q2074" s="381"/>
      <c r="R2074" s="381"/>
      <c r="S2074" s="381"/>
      <c r="T2074" s="382"/>
      <c r="AT2074" s="377"/>
      <c r="AU2074" s="377"/>
      <c r="AY2074" s="377"/>
    </row>
    <row r="2075" spans="1:31" s="225" customFormat="1" ht="6.95" customHeight="1">
      <c r="A2075" s="222"/>
      <c r="B2075" s="253"/>
      <c r="C2075" s="254"/>
      <c r="D2075" s="254"/>
      <c r="E2075" s="254"/>
      <c r="F2075" s="254"/>
      <c r="G2075" s="254"/>
      <c r="H2075" s="254"/>
      <c r="I2075" s="509"/>
      <c r="J2075" s="254"/>
      <c r="K2075" s="254"/>
      <c r="L2075" s="229"/>
      <c r="M2075" s="222"/>
      <c r="O2075" s="222"/>
      <c r="P2075" s="222"/>
      <c r="Q2075" s="222"/>
      <c r="R2075" s="222"/>
      <c r="S2075" s="222"/>
      <c r="T2075" s="222"/>
      <c r="U2075" s="222"/>
      <c r="V2075" s="222"/>
      <c r="W2075" s="222"/>
      <c r="X2075" s="222"/>
      <c r="Y2075" s="222"/>
      <c r="Z2075" s="222"/>
      <c r="AA2075" s="222"/>
      <c r="AB2075" s="222"/>
      <c r="AC2075" s="222"/>
      <c r="AD2075" s="222"/>
      <c r="AE2075" s="222"/>
    </row>
  </sheetData>
  <sheetProtection password="CABD" sheet="1" objects="1" scenarios="1"/>
  <autoFilter ref="C145:K2074"/>
  <mergeCells count="9">
    <mergeCell ref="E87:H87"/>
    <mergeCell ref="E136:H136"/>
    <mergeCell ref="E138:H138"/>
    <mergeCell ref="L2:V2"/>
    <mergeCell ref="E7:H7"/>
    <mergeCell ref="E9:H9"/>
    <mergeCell ref="E18:H18"/>
    <mergeCell ref="E27:H27"/>
    <mergeCell ref="E85:H85"/>
  </mergeCells>
  <printOptions/>
  <pageMargins left="0.5905511811023623" right="0.3937007874015748" top="0.3937007874015748" bottom="0.3937007874015748" header="0" footer="0"/>
  <pageSetup blackAndWhite="1" fitToHeight="100" fitToWidth="1" horizontalDpi="600" verticalDpi="600" orientation="portrait" paperSize="9" scale="85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F2:R98"/>
  <sheetViews>
    <sheetView workbookViewId="0" topLeftCell="F1">
      <selection activeCell="L8" sqref="L8"/>
    </sheetView>
  </sheetViews>
  <sheetFormatPr defaultColWidth="9.140625" defaultRowHeight="12" outlineLevelRow="2"/>
  <cols>
    <col min="1" max="5" width="9.140625" style="78" hidden="1" customWidth="1"/>
    <col min="6" max="6" width="6.28125" style="510" customWidth="1"/>
    <col min="7" max="7" width="16.421875" style="562" customWidth="1"/>
    <col min="8" max="8" width="57.7109375" style="513" customWidth="1"/>
    <col min="9" max="9" width="5.140625" style="514" customWidth="1"/>
    <col min="10" max="10" width="12.140625" style="515" customWidth="1"/>
    <col min="11" max="11" width="14.421875" style="516" customWidth="1"/>
    <col min="12" max="12" width="20.7109375" style="516" customWidth="1"/>
    <col min="13" max="13" width="84.140625" style="78" customWidth="1"/>
    <col min="14" max="14" width="14.00390625" style="78" bestFit="1" customWidth="1"/>
    <col min="15" max="256" width="9.28125" style="78" customWidth="1"/>
    <col min="257" max="261" width="9.140625" style="78" hidden="1" customWidth="1"/>
    <col min="262" max="262" width="6.28125" style="78" customWidth="1"/>
    <col min="263" max="263" width="16.421875" style="78" customWidth="1"/>
    <col min="264" max="264" width="57.7109375" style="78" customWidth="1"/>
    <col min="265" max="265" width="5.140625" style="78" customWidth="1"/>
    <col min="266" max="266" width="12.140625" style="78" customWidth="1"/>
    <col min="267" max="267" width="14.421875" style="78" customWidth="1"/>
    <col min="268" max="268" width="20.7109375" style="78" customWidth="1"/>
    <col min="269" max="269" width="84.140625" style="78" customWidth="1"/>
    <col min="270" max="270" width="14.00390625" style="78" bestFit="1" customWidth="1"/>
    <col min="271" max="512" width="9.28125" style="78" customWidth="1"/>
    <col min="513" max="517" width="9.140625" style="78" hidden="1" customWidth="1"/>
    <col min="518" max="518" width="6.28125" style="78" customWidth="1"/>
    <col min="519" max="519" width="16.421875" style="78" customWidth="1"/>
    <col min="520" max="520" width="57.7109375" style="78" customWidth="1"/>
    <col min="521" max="521" width="5.140625" style="78" customWidth="1"/>
    <col min="522" max="522" width="12.140625" style="78" customWidth="1"/>
    <col min="523" max="523" width="14.421875" style="78" customWidth="1"/>
    <col min="524" max="524" width="20.7109375" style="78" customWidth="1"/>
    <col min="525" max="525" width="84.140625" style="78" customWidth="1"/>
    <col min="526" max="526" width="14.00390625" style="78" bestFit="1" customWidth="1"/>
    <col min="527" max="768" width="9.28125" style="78" customWidth="1"/>
    <col min="769" max="773" width="9.140625" style="78" hidden="1" customWidth="1"/>
    <col min="774" max="774" width="6.28125" style="78" customWidth="1"/>
    <col min="775" max="775" width="16.421875" style="78" customWidth="1"/>
    <col min="776" max="776" width="57.7109375" style="78" customWidth="1"/>
    <col min="777" max="777" width="5.140625" style="78" customWidth="1"/>
    <col min="778" max="778" width="12.140625" style="78" customWidth="1"/>
    <col min="779" max="779" width="14.421875" style="78" customWidth="1"/>
    <col min="780" max="780" width="20.7109375" style="78" customWidth="1"/>
    <col min="781" max="781" width="84.140625" style="78" customWidth="1"/>
    <col min="782" max="782" width="14.00390625" style="78" bestFit="1" customWidth="1"/>
    <col min="783" max="1024" width="9.28125" style="78" customWidth="1"/>
    <col min="1025" max="1029" width="9.140625" style="78" hidden="1" customWidth="1"/>
    <col min="1030" max="1030" width="6.28125" style="78" customWidth="1"/>
    <col min="1031" max="1031" width="16.421875" style="78" customWidth="1"/>
    <col min="1032" max="1032" width="57.7109375" style="78" customWidth="1"/>
    <col min="1033" max="1033" width="5.140625" style="78" customWidth="1"/>
    <col min="1034" max="1034" width="12.140625" style="78" customWidth="1"/>
    <col min="1035" max="1035" width="14.421875" style="78" customWidth="1"/>
    <col min="1036" max="1036" width="20.7109375" style="78" customWidth="1"/>
    <col min="1037" max="1037" width="84.140625" style="78" customWidth="1"/>
    <col min="1038" max="1038" width="14.00390625" style="78" bestFit="1" customWidth="1"/>
    <col min="1039" max="1280" width="9.28125" style="78" customWidth="1"/>
    <col min="1281" max="1285" width="9.140625" style="78" hidden="1" customWidth="1"/>
    <col min="1286" max="1286" width="6.28125" style="78" customWidth="1"/>
    <col min="1287" max="1287" width="16.421875" style="78" customWidth="1"/>
    <col min="1288" max="1288" width="57.7109375" style="78" customWidth="1"/>
    <col min="1289" max="1289" width="5.140625" style="78" customWidth="1"/>
    <col min="1290" max="1290" width="12.140625" style="78" customWidth="1"/>
    <col min="1291" max="1291" width="14.421875" style="78" customWidth="1"/>
    <col min="1292" max="1292" width="20.7109375" style="78" customWidth="1"/>
    <col min="1293" max="1293" width="84.140625" style="78" customWidth="1"/>
    <col min="1294" max="1294" width="14.00390625" style="78" bestFit="1" customWidth="1"/>
    <col min="1295" max="1536" width="9.28125" style="78" customWidth="1"/>
    <col min="1537" max="1541" width="9.140625" style="78" hidden="1" customWidth="1"/>
    <col min="1542" max="1542" width="6.28125" style="78" customWidth="1"/>
    <col min="1543" max="1543" width="16.421875" style="78" customWidth="1"/>
    <col min="1544" max="1544" width="57.7109375" style="78" customWidth="1"/>
    <col min="1545" max="1545" width="5.140625" style="78" customWidth="1"/>
    <col min="1546" max="1546" width="12.140625" style="78" customWidth="1"/>
    <col min="1547" max="1547" width="14.421875" style="78" customWidth="1"/>
    <col min="1548" max="1548" width="20.7109375" style="78" customWidth="1"/>
    <col min="1549" max="1549" width="84.140625" style="78" customWidth="1"/>
    <col min="1550" max="1550" width="14.00390625" style="78" bestFit="1" customWidth="1"/>
    <col min="1551" max="1792" width="9.28125" style="78" customWidth="1"/>
    <col min="1793" max="1797" width="9.140625" style="78" hidden="1" customWidth="1"/>
    <col min="1798" max="1798" width="6.28125" style="78" customWidth="1"/>
    <col min="1799" max="1799" width="16.421875" style="78" customWidth="1"/>
    <col min="1800" max="1800" width="57.7109375" style="78" customWidth="1"/>
    <col min="1801" max="1801" width="5.140625" style="78" customWidth="1"/>
    <col min="1802" max="1802" width="12.140625" style="78" customWidth="1"/>
    <col min="1803" max="1803" width="14.421875" style="78" customWidth="1"/>
    <col min="1804" max="1804" width="20.7109375" style="78" customWidth="1"/>
    <col min="1805" max="1805" width="84.140625" style="78" customWidth="1"/>
    <col min="1806" max="1806" width="14.00390625" style="78" bestFit="1" customWidth="1"/>
    <col min="1807" max="2048" width="9.28125" style="78" customWidth="1"/>
    <col min="2049" max="2053" width="9.140625" style="78" hidden="1" customWidth="1"/>
    <col min="2054" max="2054" width="6.28125" style="78" customWidth="1"/>
    <col min="2055" max="2055" width="16.421875" style="78" customWidth="1"/>
    <col min="2056" max="2056" width="57.7109375" style="78" customWidth="1"/>
    <col min="2057" max="2057" width="5.140625" style="78" customWidth="1"/>
    <col min="2058" max="2058" width="12.140625" style="78" customWidth="1"/>
    <col min="2059" max="2059" width="14.421875" style="78" customWidth="1"/>
    <col min="2060" max="2060" width="20.7109375" style="78" customWidth="1"/>
    <col min="2061" max="2061" width="84.140625" style="78" customWidth="1"/>
    <col min="2062" max="2062" width="14.00390625" style="78" bestFit="1" customWidth="1"/>
    <col min="2063" max="2304" width="9.28125" style="78" customWidth="1"/>
    <col min="2305" max="2309" width="9.140625" style="78" hidden="1" customWidth="1"/>
    <col min="2310" max="2310" width="6.28125" style="78" customWidth="1"/>
    <col min="2311" max="2311" width="16.421875" style="78" customWidth="1"/>
    <col min="2312" max="2312" width="57.7109375" style="78" customWidth="1"/>
    <col min="2313" max="2313" width="5.140625" style="78" customWidth="1"/>
    <col min="2314" max="2314" width="12.140625" style="78" customWidth="1"/>
    <col min="2315" max="2315" width="14.421875" style="78" customWidth="1"/>
    <col min="2316" max="2316" width="20.7109375" style="78" customWidth="1"/>
    <col min="2317" max="2317" width="84.140625" style="78" customWidth="1"/>
    <col min="2318" max="2318" width="14.00390625" style="78" bestFit="1" customWidth="1"/>
    <col min="2319" max="2560" width="9.28125" style="78" customWidth="1"/>
    <col min="2561" max="2565" width="9.140625" style="78" hidden="1" customWidth="1"/>
    <col min="2566" max="2566" width="6.28125" style="78" customWidth="1"/>
    <col min="2567" max="2567" width="16.421875" style="78" customWidth="1"/>
    <col min="2568" max="2568" width="57.7109375" style="78" customWidth="1"/>
    <col min="2569" max="2569" width="5.140625" style="78" customWidth="1"/>
    <col min="2570" max="2570" width="12.140625" style="78" customWidth="1"/>
    <col min="2571" max="2571" width="14.421875" style="78" customWidth="1"/>
    <col min="2572" max="2572" width="20.7109375" style="78" customWidth="1"/>
    <col min="2573" max="2573" width="84.140625" style="78" customWidth="1"/>
    <col min="2574" max="2574" width="14.00390625" style="78" bestFit="1" customWidth="1"/>
    <col min="2575" max="2816" width="9.28125" style="78" customWidth="1"/>
    <col min="2817" max="2821" width="9.140625" style="78" hidden="1" customWidth="1"/>
    <col min="2822" max="2822" width="6.28125" style="78" customWidth="1"/>
    <col min="2823" max="2823" width="16.421875" style="78" customWidth="1"/>
    <col min="2824" max="2824" width="57.7109375" style="78" customWidth="1"/>
    <col min="2825" max="2825" width="5.140625" style="78" customWidth="1"/>
    <col min="2826" max="2826" width="12.140625" style="78" customWidth="1"/>
    <col min="2827" max="2827" width="14.421875" style="78" customWidth="1"/>
    <col min="2828" max="2828" width="20.7109375" style="78" customWidth="1"/>
    <col min="2829" max="2829" width="84.140625" style="78" customWidth="1"/>
    <col min="2830" max="2830" width="14.00390625" style="78" bestFit="1" customWidth="1"/>
    <col min="2831" max="3072" width="9.28125" style="78" customWidth="1"/>
    <col min="3073" max="3077" width="9.140625" style="78" hidden="1" customWidth="1"/>
    <col min="3078" max="3078" width="6.28125" style="78" customWidth="1"/>
    <col min="3079" max="3079" width="16.421875" style="78" customWidth="1"/>
    <col min="3080" max="3080" width="57.7109375" style="78" customWidth="1"/>
    <col min="3081" max="3081" width="5.140625" style="78" customWidth="1"/>
    <col min="3082" max="3082" width="12.140625" style="78" customWidth="1"/>
    <col min="3083" max="3083" width="14.421875" style="78" customWidth="1"/>
    <col min="3084" max="3084" width="20.7109375" style="78" customWidth="1"/>
    <col min="3085" max="3085" width="84.140625" style="78" customWidth="1"/>
    <col min="3086" max="3086" width="14.00390625" style="78" bestFit="1" customWidth="1"/>
    <col min="3087" max="3328" width="9.28125" style="78" customWidth="1"/>
    <col min="3329" max="3333" width="9.140625" style="78" hidden="1" customWidth="1"/>
    <col min="3334" max="3334" width="6.28125" style="78" customWidth="1"/>
    <col min="3335" max="3335" width="16.421875" style="78" customWidth="1"/>
    <col min="3336" max="3336" width="57.7109375" style="78" customWidth="1"/>
    <col min="3337" max="3337" width="5.140625" style="78" customWidth="1"/>
    <col min="3338" max="3338" width="12.140625" style="78" customWidth="1"/>
    <col min="3339" max="3339" width="14.421875" style="78" customWidth="1"/>
    <col min="3340" max="3340" width="20.7109375" style="78" customWidth="1"/>
    <col min="3341" max="3341" width="84.140625" style="78" customWidth="1"/>
    <col min="3342" max="3342" width="14.00390625" style="78" bestFit="1" customWidth="1"/>
    <col min="3343" max="3584" width="9.28125" style="78" customWidth="1"/>
    <col min="3585" max="3589" width="9.140625" style="78" hidden="1" customWidth="1"/>
    <col min="3590" max="3590" width="6.28125" style="78" customWidth="1"/>
    <col min="3591" max="3591" width="16.421875" style="78" customWidth="1"/>
    <col min="3592" max="3592" width="57.7109375" style="78" customWidth="1"/>
    <col min="3593" max="3593" width="5.140625" style="78" customWidth="1"/>
    <col min="3594" max="3594" width="12.140625" style="78" customWidth="1"/>
    <col min="3595" max="3595" width="14.421875" style="78" customWidth="1"/>
    <col min="3596" max="3596" width="20.7109375" style="78" customWidth="1"/>
    <col min="3597" max="3597" width="84.140625" style="78" customWidth="1"/>
    <col min="3598" max="3598" width="14.00390625" style="78" bestFit="1" customWidth="1"/>
    <col min="3599" max="3840" width="9.28125" style="78" customWidth="1"/>
    <col min="3841" max="3845" width="9.140625" style="78" hidden="1" customWidth="1"/>
    <col min="3846" max="3846" width="6.28125" style="78" customWidth="1"/>
    <col min="3847" max="3847" width="16.421875" style="78" customWidth="1"/>
    <col min="3848" max="3848" width="57.7109375" style="78" customWidth="1"/>
    <col min="3849" max="3849" width="5.140625" style="78" customWidth="1"/>
    <col min="3850" max="3850" width="12.140625" style="78" customWidth="1"/>
    <col min="3851" max="3851" width="14.421875" style="78" customWidth="1"/>
    <col min="3852" max="3852" width="20.7109375" style="78" customWidth="1"/>
    <col min="3853" max="3853" width="84.140625" style="78" customWidth="1"/>
    <col min="3854" max="3854" width="14.00390625" style="78" bestFit="1" customWidth="1"/>
    <col min="3855" max="4096" width="9.28125" style="78" customWidth="1"/>
    <col min="4097" max="4101" width="9.140625" style="78" hidden="1" customWidth="1"/>
    <col min="4102" max="4102" width="6.28125" style="78" customWidth="1"/>
    <col min="4103" max="4103" width="16.421875" style="78" customWidth="1"/>
    <col min="4104" max="4104" width="57.7109375" style="78" customWidth="1"/>
    <col min="4105" max="4105" width="5.140625" style="78" customWidth="1"/>
    <col min="4106" max="4106" width="12.140625" style="78" customWidth="1"/>
    <col min="4107" max="4107" width="14.421875" style="78" customWidth="1"/>
    <col min="4108" max="4108" width="20.7109375" style="78" customWidth="1"/>
    <col min="4109" max="4109" width="84.140625" style="78" customWidth="1"/>
    <col min="4110" max="4110" width="14.00390625" style="78" bestFit="1" customWidth="1"/>
    <col min="4111" max="4352" width="9.28125" style="78" customWidth="1"/>
    <col min="4353" max="4357" width="9.140625" style="78" hidden="1" customWidth="1"/>
    <col min="4358" max="4358" width="6.28125" style="78" customWidth="1"/>
    <col min="4359" max="4359" width="16.421875" style="78" customWidth="1"/>
    <col min="4360" max="4360" width="57.7109375" style="78" customWidth="1"/>
    <col min="4361" max="4361" width="5.140625" style="78" customWidth="1"/>
    <col min="4362" max="4362" width="12.140625" style="78" customWidth="1"/>
    <col min="4363" max="4363" width="14.421875" style="78" customWidth="1"/>
    <col min="4364" max="4364" width="20.7109375" style="78" customWidth="1"/>
    <col min="4365" max="4365" width="84.140625" style="78" customWidth="1"/>
    <col min="4366" max="4366" width="14.00390625" style="78" bestFit="1" customWidth="1"/>
    <col min="4367" max="4608" width="9.28125" style="78" customWidth="1"/>
    <col min="4609" max="4613" width="9.140625" style="78" hidden="1" customWidth="1"/>
    <col min="4614" max="4614" width="6.28125" style="78" customWidth="1"/>
    <col min="4615" max="4615" width="16.421875" style="78" customWidth="1"/>
    <col min="4616" max="4616" width="57.7109375" style="78" customWidth="1"/>
    <col min="4617" max="4617" width="5.140625" style="78" customWidth="1"/>
    <col min="4618" max="4618" width="12.140625" style="78" customWidth="1"/>
    <col min="4619" max="4619" width="14.421875" style="78" customWidth="1"/>
    <col min="4620" max="4620" width="20.7109375" style="78" customWidth="1"/>
    <col min="4621" max="4621" width="84.140625" style="78" customWidth="1"/>
    <col min="4622" max="4622" width="14.00390625" style="78" bestFit="1" customWidth="1"/>
    <col min="4623" max="4864" width="9.28125" style="78" customWidth="1"/>
    <col min="4865" max="4869" width="9.140625" style="78" hidden="1" customWidth="1"/>
    <col min="4870" max="4870" width="6.28125" style="78" customWidth="1"/>
    <col min="4871" max="4871" width="16.421875" style="78" customWidth="1"/>
    <col min="4872" max="4872" width="57.7109375" style="78" customWidth="1"/>
    <col min="4873" max="4873" width="5.140625" style="78" customWidth="1"/>
    <col min="4874" max="4874" width="12.140625" style="78" customWidth="1"/>
    <col min="4875" max="4875" width="14.421875" style="78" customWidth="1"/>
    <col min="4876" max="4876" width="20.7109375" style="78" customWidth="1"/>
    <col min="4877" max="4877" width="84.140625" style="78" customWidth="1"/>
    <col min="4878" max="4878" width="14.00390625" style="78" bestFit="1" customWidth="1"/>
    <col min="4879" max="5120" width="9.28125" style="78" customWidth="1"/>
    <col min="5121" max="5125" width="9.140625" style="78" hidden="1" customWidth="1"/>
    <col min="5126" max="5126" width="6.28125" style="78" customWidth="1"/>
    <col min="5127" max="5127" width="16.421875" style="78" customWidth="1"/>
    <col min="5128" max="5128" width="57.7109375" style="78" customWidth="1"/>
    <col min="5129" max="5129" width="5.140625" style="78" customWidth="1"/>
    <col min="5130" max="5130" width="12.140625" style="78" customWidth="1"/>
    <col min="5131" max="5131" width="14.421875" style="78" customWidth="1"/>
    <col min="5132" max="5132" width="20.7109375" style="78" customWidth="1"/>
    <col min="5133" max="5133" width="84.140625" style="78" customWidth="1"/>
    <col min="5134" max="5134" width="14.00390625" style="78" bestFit="1" customWidth="1"/>
    <col min="5135" max="5376" width="9.28125" style="78" customWidth="1"/>
    <col min="5377" max="5381" width="9.140625" style="78" hidden="1" customWidth="1"/>
    <col min="5382" max="5382" width="6.28125" style="78" customWidth="1"/>
    <col min="5383" max="5383" width="16.421875" style="78" customWidth="1"/>
    <col min="5384" max="5384" width="57.7109375" style="78" customWidth="1"/>
    <col min="5385" max="5385" width="5.140625" style="78" customWidth="1"/>
    <col min="5386" max="5386" width="12.140625" style="78" customWidth="1"/>
    <col min="5387" max="5387" width="14.421875" style="78" customWidth="1"/>
    <col min="5388" max="5388" width="20.7109375" style="78" customWidth="1"/>
    <col min="5389" max="5389" width="84.140625" style="78" customWidth="1"/>
    <col min="5390" max="5390" width="14.00390625" style="78" bestFit="1" customWidth="1"/>
    <col min="5391" max="5632" width="9.28125" style="78" customWidth="1"/>
    <col min="5633" max="5637" width="9.140625" style="78" hidden="1" customWidth="1"/>
    <col min="5638" max="5638" width="6.28125" style="78" customWidth="1"/>
    <col min="5639" max="5639" width="16.421875" style="78" customWidth="1"/>
    <col min="5640" max="5640" width="57.7109375" style="78" customWidth="1"/>
    <col min="5641" max="5641" width="5.140625" style="78" customWidth="1"/>
    <col min="5642" max="5642" width="12.140625" style="78" customWidth="1"/>
    <col min="5643" max="5643" width="14.421875" style="78" customWidth="1"/>
    <col min="5644" max="5644" width="20.7109375" style="78" customWidth="1"/>
    <col min="5645" max="5645" width="84.140625" style="78" customWidth="1"/>
    <col min="5646" max="5646" width="14.00390625" style="78" bestFit="1" customWidth="1"/>
    <col min="5647" max="5888" width="9.28125" style="78" customWidth="1"/>
    <col min="5889" max="5893" width="9.140625" style="78" hidden="1" customWidth="1"/>
    <col min="5894" max="5894" width="6.28125" style="78" customWidth="1"/>
    <col min="5895" max="5895" width="16.421875" style="78" customWidth="1"/>
    <col min="5896" max="5896" width="57.7109375" style="78" customWidth="1"/>
    <col min="5897" max="5897" width="5.140625" style="78" customWidth="1"/>
    <col min="5898" max="5898" width="12.140625" style="78" customWidth="1"/>
    <col min="5899" max="5899" width="14.421875" style="78" customWidth="1"/>
    <col min="5900" max="5900" width="20.7109375" style="78" customWidth="1"/>
    <col min="5901" max="5901" width="84.140625" style="78" customWidth="1"/>
    <col min="5902" max="5902" width="14.00390625" style="78" bestFit="1" customWidth="1"/>
    <col min="5903" max="6144" width="9.28125" style="78" customWidth="1"/>
    <col min="6145" max="6149" width="9.140625" style="78" hidden="1" customWidth="1"/>
    <col min="6150" max="6150" width="6.28125" style="78" customWidth="1"/>
    <col min="6151" max="6151" width="16.421875" style="78" customWidth="1"/>
    <col min="6152" max="6152" width="57.7109375" style="78" customWidth="1"/>
    <col min="6153" max="6153" width="5.140625" style="78" customWidth="1"/>
    <col min="6154" max="6154" width="12.140625" style="78" customWidth="1"/>
    <col min="6155" max="6155" width="14.421875" style="78" customWidth="1"/>
    <col min="6156" max="6156" width="20.7109375" style="78" customWidth="1"/>
    <col min="6157" max="6157" width="84.140625" style="78" customWidth="1"/>
    <col min="6158" max="6158" width="14.00390625" style="78" bestFit="1" customWidth="1"/>
    <col min="6159" max="6400" width="9.28125" style="78" customWidth="1"/>
    <col min="6401" max="6405" width="9.140625" style="78" hidden="1" customWidth="1"/>
    <col min="6406" max="6406" width="6.28125" style="78" customWidth="1"/>
    <col min="6407" max="6407" width="16.421875" style="78" customWidth="1"/>
    <col min="6408" max="6408" width="57.7109375" style="78" customWidth="1"/>
    <col min="6409" max="6409" width="5.140625" style="78" customWidth="1"/>
    <col min="6410" max="6410" width="12.140625" style="78" customWidth="1"/>
    <col min="6411" max="6411" width="14.421875" style="78" customWidth="1"/>
    <col min="6412" max="6412" width="20.7109375" style="78" customWidth="1"/>
    <col min="6413" max="6413" width="84.140625" style="78" customWidth="1"/>
    <col min="6414" max="6414" width="14.00390625" style="78" bestFit="1" customWidth="1"/>
    <col min="6415" max="6656" width="9.28125" style="78" customWidth="1"/>
    <col min="6657" max="6661" width="9.140625" style="78" hidden="1" customWidth="1"/>
    <col min="6662" max="6662" width="6.28125" style="78" customWidth="1"/>
    <col min="6663" max="6663" width="16.421875" style="78" customWidth="1"/>
    <col min="6664" max="6664" width="57.7109375" style="78" customWidth="1"/>
    <col min="6665" max="6665" width="5.140625" style="78" customWidth="1"/>
    <col min="6666" max="6666" width="12.140625" style="78" customWidth="1"/>
    <col min="6667" max="6667" width="14.421875" style="78" customWidth="1"/>
    <col min="6668" max="6668" width="20.7109375" style="78" customWidth="1"/>
    <col min="6669" max="6669" width="84.140625" style="78" customWidth="1"/>
    <col min="6670" max="6670" width="14.00390625" style="78" bestFit="1" customWidth="1"/>
    <col min="6671" max="6912" width="9.28125" style="78" customWidth="1"/>
    <col min="6913" max="6917" width="9.140625" style="78" hidden="1" customWidth="1"/>
    <col min="6918" max="6918" width="6.28125" style="78" customWidth="1"/>
    <col min="6919" max="6919" width="16.421875" style="78" customWidth="1"/>
    <col min="6920" max="6920" width="57.7109375" style="78" customWidth="1"/>
    <col min="6921" max="6921" width="5.140625" style="78" customWidth="1"/>
    <col min="6922" max="6922" width="12.140625" style="78" customWidth="1"/>
    <col min="6923" max="6923" width="14.421875" style="78" customWidth="1"/>
    <col min="6924" max="6924" width="20.7109375" style="78" customWidth="1"/>
    <col min="6925" max="6925" width="84.140625" style="78" customWidth="1"/>
    <col min="6926" max="6926" width="14.00390625" style="78" bestFit="1" customWidth="1"/>
    <col min="6927" max="7168" width="9.28125" style="78" customWidth="1"/>
    <col min="7169" max="7173" width="9.140625" style="78" hidden="1" customWidth="1"/>
    <col min="7174" max="7174" width="6.28125" style="78" customWidth="1"/>
    <col min="7175" max="7175" width="16.421875" style="78" customWidth="1"/>
    <col min="7176" max="7176" width="57.7109375" style="78" customWidth="1"/>
    <col min="7177" max="7177" width="5.140625" style="78" customWidth="1"/>
    <col min="7178" max="7178" width="12.140625" style="78" customWidth="1"/>
    <col min="7179" max="7179" width="14.421875" style="78" customWidth="1"/>
    <col min="7180" max="7180" width="20.7109375" style="78" customWidth="1"/>
    <col min="7181" max="7181" width="84.140625" style="78" customWidth="1"/>
    <col min="7182" max="7182" width="14.00390625" style="78" bestFit="1" customWidth="1"/>
    <col min="7183" max="7424" width="9.28125" style="78" customWidth="1"/>
    <col min="7425" max="7429" width="9.140625" style="78" hidden="1" customWidth="1"/>
    <col min="7430" max="7430" width="6.28125" style="78" customWidth="1"/>
    <col min="7431" max="7431" width="16.421875" style="78" customWidth="1"/>
    <col min="7432" max="7432" width="57.7109375" style="78" customWidth="1"/>
    <col min="7433" max="7433" width="5.140625" style="78" customWidth="1"/>
    <col min="7434" max="7434" width="12.140625" style="78" customWidth="1"/>
    <col min="7435" max="7435" width="14.421875" style="78" customWidth="1"/>
    <col min="7436" max="7436" width="20.7109375" style="78" customWidth="1"/>
    <col min="7437" max="7437" width="84.140625" style="78" customWidth="1"/>
    <col min="7438" max="7438" width="14.00390625" style="78" bestFit="1" customWidth="1"/>
    <col min="7439" max="7680" width="9.28125" style="78" customWidth="1"/>
    <col min="7681" max="7685" width="9.140625" style="78" hidden="1" customWidth="1"/>
    <col min="7686" max="7686" width="6.28125" style="78" customWidth="1"/>
    <col min="7687" max="7687" width="16.421875" style="78" customWidth="1"/>
    <col min="7688" max="7688" width="57.7109375" style="78" customWidth="1"/>
    <col min="7689" max="7689" width="5.140625" style="78" customWidth="1"/>
    <col min="7690" max="7690" width="12.140625" style="78" customWidth="1"/>
    <col min="7691" max="7691" width="14.421875" style="78" customWidth="1"/>
    <col min="7692" max="7692" width="20.7109375" style="78" customWidth="1"/>
    <col min="7693" max="7693" width="84.140625" style="78" customWidth="1"/>
    <col min="7694" max="7694" width="14.00390625" style="78" bestFit="1" customWidth="1"/>
    <col min="7695" max="7936" width="9.28125" style="78" customWidth="1"/>
    <col min="7937" max="7941" width="9.140625" style="78" hidden="1" customWidth="1"/>
    <col min="7942" max="7942" width="6.28125" style="78" customWidth="1"/>
    <col min="7943" max="7943" width="16.421875" style="78" customWidth="1"/>
    <col min="7944" max="7944" width="57.7109375" style="78" customWidth="1"/>
    <col min="7945" max="7945" width="5.140625" style="78" customWidth="1"/>
    <col min="7946" max="7946" width="12.140625" style="78" customWidth="1"/>
    <col min="7947" max="7947" width="14.421875" style="78" customWidth="1"/>
    <col min="7948" max="7948" width="20.7109375" style="78" customWidth="1"/>
    <col min="7949" max="7949" width="84.140625" style="78" customWidth="1"/>
    <col min="7950" max="7950" width="14.00390625" style="78" bestFit="1" customWidth="1"/>
    <col min="7951" max="8192" width="9.28125" style="78" customWidth="1"/>
    <col min="8193" max="8197" width="9.140625" style="78" hidden="1" customWidth="1"/>
    <col min="8198" max="8198" width="6.28125" style="78" customWidth="1"/>
    <col min="8199" max="8199" width="16.421875" style="78" customWidth="1"/>
    <col min="8200" max="8200" width="57.7109375" style="78" customWidth="1"/>
    <col min="8201" max="8201" width="5.140625" style="78" customWidth="1"/>
    <col min="8202" max="8202" width="12.140625" style="78" customWidth="1"/>
    <col min="8203" max="8203" width="14.421875" style="78" customWidth="1"/>
    <col min="8204" max="8204" width="20.7109375" style="78" customWidth="1"/>
    <col min="8205" max="8205" width="84.140625" style="78" customWidth="1"/>
    <col min="8206" max="8206" width="14.00390625" style="78" bestFit="1" customWidth="1"/>
    <col min="8207" max="8448" width="9.28125" style="78" customWidth="1"/>
    <col min="8449" max="8453" width="9.140625" style="78" hidden="1" customWidth="1"/>
    <col min="8454" max="8454" width="6.28125" style="78" customWidth="1"/>
    <col min="8455" max="8455" width="16.421875" style="78" customWidth="1"/>
    <col min="8456" max="8456" width="57.7109375" style="78" customWidth="1"/>
    <col min="8457" max="8457" width="5.140625" style="78" customWidth="1"/>
    <col min="8458" max="8458" width="12.140625" style="78" customWidth="1"/>
    <col min="8459" max="8459" width="14.421875" style="78" customWidth="1"/>
    <col min="8460" max="8460" width="20.7109375" style="78" customWidth="1"/>
    <col min="8461" max="8461" width="84.140625" style="78" customWidth="1"/>
    <col min="8462" max="8462" width="14.00390625" style="78" bestFit="1" customWidth="1"/>
    <col min="8463" max="8704" width="9.28125" style="78" customWidth="1"/>
    <col min="8705" max="8709" width="9.140625" style="78" hidden="1" customWidth="1"/>
    <col min="8710" max="8710" width="6.28125" style="78" customWidth="1"/>
    <col min="8711" max="8711" width="16.421875" style="78" customWidth="1"/>
    <col min="8712" max="8712" width="57.7109375" style="78" customWidth="1"/>
    <col min="8713" max="8713" width="5.140625" style="78" customWidth="1"/>
    <col min="8714" max="8714" width="12.140625" style="78" customWidth="1"/>
    <col min="8715" max="8715" width="14.421875" style="78" customWidth="1"/>
    <col min="8716" max="8716" width="20.7109375" style="78" customWidth="1"/>
    <col min="8717" max="8717" width="84.140625" style="78" customWidth="1"/>
    <col min="8718" max="8718" width="14.00390625" style="78" bestFit="1" customWidth="1"/>
    <col min="8719" max="8960" width="9.28125" style="78" customWidth="1"/>
    <col min="8961" max="8965" width="9.140625" style="78" hidden="1" customWidth="1"/>
    <col min="8966" max="8966" width="6.28125" style="78" customWidth="1"/>
    <col min="8967" max="8967" width="16.421875" style="78" customWidth="1"/>
    <col min="8968" max="8968" width="57.7109375" style="78" customWidth="1"/>
    <col min="8969" max="8969" width="5.140625" style="78" customWidth="1"/>
    <col min="8970" max="8970" width="12.140625" style="78" customWidth="1"/>
    <col min="8971" max="8971" width="14.421875" style="78" customWidth="1"/>
    <col min="8972" max="8972" width="20.7109375" style="78" customWidth="1"/>
    <col min="8973" max="8973" width="84.140625" style="78" customWidth="1"/>
    <col min="8974" max="8974" width="14.00390625" style="78" bestFit="1" customWidth="1"/>
    <col min="8975" max="9216" width="9.28125" style="78" customWidth="1"/>
    <col min="9217" max="9221" width="9.140625" style="78" hidden="1" customWidth="1"/>
    <col min="9222" max="9222" width="6.28125" style="78" customWidth="1"/>
    <col min="9223" max="9223" width="16.421875" style="78" customWidth="1"/>
    <col min="9224" max="9224" width="57.7109375" style="78" customWidth="1"/>
    <col min="9225" max="9225" width="5.140625" style="78" customWidth="1"/>
    <col min="9226" max="9226" width="12.140625" style="78" customWidth="1"/>
    <col min="9227" max="9227" width="14.421875" style="78" customWidth="1"/>
    <col min="9228" max="9228" width="20.7109375" style="78" customWidth="1"/>
    <col min="9229" max="9229" width="84.140625" style="78" customWidth="1"/>
    <col min="9230" max="9230" width="14.00390625" style="78" bestFit="1" customWidth="1"/>
    <col min="9231" max="9472" width="9.28125" style="78" customWidth="1"/>
    <col min="9473" max="9477" width="9.140625" style="78" hidden="1" customWidth="1"/>
    <col min="9478" max="9478" width="6.28125" style="78" customWidth="1"/>
    <col min="9479" max="9479" width="16.421875" style="78" customWidth="1"/>
    <col min="9480" max="9480" width="57.7109375" style="78" customWidth="1"/>
    <col min="9481" max="9481" width="5.140625" style="78" customWidth="1"/>
    <col min="9482" max="9482" width="12.140625" style="78" customWidth="1"/>
    <col min="9483" max="9483" width="14.421875" style="78" customWidth="1"/>
    <col min="9484" max="9484" width="20.7109375" style="78" customWidth="1"/>
    <col min="9485" max="9485" width="84.140625" style="78" customWidth="1"/>
    <col min="9486" max="9486" width="14.00390625" style="78" bestFit="1" customWidth="1"/>
    <col min="9487" max="9728" width="9.28125" style="78" customWidth="1"/>
    <col min="9729" max="9733" width="9.140625" style="78" hidden="1" customWidth="1"/>
    <col min="9734" max="9734" width="6.28125" style="78" customWidth="1"/>
    <col min="9735" max="9735" width="16.421875" style="78" customWidth="1"/>
    <col min="9736" max="9736" width="57.7109375" style="78" customWidth="1"/>
    <col min="9737" max="9737" width="5.140625" style="78" customWidth="1"/>
    <col min="9738" max="9738" width="12.140625" style="78" customWidth="1"/>
    <col min="9739" max="9739" width="14.421875" style="78" customWidth="1"/>
    <col min="9740" max="9740" width="20.7109375" style="78" customWidth="1"/>
    <col min="9741" max="9741" width="84.140625" style="78" customWidth="1"/>
    <col min="9742" max="9742" width="14.00390625" style="78" bestFit="1" customWidth="1"/>
    <col min="9743" max="9984" width="9.28125" style="78" customWidth="1"/>
    <col min="9985" max="9989" width="9.140625" style="78" hidden="1" customWidth="1"/>
    <col min="9990" max="9990" width="6.28125" style="78" customWidth="1"/>
    <col min="9991" max="9991" width="16.421875" style="78" customWidth="1"/>
    <col min="9992" max="9992" width="57.7109375" style="78" customWidth="1"/>
    <col min="9993" max="9993" width="5.140625" style="78" customWidth="1"/>
    <col min="9994" max="9994" width="12.140625" style="78" customWidth="1"/>
    <col min="9995" max="9995" width="14.421875" style="78" customWidth="1"/>
    <col min="9996" max="9996" width="20.7109375" style="78" customWidth="1"/>
    <col min="9997" max="9997" width="84.140625" style="78" customWidth="1"/>
    <col min="9998" max="9998" width="14.00390625" style="78" bestFit="1" customWidth="1"/>
    <col min="9999" max="10240" width="9.28125" style="78" customWidth="1"/>
    <col min="10241" max="10245" width="9.140625" style="78" hidden="1" customWidth="1"/>
    <col min="10246" max="10246" width="6.28125" style="78" customWidth="1"/>
    <col min="10247" max="10247" width="16.421875" style="78" customWidth="1"/>
    <col min="10248" max="10248" width="57.7109375" style="78" customWidth="1"/>
    <col min="10249" max="10249" width="5.140625" style="78" customWidth="1"/>
    <col min="10250" max="10250" width="12.140625" style="78" customWidth="1"/>
    <col min="10251" max="10251" width="14.421875" style="78" customWidth="1"/>
    <col min="10252" max="10252" width="20.7109375" style="78" customWidth="1"/>
    <col min="10253" max="10253" width="84.140625" style="78" customWidth="1"/>
    <col min="10254" max="10254" width="14.00390625" style="78" bestFit="1" customWidth="1"/>
    <col min="10255" max="10496" width="9.28125" style="78" customWidth="1"/>
    <col min="10497" max="10501" width="9.140625" style="78" hidden="1" customWidth="1"/>
    <col min="10502" max="10502" width="6.28125" style="78" customWidth="1"/>
    <col min="10503" max="10503" width="16.421875" style="78" customWidth="1"/>
    <col min="10504" max="10504" width="57.7109375" style="78" customWidth="1"/>
    <col min="10505" max="10505" width="5.140625" style="78" customWidth="1"/>
    <col min="10506" max="10506" width="12.140625" style="78" customWidth="1"/>
    <col min="10507" max="10507" width="14.421875" style="78" customWidth="1"/>
    <col min="10508" max="10508" width="20.7109375" style="78" customWidth="1"/>
    <col min="10509" max="10509" width="84.140625" style="78" customWidth="1"/>
    <col min="10510" max="10510" width="14.00390625" style="78" bestFit="1" customWidth="1"/>
    <col min="10511" max="10752" width="9.28125" style="78" customWidth="1"/>
    <col min="10753" max="10757" width="9.140625" style="78" hidden="1" customWidth="1"/>
    <col min="10758" max="10758" width="6.28125" style="78" customWidth="1"/>
    <col min="10759" max="10759" width="16.421875" style="78" customWidth="1"/>
    <col min="10760" max="10760" width="57.7109375" style="78" customWidth="1"/>
    <col min="10761" max="10761" width="5.140625" style="78" customWidth="1"/>
    <col min="10762" max="10762" width="12.140625" style="78" customWidth="1"/>
    <col min="10763" max="10763" width="14.421875" style="78" customWidth="1"/>
    <col min="10764" max="10764" width="20.7109375" style="78" customWidth="1"/>
    <col min="10765" max="10765" width="84.140625" style="78" customWidth="1"/>
    <col min="10766" max="10766" width="14.00390625" style="78" bestFit="1" customWidth="1"/>
    <col min="10767" max="11008" width="9.28125" style="78" customWidth="1"/>
    <col min="11009" max="11013" width="9.140625" style="78" hidden="1" customWidth="1"/>
    <col min="11014" max="11014" width="6.28125" style="78" customWidth="1"/>
    <col min="11015" max="11015" width="16.421875" style="78" customWidth="1"/>
    <col min="11016" max="11016" width="57.7109375" style="78" customWidth="1"/>
    <col min="11017" max="11017" width="5.140625" style="78" customWidth="1"/>
    <col min="11018" max="11018" width="12.140625" style="78" customWidth="1"/>
    <col min="11019" max="11019" width="14.421875" style="78" customWidth="1"/>
    <col min="11020" max="11020" width="20.7109375" style="78" customWidth="1"/>
    <col min="11021" max="11021" width="84.140625" style="78" customWidth="1"/>
    <col min="11022" max="11022" width="14.00390625" style="78" bestFit="1" customWidth="1"/>
    <col min="11023" max="11264" width="9.28125" style="78" customWidth="1"/>
    <col min="11265" max="11269" width="9.140625" style="78" hidden="1" customWidth="1"/>
    <col min="11270" max="11270" width="6.28125" style="78" customWidth="1"/>
    <col min="11271" max="11271" width="16.421875" style="78" customWidth="1"/>
    <col min="11272" max="11272" width="57.7109375" style="78" customWidth="1"/>
    <col min="11273" max="11273" width="5.140625" style="78" customWidth="1"/>
    <col min="11274" max="11274" width="12.140625" style="78" customWidth="1"/>
    <col min="11275" max="11275" width="14.421875" style="78" customWidth="1"/>
    <col min="11276" max="11276" width="20.7109375" style="78" customWidth="1"/>
    <col min="11277" max="11277" width="84.140625" style="78" customWidth="1"/>
    <col min="11278" max="11278" width="14.00390625" style="78" bestFit="1" customWidth="1"/>
    <col min="11279" max="11520" width="9.28125" style="78" customWidth="1"/>
    <col min="11521" max="11525" width="9.140625" style="78" hidden="1" customWidth="1"/>
    <col min="11526" max="11526" width="6.28125" style="78" customWidth="1"/>
    <col min="11527" max="11527" width="16.421875" style="78" customWidth="1"/>
    <col min="11528" max="11528" width="57.7109375" style="78" customWidth="1"/>
    <col min="11529" max="11529" width="5.140625" style="78" customWidth="1"/>
    <col min="11530" max="11530" width="12.140625" style="78" customWidth="1"/>
    <col min="11531" max="11531" width="14.421875" style="78" customWidth="1"/>
    <col min="11532" max="11532" width="20.7109375" style="78" customWidth="1"/>
    <col min="11533" max="11533" width="84.140625" style="78" customWidth="1"/>
    <col min="11534" max="11534" width="14.00390625" style="78" bestFit="1" customWidth="1"/>
    <col min="11535" max="11776" width="9.28125" style="78" customWidth="1"/>
    <col min="11777" max="11781" width="9.140625" style="78" hidden="1" customWidth="1"/>
    <col min="11782" max="11782" width="6.28125" style="78" customWidth="1"/>
    <col min="11783" max="11783" width="16.421875" style="78" customWidth="1"/>
    <col min="11784" max="11784" width="57.7109375" style="78" customWidth="1"/>
    <col min="11785" max="11785" width="5.140625" style="78" customWidth="1"/>
    <col min="11786" max="11786" width="12.140625" style="78" customWidth="1"/>
    <col min="11787" max="11787" width="14.421875" style="78" customWidth="1"/>
    <col min="11788" max="11788" width="20.7109375" style="78" customWidth="1"/>
    <col min="11789" max="11789" width="84.140625" style="78" customWidth="1"/>
    <col min="11790" max="11790" width="14.00390625" style="78" bestFit="1" customWidth="1"/>
    <col min="11791" max="12032" width="9.28125" style="78" customWidth="1"/>
    <col min="12033" max="12037" width="9.140625" style="78" hidden="1" customWidth="1"/>
    <col min="12038" max="12038" width="6.28125" style="78" customWidth="1"/>
    <col min="12039" max="12039" width="16.421875" style="78" customWidth="1"/>
    <col min="12040" max="12040" width="57.7109375" style="78" customWidth="1"/>
    <col min="12041" max="12041" width="5.140625" style="78" customWidth="1"/>
    <col min="12042" max="12042" width="12.140625" style="78" customWidth="1"/>
    <col min="12043" max="12043" width="14.421875" style="78" customWidth="1"/>
    <col min="12044" max="12044" width="20.7109375" style="78" customWidth="1"/>
    <col min="12045" max="12045" width="84.140625" style="78" customWidth="1"/>
    <col min="12046" max="12046" width="14.00390625" style="78" bestFit="1" customWidth="1"/>
    <col min="12047" max="12288" width="9.28125" style="78" customWidth="1"/>
    <col min="12289" max="12293" width="9.140625" style="78" hidden="1" customWidth="1"/>
    <col min="12294" max="12294" width="6.28125" style="78" customWidth="1"/>
    <col min="12295" max="12295" width="16.421875" style="78" customWidth="1"/>
    <col min="12296" max="12296" width="57.7109375" style="78" customWidth="1"/>
    <col min="12297" max="12297" width="5.140625" style="78" customWidth="1"/>
    <col min="12298" max="12298" width="12.140625" style="78" customWidth="1"/>
    <col min="12299" max="12299" width="14.421875" style="78" customWidth="1"/>
    <col min="12300" max="12300" width="20.7109375" style="78" customWidth="1"/>
    <col min="12301" max="12301" width="84.140625" style="78" customWidth="1"/>
    <col min="12302" max="12302" width="14.00390625" style="78" bestFit="1" customWidth="1"/>
    <col min="12303" max="12544" width="9.28125" style="78" customWidth="1"/>
    <col min="12545" max="12549" width="9.140625" style="78" hidden="1" customWidth="1"/>
    <col min="12550" max="12550" width="6.28125" style="78" customWidth="1"/>
    <col min="12551" max="12551" width="16.421875" style="78" customWidth="1"/>
    <col min="12552" max="12552" width="57.7109375" style="78" customWidth="1"/>
    <col min="12553" max="12553" width="5.140625" style="78" customWidth="1"/>
    <col min="12554" max="12554" width="12.140625" style="78" customWidth="1"/>
    <col min="12555" max="12555" width="14.421875" style="78" customWidth="1"/>
    <col min="12556" max="12556" width="20.7109375" style="78" customWidth="1"/>
    <col min="12557" max="12557" width="84.140625" style="78" customWidth="1"/>
    <col min="12558" max="12558" width="14.00390625" style="78" bestFit="1" customWidth="1"/>
    <col min="12559" max="12800" width="9.28125" style="78" customWidth="1"/>
    <col min="12801" max="12805" width="9.140625" style="78" hidden="1" customWidth="1"/>
    <col min="12806" max="12806" width="6.28125" style="78" customWidth="1"/>
    <col min="12807" max="12807" width="16.421875" style="78" customWidth="1"/>
    <col min="12808" max="12808" width="57.7109375" style="78" customWidth="1"/>
    <col min="12809" max="12809" width="5.140625" style="78" customWidth="1"/>
    <col min="12810" max="12810" width="12.140625" style="78" customWidth="1"/>
    <col min="12811" max="12811" width="14.421875" style="78" customWidth="1"/>
    <col min="12812" max="12812" width="20.7109375" style="78" customWidth="1"/>
    <col min="12813" max="12813" width="84.140625" style="78" customWidth="1"/>
    <col min="12814" max="12814" width="14.00390625" style="78" bestFit="1" customWidth="1"/>
    <col min="12815" max="13056" width="9.28125" style="78" customWidth="1"/>
    <col min="13057" max="13061" width="9.140625" style="78" hidden="1" customWidth="1"/>
    <col min="13062" max="13062" width="6.28125" style="78" customWidth="1"/>
    <col min="13063" max="13063" width="16.421875" style="78" customWidth="1"/>
    <col min="13064" max="13064" width="57.7109375" style="78" customWidth="1"/>
    <col min="13065" max="13065" width="5.140625" style="78" customWidth="1"/>
    <col min="13066" max="13066" width="12.140625" style="78" customWidth="1"/>
    <col min="13067" max="13067" width="14.421875" style="78" customWidth="1"/>
    <col min="13068" max="13068" width="20.7109375" style="78" customWidth="1"/>
    <col min="13069" max="13069" width="84.140625" style="78" customWidth="1"/>
    <col min="13070" max="13070" width="14.00390625" style="78" bestFit="1" customWidth="1"/>
    <col min="13071" max="13312" width="9.28125" style="78" customWidth="1"/>
    <col min="13313" max="13317" width="9.140625" style="78" hidden="1" customWidth="1"/>
    <col min="13318" max="13318" width="6.28125" style="78" customWidth="1"/>
    <col min="13319" max="13319" width="16.421875" style="78" customWidth="1"/>
    <col min="13320" max="13320" width="57.7109375" style="78" customWidth="1"/>
    <col min="13321" max="13321" width="5.140625" style="78" customWidth="1"/>
    <col min="13322" max="13322" width="12.140625" style="78" customWidth="1"/>
    <col min="13323" max="13323" width="14.421875" style="78" customWidth="1"/>
    <col min="13324" max="13324" width="20.7109375" style="78" customWidth="1"/>
    <col min="13325" max="13325" width="84.140625" style="78" customWidth="1"/>
    <col min="13326" max="13326" width="14.00390625" style="78" bestFit="1" customWidth="1"/>
    <col min="13327" max="13568" width="9.28125" style="78" customWidth="1"/>
    <col min="13569" max="13573" width="9.140625" style="78" hidden="1" customWidth="1"/>
    <col min="13574" max="13574" width="6.28125" style="78" customWidth="1"/>
    <col min="13575" max="13575" width="16.421875" style="78" customWidth="1"/>
    <col min="13576" max="13576" width="57.7109375" style="78" customWidth="1"/>
    <col min="13577" max="13577" width="5.140625" style="78" customWidth="1"/>
    <col min="13578" max="13578" width="12.140625" style="78" customWidth="1"/>
    <col min="13579" max="13579" width="14.421875" style="78" customWidth="1"/>
    <col min="13580" max="13580" width="20.7109375" style="78" customWidth="1"/>
    <col min="13581" max="13581" width="84.140625" style="78" customWidth="1"/>
    <col min="13582" max="13582" width="14.00390625" style="78" bestFit="1" customWidth="1"/>
    <col min="13583" max="13824" width="9.28125" style="78" customWidth="1"/>
    <col min="13825" max="13829" width="9.140625" style="78" hidden="1" customWidth="1"/>
    <col min="13830" max="13830" width="6.28125" style="78" customWidth="1"/>
    <col min="13831" max="13831" width="16.421875" style="78" customWidth="1"/>
    <col min="13832" max="13832" width="57.7109375" style="78" customWidth="1"/>
    <col min="13833" max="13833" width="5.140625" style="78" customWidth="1"/>
    <col min="13834" max="13834" width="12.140625" style="78" customWidth="1"/>
    <col min="13835" max="13835" width="14.421875" style="78" customWidth="1"/>
    <col min="13836" max="13836" width="20.7109375" style="78" customWidth="1"/>
    <col min="13837" max="13837" width="84.140625" style="78" customWidth="1"/>
    <col min="13838" max="13838" width="14.00390625" style="78" bestFit="1" customWidth="1"/>
    <col min="13839" max="14080" width="9.28125" style="78" customWidth="1"/>
    <col min="14081" max="14085" width="9.140625" style="78" hidden="1" customWidth="1"/>
    <col min="14086" max="14086" width="6.28125" style="78" customWidth="1"/>
    <col min="14087" max="14087" width="16.421875" style="78" customWidth="1"/>
    <col min="14088" max="14088" width="57.7109375" style="78" customWidth="1"/>
    <col min="14089" max="14089" width="5.140625" style="78" customWidth="1"/>
    <col min="14090" max="14090" width="12.140625" style="78" customWidth="1"/>
    <col min="14091" max="14091" width="14.421875" style="78" customWidth="1"/>
    <col min="14092" max="14092" width="20.7109375" style="78" customWidth="1"/>
    <col min="14093" max="14093" width="84.140625" style="78" customWidth="1"/>
    <col min="14094" max="14094" width="14.00390625" style="78" bestFit="1" customWidth="1"/>
    <col min="14095" max="14336" width="9.28125" style="78" customWidth="1"/>
    <col min="14337" max="14341" width="9.140625" style="78" hidden="1" customWidth="1"/>
    <col min="14342" max="14342" width="6.28125" style="78" customWidth="1"/>
    <col min="14343" max="14343" width="16.421875" style="78" customWidth="1"/>
    <col min="14344" max="14344" width="57.7109375" style="78" customWidth="1"/>
    <col min="14345" max="14345" width="5.140625" style="78" customWidth="1"/>
    <col min="14346" max="14346" width="12.140625" style="78" customWidth="1"/>
    <col min="14347" max="14347" width="14.421875" style="78" customWidth="1"/>
    <col min="14348" max="14348" width="20.7109375" style="78" customWidth="1"/>
    <col min="14349" max="14349" width="84.140625" style="78" customWidth="1"/>
    <col min="14350" max="14350" width="14.00390625" style="78" bestFit="1" customWidth="1"/>
    <col min="14351" max="14592" width="9.28125" style="78" customWidth="1"/>
    <col min="14593" max="14597" width="9.140625" style="78" hidden="1" customWidth="1"/>
    <col min="14598" max="14598" width="6.28125" style="78" customWidth="1"/>
    <col min="14599" max="14599" width="16.421875" style="78" customWidth="1"/>
    <col min="14600" max="14600" width="57.7109375" style="78" customWidth="1"/>
    <col min="14601" max="14601" width="5.140625" style="78" customWidth="1"/>
    <col min="14602" max="14602" width="12.140625" style="78" customWidth="1"/>
    <col min="14603" max="14603" width="14.421875" style="78" customWidth="1"/>
    <col min="14604" max="14604" width="20.7109375" style="78" customWidth="1"/>
    <col min="14605" max="14605" width="84.140625" style="78" customWidth="1"/>
    <col min="14606" max="14606" width="14.00390625" style="78" bestFit="1" customWidth="1"/>
    <col min="14607" max="14848" width="9.28125" style="78" customWidth="1"/>
    <col min="14849" max="14853" width="9.140625" style="78" hidden="1" customWidth="1"/>
    <col min="14854" max="14854" width="6.28125" style="78" customWidth="1"/>
    <col min="14855" max="14855" width="16.421875" style="78" customWidth="1"/>
    <col min="14856" max="14856" width="57.7109375" style="78" customWidth="1"/>
    <col min="14857" max="14857" width="5.140625" style="78" customWidth="1"/>
    <col min="14858" max="14858" width="12.140625" style="78" customWidth="1"/>
    <col min="14859" max="14859" width="14.421875" style="78" customWidth="1"/>
    <col min="14860" max="14860" width="20.7109375" style="78" customWidth="1"/>
    <col min="14861" max="14861" width="84.140625" style="78" customWidth="1"/>
    <col min="14862" max="14862" width="14.00390625" style="78" bestFit="1" customWidth="1"/>
    <col min="14863" max="15104" width="9.28125" style="78" customWidth="1"/>
    <col min="15105" max="15109" width="9.140625" style="78" hidden="1" customWidth="1"/>
    <col min="15110" max="15110" width="6.28125" style="78" customWidth="1"/>
    <col min="15111" max="15111" width="16.421875" style="78" customWidth="1"/>
    <col min="15112" max="15112" width="57.7109375" style="78" customWidth="1"/>
    <col min="15113" max="15113" width="5.140625" style="78" customWidth="1"/>
    <col min="15114" max="15114" width="12.140625" style="78" customWidth="1"/>
    <col min="15115" max="15115" width="14.421875" style="78" customWidth="1"/>
    <col min="15116" max="15116" width="20.7109375" style="78" customWidth="1"/>
    <col min="15117" max="15117" width="84.140625" style="78" customWidth="1"/>
    <col min="15118" max="15118" width="14.00390625" style="78" bestFit="1" customWidth="1"/>
    <col min="15119" max="15360" width="9.28125" style="78" customWidth="1"/>
    <col min="15361" max="15365" width="9.140625" style="78" hidden="1" customWidth="1"/>
    <col min="15366" max="15366" width="6.28125" style="78" customWidth="1"/>
    <col min="15367" max="15367" width="16.421875" style="78" customWidth="1"/>
    <col min="15368" max="15368" width="57.7109375" style="78" customWidth="1"/>
    <col min="15369" max="15369" width="5.140625" style="78" customWidth="1"/>
    <col min="15370" max="15370" width="12.140625" style="78" customWidth="1"/>
    <col min="15371" max="15371" width="14.421875" style="78" customWidth="1"/>
    <col min="15372" max="15372" width="20.7109375" style="78" customWidth="1"/>
    <col min="15373" max="15373" width="84.140625" style="78" customWidth="1"/>
    <col min="15374" max="15374" width="14.00390625" style="78" bestFit="1" customWidth="1"/>
    <col min="15375" max="15616" width="9.28125" style="78" customWidth="1"/>
    <col min="15617" max="15621" width="9.140625" style="78" hidden="1" customWidth="1"/>
    <col min="15622" max="15622" width="6.28125" style="78" customWidth="1"/>
    <col min="15623" max="15623" width="16.421875" style="78" customWidth="1"/>
    <col min="15624" max="15624" width="57.7109375" style="78" customWidth="1"/>
    <col min="15625" max="15625" width="5.140625" style="78" customWidth="1"/>
    <col min="15626" max="15626" width="12.140625" style="78" customWidth="1"/>
    <col min="15627" max="15627" width="14.421875" style="78" customWidth="1"/>
    <col min="15628" max="15628" width="20.7109375" style="78" customWidth="1"/>
    <col min="15629" max="15629" width="84.140625" style="78" customWidth="1"/>
    <col min="15630" max="15630" width="14.00390625" style="78" bestFit="1" customWidth="1"/>
    <col min="15631" max="15872" width="9.28125" style="78" customWidth="1"/>
    <col min="15873" max="15877" width="9.140625" style="78" hidden="1" customWidth="1"/>
    <col min="15878" max="15878" width="6.28125" style="78" customWidth="1"/>
    <col min="15879" max="15879" width="16.421875" style="78" customWidth="1"/>
    <col min="15880" max="15880" width="57.7109375" style="78" customWidth="1"/>
    <col min="15881" max="15881" width="5.140625" style="78" customWidth="1"/>
    <col min="15882" max="15882" width="12.140625" style="78" customWidth="1"/>
    <col min="15883" max="15883" width="14.421875" style="78" customWidth="1"/>
    <col min="15884" max="15884" width="20.7109375" style="78" customWidth="1"/>
    <col min="15885" max="15885" width="84.140625" style="78" customWidth="1"/>
    <col min="15886" max="15886" width="14.00390625" style="78" bestFit="1" customWidth="1"/>
    <col min="15887" max="16128" width="9.28125" style="78" customWidth="1"/>
    <col min="16129" max="16133" width="9.140625" style="78" hidden="1" customWidth="1"/>
    <col min="16134" max="16134" width="6.28125" style="78" customWidth="1"/>
    <col min="16135" max="16135" width="16.421875" style="78" customWidth="1"/>
    <col min="16136" max="16136" width="57.7109375" style="78" customWidth="1"/>
    <col min="16137" max="16137" width="5.140625" style="78" customWidth="1"/>
    <col min="16138" max="16138" width="12.140625" style="78" customWidth="1"/>
    <col min="16139" max="16139" width="14.421875" style="78" customWidth="1"/>
    <col min="16140" max="16140" width="20.7109375" style="78" customWidth="1"/>
    <col min="16141" max="16141" width="84.140625" style="78" customWidth="1"/>
    <col min="16142" max="16142" width="14.00390625" style="78" bestFit="1" customWidth="1"/>
    <col min="16143" max="16384" width="9.28125" style="78" customWidth="1"/>
  </cols>
  <sheetData>
    <row r="2" spans="7:12" ht="21" customHeight="1">
      <c r="G2" s="838" t="s">
        <v>15</v>
      </c>
      <c r="H2" s="838"/>
      <c r="I2" s="838"/>
      <c r="J2" s="838"/>
      <c r="K2" s="838"/>
      <c r="L2" s="838"/>
    </row>
    <row r="3" spans="7:12" ht="21" customHeight="1">
      <c r="G3" s="838" t="s">
        <v>3847</v>
      </c>
      <c r="H3" s="838"/>
      <c r="I3" s="511"/>
      <c r="J3" s="511"/>
      <c r="K3" s="511"/>
      <c r="L3" s="511"/>
    </row>
    <row r="4" spans="7:12" ht="15.75">
      <c r="G4" s="838" t="s">
        <v>3524</v>
      </c>
      <c r="H4" s="838"/>
      <c r="I4" s="838"/>
      <c r="J4" s="838"/>
      <c r="K4" s="838"/>
      <c r="L4" s="838"/>
    </row>
    <row r="5" spans="7:12" ht="12">
      <c r="G5" s="512" t="s">
        <v>3525</v>
      </c>
      <c r="L5" s="517">
        <f>L15</f>
        <v>0</v>
      </c>
    </row>
    <row r="6" spans="7:12" ht="12">
      <c r="G6" s="512" t="s">
        <v>3526</v>
      </c>
      <c r="L6" s="517">
        <f>L21</f>
        <v>0</v>
      </c>
    </row>
    <row r="7" spans="7:12" ht="12">
      <c r="G7" s="512" t="s">
        <v>3527</v>
      </c>
      <c r="L7" s="517">
        <f>L59</f>
        <v>0</v>
      </c>
    </row>
    <row r="8" spans="7:12" ht="13.5" thickBot="1">
      <c r="G8" s="512" t="s">
        <v>3528</v>
      </c>
      <c r="L8" s="517">
        <f>L78</f>
        <v>0</v>
      </c>
    </row>
    <row r="9" spans="6:18" s="525" customFormat="1" ht="15.75" thickTop="1">
      <c r="F9" s="518"/>
      <c r="G9" s="519" t="s">
        <v>3529</v>
      </c>
      <c r="H9" s="520"/>
      <c r="I9" s="521"/>
      <c r="J9" s="522"/>
      <c r="K9" s="523"/>
      <c r="L9" s="524">
        <f>SUM(L5:L8)</f>
        <v>0</v>
      </c>
      <c r="M9" s="839"/>
      <c r="N9" s="839"/>
      <c r="O9" s="839"/>
      <c r="P9" s="839"/>
      <c r="Q9" s="839"/>
      <c r="R9" s="839"/>
    </row>
    <row r="10" spans="7:12" ht="15">
      <c r="G10" s="512"/>
      <c r="J10" s="526"/>
      <c r="L10" s="527"/>
    </row>
    <row r="11" spans="6:12" s="533" customFormat="1" ht="13.5" thickBot="1">
      <c r="F11" s="528" t="s">
        <v>3530</v>
      </c>
      <c r="G11" s="529" t="s">
        <v>58</v>
      </c>
      <c r="H11" s="530" t="s">
        <v>59</v>
      </c>
      <c r="I11" s="531" t="s">
        <v>133</v>
      </c>
      <c r="J11" s="528" t="s">
        <v>3846</v>
      </c>
      <c r="K11" s="532" t="s">
        <v>3844</v>
      </c>
      <c r="L11" s="532" t="s">
        <v>3845</v>
      </c>
    </row>
    <row r="12" spans="6:12" ht="11.25" customHeight="1">
      <c r="F12" s="534"/>
      <c r="G12" s="535"/>
      <c r="H12" s="536"/>
      <c r="I12" s="537"/>
      <c r="J12" s="534"/>
      <c r="K12" s="527"/>
      <c r="L12" s="527"/>
    </row>
    <row r="13" spans="6:12" s="543" customFormat="1" ht="18.75" customHeight="1">
      <c r="F13" s="538"/>
      <c r="G13" s="539"/>
      <c r="H13" s="539" t="s">
        <v>3531</v>
      </c>
      <c r="I13" s="540"/>
      <c r="J13" s="541"/>
      <c r="K13" s="542"/>
      <c r="L13" s="542"/>
    </row>
    <row r="14" spans="6:12" s="543" customFormat="1" ht="18.75" customHeight="1">
      <c r="F14" s="538"/>
      <c r="G14" s="539"/>
      <c r="H14" s="544" t="s">
        <v>3820</v>
      </c>
      <c r="I14" s="540"/>
      <c r="J14" s="541"/>
      <c r="K14" s="542"/>
      <c r="L14" s="542"/>
    </row>
    <row r="15" spans="6:12" s="543" customFormat="1" ht="18.75" customHeight="1">
      <c r="F15" s="545"/>
      <c r="G15" s="512"/>
      <c r="H15" s="512" t="s">
        <v>3525</v>
      </c>
      <c r="I15" s="537"/>
      <c r="J15" s="546"/>
      <c r="K15" s="517"/>
      <c r="L15" s="547">
        <f>SUM(L16:L19)</f>
        <v>0</v>
      </c>
    </row>
    <row r="16" spans="6:12" s="554" customFormat="1" ht="12" outlineLevel="2">
      <c r="F16" s="548">
        <v>1</v>
      </c>
      <c r="G16" s="549"/>
      <c r="H16" s="550" t="s">
        <v>3532</v>
      </c>
      <c r="I16" s="551" t="s">
        <v>883</v>
      </c>
      <c r="J16" s="552">
        <v>1</v>
      </c>
      <c r="K16" s="577"/>
      <c r="L16" s="553">
        <f>J16*K16</f>
        <v>0</v>
      </c>
    </row>
    <row r="17" spans="6:12" s="554" customFormat="1" ht="12" outlineLevel="2">
      <c r="F17" s="548">
        <f>F16+1</f>
        <v>2</v>
      </c>
      <c r="G17" s="549"/>
      <c r="H17" s="550" t="s">
        <v>3533</v>
      </c>
      <c r="I17" s="551" t="s">
        <v>883</v>
      </c>
      <c r="J17" s="552">
        <v>1</v>
      </c>
      <c r="K17" s="577"/>
      <c r="L17" s="553">
        <f>J17*K17</f>
        <v>0</v>
      </c>
    </row>
    <row r="18" spans="6:12" s="554" customFormat="1" ht="24" outlineLevel="2">
      <c r="F18" s="548">
        <f>F17+1</f>
        <v>3</v>
      </c>
      <c r="G18" s="549"/>
      <c r="H18" s="550" t="s">
        <v>3534</v>
      </c>
      <c r="I18" s="551" t="s">
        <v>883</v>
      </c>
      <c r="J18" s="552">
        <v>1</v>
      </c>
      <c r="K18" s="577"/>
      <c r="L18" s="553">
        <f>J18*K18</f>
        <v>0</v>
      </c>
    </row>
    <row r="19" spans="6:12" s="554" customFormat="1" ht="12" outlineLevel="2">
      <c r="F19" s="548">
        <f>F18+1</f>
        <v>4</v>
      </c>
      <c r="G19" s="549"/>
      <c r="H19" s="550" t="s">
        <v>3535</v>
      </c>
      <c r="I19" s="551" t="s">
        <v>883</v>
      </c>
      <c r="J19" s="552">
        <v>1</v>
      </c>
      <c r="K19" s="577"/>
      <c r="L19" s="553">
        <f>J19*K19</f>
        <v>0</v>
      </c>
    </row>
    <row r="20" spans="6:12" s="554" customFormat="1" ht="12" outlineLevel="2">
      <c r="F20" s="555"/>
      <c r="G20" s="556"/>
      <c r="H20" s="557"/>
      <c r="I20" s="558"/>
      <c r="J20" s="559"/>
      <c r="K20" s="578"/>
      <c r="L20" s="561"/>
    </row>
    <row r="21" spans="8:13" ht="13.5" customHeight="1">
      <c r="H21" s="512" t="s">
        <v>3526</v>
      </c>
      <c r="K21" s="579"/>
      <c r="L21" s="527">
        <f>SUM(L22:L53)</f>
        <v>0</v>
      </c>
      <c r="M21" s="563"/>
    </row>
    <row r="22" spans="6:12" ht="12">
      <c r="F22" s="564">
        <f>F19+1</f>
        <v>5</v>
      </c>
      <c r="G22" s="565" t="s">
        <v>3537</v>
      </c>
      <c r="H22" s="566" t="s">
        <v>3538</v>
      </c>
      <c r="I22" s="567" t="s">
        <v>151</v>
      </c>
      <c r="J22" s="568">
        <f>J23</f>
        <v>43</v>
      </c>
      <c r="K22" s="580"/>
      <c r="L22" s="569">
        <f aca="true" t="shared" si="0" ref="L22:L52">J22*K22</f>
        <v>0</v>
      </c>
    </row>
    <row r="23" spans="6:12" ht="12">
      <c r="F23" s="564"/>
      <c r="G23" s="570"/>
      <c r="H23" s="571" t="s">
        <v>3539</v>
      </c>
      <c r="I23" s="572"/>
      <c r="J23" s="573">
        <f>(55-12)*1</f>
        <v>43</v>
      </c>
      <c r="K23" s="580"/>
      <c r="L23" s="569"/>
    </row>
    <row r="24" spans="6:12" ht="24">
      <c r="F24" s="564">
        <f>A22:F22+1</f>
        <v>6</v>
      </c>
      <c r="G24" s="565" t="s">
        <v>3540</v>
      </c>
      <c r="H24" s="566" t="s">
        <v>3541</v>
      </c>
      <c r="I24" s="567" t="s">
        <v>151</v>
      </c>
      <c r="J24" s="568">
        <f>J25</f>
        <v>43</v>
      </c>
      <c r="K24" s="580"/>
      <c r="L24" s="569">
        <f t="shared" si="0"/>
        <v>0</v>
      </c>
    </row>
    <row r="25" spans="6:12" ht="12">
      <c r="F25" s="564"/>
      <c r="G25" s="570"/>
      <c r="H25" s="571" t="s">
        <v>3539</v>
      </c>
      <c r="I25" s="572"/>
      <c r="J25" s="573">
        <f>(55-12)*1</f>
        <v>43</v>
      </c>
      <c r="K25" s="580"/>
      <c r="L25" s="569"/>
    </row>
    <row r="26" spans="6:12" ht="24">
      <c r="F26" s="564">
        <f>A24:F24+1</f>
        <v>7</v>
      </c>
      <c r="G26" s="565" t="s">
        <v>3542</v>
      </c>
      <c r="H26" s="566" t="s">
        <v>3807</v>
      </c>
      <c r="I26" s="567" t="s">
        <v>151</v>
      </c>
      <c r="J26" s="568">
        <f>(6.5+5.5)*0.8</f>
        <v>9.600000000000001</v>
      </c>
      <c r="K26" s="580"/>
      <c r="L26" s="569">
        <f t="shared" si="0"/>
        <v>0</v>
      </c>
    </row>
    <row r="27" spans="6:12" ht="12">
      <c r="F27" s="564"/>
      <c r="G27" s="570"/>
      <c r="H27" s="571" t="s">
        <v>3543</v>
      </c>
      <c r="I27" s="572"/>
      <c r="J27" s="573"/>
      <c r="K27" s="580"/>
      <c r="L27" s="569"/>
    </row>
    <row r="28" spans="6:12" ht="12">
      <c r="F28" s="564">
        <f>A26:F26+1</f>
        <v>8</v>
      </c>
      <c r="G28" s="565" t="s">
        <v>3544</v>
      </c>
      <c r="H28" s="566" t="s">
        <v>3545</v>
      </c>
      <c r="I28" s="567" t="s">
        <v>158</v>
      </c>
      <c r="J28" s="568">
        <v>22</v>
      </c>
      <c r="K28" s="580"/>
      <c r="L28" s="569">
        <f t="shared" si="0"/>
        <v>0</v>
      </c>
    </row>
    <row r="29" spans="6:12" ht="12">
      <c r="F29" s="564"/>
      <c r="G29" s="570"/>
      <c r="H29" s="571" t="s">
        <v>3546</v>
      </c>
      <c r="I29" s="572"/>
      <c r="J29" s="573">
        <v>22</v>
      </c>
      <c r="K29" s="580"/>
      <c r="L29" s="569"/>
    </row>
    <row r="30" spans="6:12" ht="24">
      <c r="F30" s="564">
        <f>A28:F28+1</f>
        <v>9</v>
      </c>
      <c r="G30" s="565" t="s">
        <v>3547</v>
      </c>
      <c r="H30" s="566" t="s">
        <v>3548</v>
      </c>
      <c r="I30" s="567" t="s">
        <v>162</v>
      </c>
      <c r="J30" s="568">
        <f>SUM(J31:J32)</f>
        <v>60.70491999999999</v>
      </c>
      <c r="K30" s="580"/>
      <c r="L30" s="569">
        <f t="shared" si="0"/>
        <v>0</v>
      </c>
    </row>
    <row r="31" spans="6:12" ht="18" customHeight="1">
      <c r="F31" s="564"/>
      <c r="G31" s="565"/>
      <c r="H31" s="574" t="s">
        <v>3675</v>
      </c>
      <c r="I31" s="567"/>
      <c r="J31" s="568">
        <f>55*(1.3+1)/2*0.8+4*3.14*1.55*(1.3+1)/2*0.6</f>
        <v>64.03291999999999</v>
      </c>
      <c r="K31" s="580"/>
      <c r="L31" s="569"/>
    </row>
    <row r="32" spans="6:12" ht="18" customHeight="1">
      <c r="F32" s="564"/>
      <c r="G32" s="565"/>
      <c r="H32" s="566" t="s">
        <v>3549</v>
      </c>
      <c r="I32" s="567"/>
      <c r="J32" s="568">
        <f>-4*0.8*0.8*1.3</f>
        <v>-3.3280000000000007</v>
      </c>
      <c r="K32" s="580"/>
      <c r="L32" s="569"/>
    </row>
    <row r="33" spans="6:12" ht="12">
      <c r="F33" s="564">
        <f>F30+1</f>
        <v>10</v>
      </c>
      <c r="G33" s="565" t="s">
        <v>3550</v>
      </c>
      <c r="H33" s="566" t="s">
        <v>3551</v>
      </c>
      <c r="I33" s="567" t="s">
        <v>162</v>
      </c>
      <c r="J33" s="568">
        <f>4*0.8*0.8*1.3</f>
        <v>3.3280000000000007</v>
      </c>
      <c r="K33" s="580"/>
      <c r="L33" s="569">
        <f t="shared" si="0"/>
        <v>0</v>
      </c>
    </row>
    <row r="34" spans="6:12" ht="12">
      <c r="F34" s="564"/>
      <c r="G34" s="565"/>
      <c r="H34" s="566" t="s">
        <v>3552</v>
      </c>
      <c r="I34" s="567"/>
      <c r="J34" s="568"/>
      <c r="K34" s="580"/>
      <c r="L34" s="569"/>
    </row>
    <row r="35" spans="6:12" ht="24">
      <c r="F35" s="564">
        <f>A33:F33+1</f>
        <v>11</v>
      </c>
      <c r="G35" s="565" t="s">
        <v>3553</v>
      </c>
      <c r="H35" s="566" t="s">
        <v>3554</v>
      </c>
      <c r="I35" s="567" t="s">
        <v>162</v>
      </c>
      <c r="J35" s="568">
        <f>J31</f>
        <v>64.03291999999999</v>
      </c>
      <c r="K35" s="580"/>
      <c r="L35" s="569">
        <f t="shared" si="0"/>
        <v>0</v>
      </c>
    </row>
    <row r="36" spans="6:12" ht="24">
      <c r="F36" s="548">
        <f>F35+1</f>
        <v>12</v>
      </c>
      <c r="G36" s="565" t="s">
        <v>3555</v>
      </c>
      <c r="H36" s="566" t="s">
        <v>3556</v>
      </c>
      <c r="I36" s="567" t="s">
        <v>162</v>
      </c>
      <c r="J36" s="568">
        <f>J37</f>
        <v>30.1715855</v>
      </c>
      <c r="K36" s="580"/>
      <c r="L36" s="569">
        <f t="shared" si="0"/>
        <v>0</v>
      </c>
    </row>
    <row r="37" spans="6:12" ht="24">
      <c r="F37" s="564"/>
      <c r="G37" s="565"/>
      <c r="H37" s="566" t="s">
        <v>3815</v>
      </c>
      <c r="I37" s="567"/>
      <c r="J37" s="568">
        <f>6.352+16.354+55*3.14*0.21*0.21/4+3.14*0.6*0.6*(1.28+1.5+1.1+1.04)</f>
        <v>30.1715855</v>
      </c>
      <c r="K37" s="580"/>
      <c r="L37" s="569"/>
    </row>
    <row r="38" spans="6:12" ht="12">
      <c r="F38" s="564">
        <f>A36:F36+1</f>
        <v>13</v>
      </c>
      <c r="G38" s="565" t="s">
        <v>3557</v>
      </c>
      <c r="H38" s="566" t="s">
        <v>3558</v>
      </c>
      <c r="I38" s="567" t="s">
        <v>162</v>
      </c>
      <c r="J38" s="568">
        <f>J36</f>
        <v>30.1715855</v>
      </c>
      <c r="K38" s="580"/>
      <c r="L38" s="569">
        <f t="shared" si="0"/>
        <v>0</v>
      </c>
    </row>
    <row r="39" spans="6:12" ht="24">
      <c r="F39" s="548">
        <f>F38+1</f>
        <v>14</v>
      </c>
      <c r="G39" s="565" t="s">
        <v>3559</v>
      </c>
      <c r="H39" s="566" t="s">
        <v>1802</v>
      </c>
      <c r="I39" s="567" t="s">
        <v>162</v>
      </c>
      <c r="J39" s="568">
        <f>J40</f>
        <v>33.861000000000004</v>
      </c>
      <c r="K39" s="580"/>
      <c r="L39" s="569">
        <f t="shared" si="0"/>
        <v>0</v>
      </c>
    </row>
    <row r="40" spans="6:12" ht="12">
      <c r="F40" s="564"/>
      <c r="G40" s="565"/>
      <c r="H40" s="574" t="s">
        <v>3816</v>
      </c>
      <c r="I40" s="567"/>
      <c r="J40" s="568">
        <f>64.033-30.172</f>
        <v>33.861000000000004</v>
      </c>
      <c r="K40" s="580"/>
      <c r="L40" s="569"/>
    </row>
    <row r="41" spans="6:12" ht="48">
      <c r="F41" s="564">
        <f>A39:F39+1</f>
        <v>15</v>
      </c>
      <c r="G41" s="565" t="s">
        <v>3560</v>
      </c>
      <c r="H41" s="566" t="s">
        <v>3561</v>
      </c>
      <c r="I41" s="567" t="s">
        <v>162</v>
      </c>
      <c r="J41" s="575">
        <f>J42</f>
        <v>16.354317700000003</v>
      </c>
      <c r="K41" s="580"/>
      <c r="L41" s="569">
        <f t="shared" si="0"/>
        <v>0</v>
      </c>
    </row>
    <row r="42" spans="6:13" ht="12">
      <c r="F42" s="564"/>
      <c r="G42" s="565"/>
      <c r="H42" s="566" t="s">
        <v>3814</v>
      </c>
      <c r="I42" s="567"/>
      <c r="J42" s="568">
        <f>55*(0.8*(0.15+0.1+0.3)-3.14*0.186*0.186/4)-6.352</f>
        <v>16.354317700000003</v>
      </c>
      <c r="K42" s="580"/>
      <c r="L42" s="569"/>
      <c r="M42" s="566"/>
    </row>
    <row r="43" spans="6:12" ht="12">
      <c r="F43" s="564">
        <f>A41:F41+1</f>
        <v>16</v>
      </c>
      <c r="G43" s="565" t="s">
        <v>3562</v>
      </c>
      <c r="H43" s="566" t="s">
        <v>3563</v>
      </c>
      <c r="I43" s="567" t="s">
        <v>194</v>
      </c>
      <c r="J43" s="568">
        <f>J44</f>
        <v>32.708635400000006</v>
      </c>
      <c r="K43" s="580"/>
      <c r="L43" s="569">
        <f t="shared" si="0"/>
        <v>0</v>
      </c>
    </row>
    <row r="44" spans="6:12" ht="12">
      <c r="F44" s="564"/>
      <c r="G44" s="565"/>
      <c r="H44" s="566" t="s">
        <v>3813</v>
      </c>
      <c r="I44" s="567"/>
      <c r="J44" s="568">
        <f>J41*2</f>
        <v>32.708635400000006</v>
      </c>
      <c r="K44" s="580"/>
      <c r="L44" s="569"/>
    </row>
    <row r="45" spans="6:12" ht="24">
      <c r="F45" s="564">
        <f>A43:F43+1</f>
        <v>17</v>
      </c>
      <c r="G45" s="565"/>
      <c r="H45" s="566" t="s">
        <v>3564</v>
      </c>
      <c r="I45" s="567" t="s">
        <v>151</v>
      </c>
      <c r="J45" s="568">
        <v>3.5</v>
      </c>
      <c r="K45" s="580"/>
      <c r="L45" s="569">
        <f t="shared" si="0"/>
        <v>0</v>
      </c>
    </row>
    <row r="46" spans="6:12" ht="12">
      <c r="F46" s="564"/>
      <c r="G46" s="565"/>
      <c r="H46" s="566" t="s">
        <v>3565</v>
      </c>
      <c r="I46" s="567"/>
      <c r="J46" s="568">
        <v>3.5</v>
      </c>
      <c r="K46" s="580"/>
      <c r="L46" s="569"/>
    </row>
    <row r="47" spans="6:12" ht="24">
      <c r="F47" s="564">
        <f>A45:F45+1</f>
        <v>18</v>
      </c>
      <c r="G47" s="565" t="s">
        <v>3566</v>
      </c>
      <c r="H47" s="566" t="s">
        <v>3567</v>
      </c>
      <c r="I47" s="567" t="s">
        <v>151</v>
      </c>
      <c r="J47" s="568">
        <v>3.5</v>
      </c>
      <c r="K47" s="580"/>
      <c r="L47" s="569">
        <f t="shared" si="0"/>
        <v>0</v>
      </c>
    </row>
    <row r="48" spans="6:12" ht="12">
      <c r="F48" s="564"/>
      <c r="G48" s="565"/>
      <c r="H48" s="566" t="s">
        <v>3565</v>
      </c>
      <c r="I48" s="567"/>
      <c r="J48" s="568">
        <v>3.5</v>
      </c>
      <c r="K48" s="580"/>
      <c r="L48" s="569"/>
    </row>
    <row r="49" spans="6:12" ht="36">
      <c r="F49" s="564">
        <f>A47:F47+1</f>
        <v>19</v>
      </c>
      <c r="G49" s="565" t="s">
        <v>456</v>
      </c>
      <c r="H49" s="566" t="s">
        <v>3568</v>
      </c>
      <c r="I49" s="567" t="s">
        <v>151</v>
      </c>
      <c r="J49" s="568">
        <f>(6.5+5.5)*0.8</f>
        <v>9.600000000000001</v>
      </c>
      <c r="K49" s="580"/>
      <c r="L49" s="569">
        <f t="shared" si="0"/>
        <v>0</v>
      </c>
    </row>
    <row r="50" spans="6:12" ht="12">
      <c r="F50" s="564"/>
      <c r="G50" s="565"/>
      <c r="H50" s="566" t="s">
        <v>3543</v>
      </c>
      <c r="I50" s="567"/>
      <c r="J50" s="568"/>
      <c r="K50" s="580"/>
      <c r="L50" s="569"/>
    </row>
    <row r="51" spans="6:12" ht="36">
      <c r="F51" s="564">
        <f>A49:F49+1</f>
        <v>20</v>
      </c>
      <c r="G51" s="565" t="s">
        <v>458</v>
      </c>
      <c r="H51" s="566" t="s">
        <v>3569</v>
      </c>
      <c r="I51" s="567" t="s">
        <v>151</v>
      </c>
      <c r="J51" s="568">
        <f>J49</f>
        <v>9.600000000000001</v>
      </c>
      <c r="K51" s="580"/>
      <c r="L51" s="569">
        <f t="shared" si="0"/>
        <v>0</v>
      </c>
    </row>
    <row r="52" spans="6:12" ht="48">
      <c r="F52" s="548">
        <f>F51+1</f>
        <v>21</v>
      </c>
      <c r="G52" s="565"/>
      <c r="H52" s="566" t="s">
        <v>3570</v>
      </c>
      <c r="I52" s="567" t="s">
        <v>151</v>
      </c>
      <c r="J52" s="568">
        <f>J51</f>
        <v>9.600000000000001</v>
      </c>
      <c r="K52" s="580"/>
      <c r="L52" s="569">
        <f t="shared" si="0"/>
        <v>0</v>
      </c>
    </row>
    <row r="53" spans="6:12" ht="24">
      <c r="F53" s="548">
        <f>F52+1</f>
        <v>22</v>
      </c>
      <c r="G53" s="565" t="s">
        <v>3571</v>
      </c>
      <c r="H53" s="566" t="s">
        <v>3572</v>
      </c>
      <c r="I53" s="567" t="s">
        <v>162</v>
      </c>
      <c r="J53" s="568">
        <f>SUM(J54:J57)</f>
        <v>18.30679456</v>
      </c>
      <c r="K53" s="580"/>
      <c r="L53" s="569">
        <f>J53*K53</f>
        <v>0</v>
      </c>
    </row>
    <row r="54" spans="6:12" ht="14.25" customHeight="1">
      <c r="F54" s="564"/>
      <c r="G54" s="549"/>
      <c r="H54" s="566" t="s">
        <v>3573</v>
      </c>
      <c r="I54" s="551"/>
      <c r="J54" s="568">
        <f>(6.5+5.5)*0.8*0.2*2.4</f>
        <v>4.6080000000000005</v>
      </c>
      <c r="K54" s="577"/>
      <c r="L54" s="553"/>
    </row>
    <row r="55" spans="6:12" ht="14.25" customHeight="1">
      <c r="F55" s="564"/>
      <c r="G55" s="549"/>
      <c r="H55" s="566" t="s">
        <v>3574</v>
      </c>
      <c r="I55" s="551"/>
      <c r="J55" s="568">
        <f>3.5*1*0.1*2.3</f>
        <v>0.805</v>
      </c>
      <c r="K55" s="577"/>
      <c r="L55" s="553"/>
    </row>
    <row r="56" spans="6:12" ht="28.5" customHeight="1">
      <c r="F56" s="564"/>
      <c r="G56" s="549"/>
      <c r="H56" s="566" t="s">
        <v>3819</v>
      </c>
      <c r="I56" s="551"/>
      <c r="J56" s="568">
        <f>(4*3.14*0.6*0.6*0.15+3.14*1.2*0.12*(1.28+1.5+1.1+1.04))*2.3</f>
        <v>6.676594559999998</v>
      </c>
      <c r="K56" s="577"/>
      <c r="L56" s="553"/>
    </row>
    <row r="57" spans="6:12" ht="14.25" customHeight="1">
      <c r="F57" s="564"/>
      <c r="G57" s="549"/>
      <c r="H57" s="566" t="s">
        <v>3575</v>
      </c>
      <c r="I57" s="551"/>
      <c r="J57" s="568">
        <f>60*3.14*0.33*0.04*2.5</f>
        <v>6.2172</v>
      </c>
      <c r="K57" s="577"/>
      <c r="L57" s="553"/>
    </row>
    <row r="58" spans="6:12" ht="14.25" customHeight="1">
      <c r="F58" s="564"/>
      <c r="G58" s="549"/>
      <c r="H58" s="566"/>
      <c r="I58" s="551"/>
      <c r="J58" s="568"/>
      <c r="K58" s="577"/>
      <c r="L58" s="553"/>
    </row>
    <row r="59" spans="8:12" ht="12">
      <c r="H59" s="512" t="s">
        <v>3527</v>
      </c>
      <c r="K59" s="579"/>
      <c r="L59" s="527">
        <f>SUM(L60:L76)</f>
        <v>0</v>
      </c>
    </row>
    <row r="60" spans="6:12" ht="24">
      <c r="F60" s="564">
        <f>F53+1</f>
        <v>23</v>
      </c>
      <c r="G60" s="570" t="s">
        <v>3576</v>
      </c>
      <c r="H60" s="550" t="s">
        <v>3577</v>
      </c>
      <c r="I60" s="551" t="s">
        <v>158</v>
      </c>
      <c r="J60" s="568">
        <v>60</v>
      </c>
      <c r="K60" s="580"/>
      <c r="L60" s="569">
        <f aca="true" t="shared" si="1" ref="L60:L75">J60*K60</f>
        <v>0</v>
      </c>
    </row>
    <row r="61" spans="6:12" ht="12">
      <c r="F61" s="564"/>
      <c r="G61" s="570"/>
      <c r="H61" s="571">
        <v>60</v>
      </c>
      <c r="I61" s="572"/>
      <c r="J61" s="573">
        <v>60</v>
      </c>
      <c r="K61" s="580"/>
      <c r="L61" s="569"/>
    </row>
    <row r="62" spans="6:12" ht="24">
      <c r="F62" s="564">
        <f>A60:F60+1</f>
        <v>24</v>
      </c>
      <c r="G62" s="565"/>
      <c r="H62" s="566" t="s">
        <v>3800</v>
      </c>
      <c r="I62" s="567" t="s">
        <v>158</v>
      </c>
      <c r="J62" s="568">
        <v>60</v>
      </c>
      <c r="K62" s="580"/>
      <c r="L62" s="569">
        <f t="shared" si="1"/>
        <v>0</v>
      </c>
    </row>
    <row r="63" spans="6:12" ht="12">
      <c r="F63" s="564"/>
      <c r="G63" s="570"/>
      <c r="H63" s="571">
        <v>60</v>
      </c>
      <c r="I63" s="572"/>
      <c r="J63" s="573">
        <v>60</v>
      </c>
      <c r="K63" s="580"/>
      <c r="L63" s="569"/>
    </row>
    <row r="64" spans="6:12" ht="12">
      <c r="F64" s="564">
        <f>A62:F62+1</f>
        <v>25</v>
      </c>
      <c r="G64" s="565" t="s">
        <v>3578</v>
      </c>
      <c r="H64" s="566" t="s">
        <v>3579</v>
      </c>
      <c r="I64" s="567" t="s">
        <v>158</v>
      </c>
      <c r="J64" s="568">
        <f>J62</f>
        <v>60</v>
      </c>
      <c r="K64" s="581"/>
      <c r="L64" s="569">
        <f t="shared" si="1"/>
        <v>0</v>
      </c>
    </row>
    <row r="65" spans="6:12" ht="12">
      <c r="F65" s="564"/>
      <c r="G65" s="570"/>
      <c r="H65" s="571"/>
      <c r="I65" s="572"/>
      <c r="J65" s="573"/>
      <c r="K65" s="580"/>
      <c r="L65" s="569"/>
    </row>
    <row r="66" spans="6:12" ht="12">
      <c r="F66" s="564">
        <f>A64:F64+1</f>
        <v>26</v>
      </c>
      <c r="G66" s="565" t="s">
        <v>3580</v>
      </c>
      <c r="H66" s="566" t="s">
        <v>3581</v>
      </c>
      <c r="I66" s="567" t="s">
        <v>151</v>
      </c>
      <c r="J66" s="568">
        <f>J67</f>
        <v>3.5999999999999996</v>
      </c>
      <c r="K66" s="580"/>
      <c r="L66" s="569">
        <f t="shared" si="1"/>
        <v>0</v>
      </c>
    </row>
    <row r="67" spans="6:12" ht="12">
      <c r="F67" s="564"/>
      <c r="G67" s="565"/>
      <c r="H67" s="566" t="s">
        <v>3582</v>
      </c>
      <c r="I67" s="567"/>
      <c r="J67" s="568">
        <f>6*0.6</f>
        <v>3.5999999999999996</v>
      </c>
      <c r="K67" s="580"/>
      <c r="L67" s="569"/>
    </row>
    <row r="68" spans="6:12" ht="24">
      <c r="F68" s="564">
        <f>A66:F66+1</f>
        <v>27</v>
      </c>
      <c r="G68" s="565" t="s">
        <v>3583</v>
      </c>
      <c r="H68" s="566" t="s">
        <v>3584</v>
      </c>
      <c r="I68" s="567" t="s">
        <v>162</v>
      </c>
      <c r="J68" s="575">
        <f>J69</f>
        <v>6.35168</v>
      </c>
      <c r="K68" s="580"/>
      <c r="L68" s="569">
        <f t="shared" si="1"/>
        <v>0</v>
      </c>
    </row>
    <row r="69" spans="6:12" ht="12">
      <c r="F69" s="564"/>
      <c r="G69" s="565"/>
      <c r="H69" s="566" t="s">
        <v>3797</v>
      </c>
      <c r="I69" s="567"/>
      <c r="J69" s="568">
        <f>60*(0.6*0.1+0.4*0.1)+6*240/360*3.14*0.28*0.1</f>
        <v>6.35168</v>
      </c>
      <c r="K69" s="580"/>
      <c r="L69" s="569"/>
    </row>
    <row r="70" spans="6:12" ht="24">
      <c r="F70" s="564">
        <f>A68:F68+1</f>
        <v>28</v>
      </c>
      <c r="G70" s="565" t="s">
        <v>3585</v>
      </c>
      <c r="H70" s="566" t="s">
        <v>3586</v>
      </c>
      <c r="I70" s="567" t="s">
        <v>162</v>
      </c>
      <c r="J70" s="568">
        <f>J71</f>
        <v>3.8</v>
      </c>
      <c r="K70" s="580"/>
      <c r="L70" s="569">
        <f t="shared" si="1"/>
        <v>0</v>
      </c>
    </row>
    <row r="71" spans="6:12" ht="12">
      <c r="F71" s="564"/>
      <c r="G71" s="565"/>
      <c r="H71" s="566" t="s">
        <v>3587</v>
      </c>
      <c r="I71" s="567"/>
      <c r="J71" s="568">
        <f>0.95*1*4</f>
        <v>3.8</v>
      </c>
      <c r="K71" s="580"/>
      <c r="L71" s="569"/>
    </row>
    <row r="72" spans="6:12" ht="36">
      <c r="F72" s="564">
        <f>A70:F70+1</f>
        <v>29</v>
      </c>
      <c r="G72" s="549" t="s">
        <v>3588</v>
      </c>
      <c r="H72" s="550" t="s">
        <v>3589</v>
      </c>
      <c r="I72" s="551" t="s">
        <v>158</v>
      </c>
      <c r="J72" s="552">
        <v>60</v>
      </c>
      <c r="K72" s="577"/>
      <c r="L72" s="553">
        <f t="shared" si="1"/>
        <v>0</v>
      </c>
    </row>
    <row r="73" spans="6:12" ht="24">
      <c r="F73" s="564">
        <f>F72+1</f>
        <v>30</v>
      </c>
      <c r="G73" s="549" t="s">
        <v>3590</v>
      </c>
      <c r="H73" s="550" t="s">
        <v>3591</v>
      </c>
      <c r="I73" s="551" t="s">
        <v>158</v>
      </c>
      <c r="J73" s="552">
        <v>60</v>
      </c>
      <c r="K73" s="577"/>
      <c r="L73" s="553">
        <f t="shared" si="1"/>
        <v>0</v>
      </c>
    </row>
    <row r="74" spans="6:12" ht="12">
      <c r="F74" s="564">
        <f>F73+1</f>
        <v>31</v>
      </c>
      <c r="G74" s="565" t="s">
        <v>3592</v>
      </c>
      <c r="H74" s="566" t="s">
        <v>3817</v>
      </c>
      <c r="I74" s="567" t="s">
        <v>158</v>
      </c>
      <c r="J74" s="568">
        <v>60</v>
      </c>
      <c r="K74" s="580"/>
      <c r="L74" s="569">
        <f t="shared" si="1"/>
        <v>0</v>
      </c>
    </row>
    <row r="75" spans="6:12" ht="24">
      <c r="F75" s="564">
        <f>F74+1</f>
        <v>32</v>
      </c>
      <c r="G75" s="565" t="s">
        <v>3583</v>
      </c>
      <c r="H75" s="566" t="s">
        <v>3593</v>
      </c>
      <c r="I75" s="567" t="s">
        <v>162</v>
      </c>
      <c r="J75" s="568">
        <f>J76</f>
        <v>0.576</v>
      </c>
      <c r="K75" s="580"/>
      <c r="L75" s="569">
        <f t="shared" si="1"/>
        <v>0</v>
      </c>
    </row>
    <row r="76" spans="6:12" ht="12">
      <c r="F76" s="564"/>
      <c r="G76" s="565"/>
      <c r="H76" s="566" t="s">
        <v>3594</v>
      </c>
      <c r="I76" s="567"/>
      <c r="J76" s="568">
        <f>1.2*1.2*4*0.1</f>
        <v>0.576</v>
      </c>
      <c r="K76" s="580"/>
      <c r="L76" s="569"/>
    </row>
    <row r="77" ht="12">
      <c r="K77" s="579"/>
    </row>
    <row r="78" spans="8:12" ht="12">
      <c r="H78" s="576" t="s">
        <v>3528</v>
      </c>
      <c r="K78" s="579"/>
      <c r="L78" s="527">
        <f>SUM(L79:L92)</f>
        <v>0</v>
      </c>
    </row>
    <row r="79" spans="6:12" ht="22.5">
      <c r="F79" s="564">
        <f>F75+1</f>
        <v>33</v>
      </c>
      <c r="G79" s="105" t="s">
        <v>3597</v>
      </c>
      <c r="H79" s="106" t="s">
        <v>3598</v>
      </c>
      <c r="I79" s="551" t="s">
        <v>301</v>
      </c>
      <c r="J79" s="568">
        <v>4</v>
      </c>
      <c r="K79" s="580"/>
      <c r="L79" s="569">
        <f>J79*K79</f>
        <v>0</v>
      </c>
    </row>
    <row r="80" spans="6:12" ht="27">
      <c r="F80" s="564">
        <f aca="true" t="shared" si="2" ref="F80:F92">F79+1</f>
        <v>34</v>
      </c>
      <c r="G80" s="107" t="s">
        <v>3599</v>
      </c>
      <c r="H80" s="108" t="s">
        <v>3600</v>
      </c>
      <c r="I80" s="551" t="s">
        <v>301</v>
      </c>
      <c r="J80" s="568">
        <v>4</v>
      </c>
      <c r="K80" s="580"/>
      <c r="L80" s="569">
        <f aca="true" t="shared" si="3" ref="L80:L92">J80*K80</f>
        <v>0</v>
      </c>
    </row>
    <row r="81" spans="6:12" ht="12">
      <c r="F81" s="564">
        <f t="shared" si="2"/>
        <v>35</v>
      </c>
      <c r="G81" s="105" t="s">
        <v>3601</v>
      </c>
      <c r="H81" s="106" t="s">
        <v>3602</v>
      </c>
      <c r="I81" s="551" t="s">
        <v>301</v>
      </c>
      <c r="J81" s="568">
        <v>2</v>
      </c>
      <c r="K81" s="580"/>
      <c r="L81" s="569">
        <f t="shared" si="3"/>
        <v>0</v>
      </c>
    </row>
    <row r="82" spans="6:12" ht="27">
      <c r="F82" s="564">
        <f t="shared" si="2"/>
        <v>36</v>
      </c>
      <c r="G82" s="107" t="s">
        <v>3603</v>
      </c>
      <c r="H82" s="108" t="s">
        <v>3604</v>
      </c>
      <c r="I82" s="551" t="s">
        <v>301</v>
      </c>
      <c r="J82" s="568">
        <v>2</v>
      </c>
      <c r="K82" s="580"/>
      <c r="L82" s="569">
        <f t="shared" si="3"/>
        <v>0</v>
      </c>
    </row>
    <row r="83" spans="6:12" ht="13.5">
      <c r="F83" s="564">
        <f t="shared" si="2"/>
        <v>37</v>
      </c>
      <c r="G83" s="107" t="s">
        <v>3605</v>
      </c>
      <c r="H83" s="108" t="s">
        <v>3606</v>
      </c>
      <c r="I83" s="551" t="s">
        <v>301</v>
      </c>
      <c r="J83" s="568">
        <v>2</v>
      </c>
      <c r="K83" s="580"/>
      <c r="L83" s="569">
        <f t="shared" si="3"/>
        <v>0</v>
      </c>
    </row>
    <row r="84" spans="6:12" ht="12">
      <c r="F84" s="564">
        <f t="shared" si="2"/>
        <v>38</v>
      </c>
      <c r="G84" s="105" t="s">
        <v>3607</v>
      </c>
      <c r="H84" s="106" t="s">
        <v>3608</v>
      </c>
      <c r="I84" s="551" t="s">
        <v>301</v>
      </c>
      <c r="J84" s="568">
        <v>4</v>
      </c>
      <c r="K84" s="580"/>
      <c r="L84" s="569">
        <f t="shared" si="3"/>
        <v>0</v>
      </c>
    </row>
    <row r="85" spans="6:12" ht="27">
      <c r="F85" s="564">
        <f t="shared" si="2"/>
        <v>39</v>
      </c>
      <c r="G85" s="107" t="s">
        <v>3609</v>
      </c>
      <c r="H85" s="108" t="s">
        <v>3610</v>
      </c>
      <c r="I85" s="551" t="s">
        <v>301</v>
      </c>
      <c r="J85" s="568">
        <v>3</v>
      </c>
      <c r="K85" s="580"/>
      <c r="L85" s="569">
        <f t="shared" si="3"/>
        <v>0</v>
      </c>
    </row>
    <row r="86" spans="6:12" ht="13.5">
      <c r="F86" s="564">
        <f t="shared" si="2"/>
        <v>40</v>
      </c>
      <c r="G86" s="107" t="s">
        <v>3611</v>
      </c>
      <c r="H86" s="108" t="s">
        <v>3612</v>
      </c>
      <c r="I86" s="551" t="s">
        <v>301</v>
      </c>
      <c r="J86" s="568">
        <v>1</v>
      </c>
      <c r="K86" s="580"/>
      <c r="L86" s="569">
        <f t="shared" si="3"/>
        <v>0</v>
      </c>
    </row>
    <row r="87" spans="6:12" ht="13.5">
      <c r="F87" s="564">
        <f t="shared" si="2"/>
        <v>41</v>
      </c>
      <c r="G87" s="107" t="s">
        <v>3605</v>
      </c>
      <c r="H87" s="108" t="s">
        <v>3606</v>
      </c>
      <c r="I87" s="551" t="s">
        <v>301</v>
      </c>
      <c r="J87" s="568">
        <v>4</v>
      </c>
      <c r="K87" s="580"/>
      <c r="L87" s="569">
        <f t="shared" si="3"/>
        <v>0</v>
      </c>
    </row>
    <row r="88" spans="6:12" ht="22.5">
      <c r="F88" s="564">
        <f t="shared" si="2"/>
        <v>42</v>
      </c>
      <c r="G88" s="105" t="s">
        <v>3613</v>
      </c>
      <c r="H88" s="106" t="s">
        <v>3614</v>
      </c>
      <c r="I88" s="551" t="s">
        <v>301</v>
      </c>
      <c r="J88" s="568">
        <v>2</v>
      </c>
      <c r="K88" s="580"/>
      <c r="L88" s="569">
        <f t="shared" si="3"/>
        <v>0</v>
      </c>
    </row>
    <row r="89" spans="6:12" ht="13.5">
      <c r="F89" s="564">
        <f t="shared" si="2"/>
        <v>43</v>
      </c>
      <c r="G89" s="107" t="s">
        <v>3615</v>
      </c>
      <c r="H89" s="108" t="s">
        <v>3616</v>
      </c>
      <c r="I89" s="551" t="s">
        <v>301</v>
      </c>
      <c r="J89" s="568">
        <v>1</v>
      </c>
      <c r="K89" s="580"/>
      <c r="L89" s="569">
        <f t="shared" si="3"/>
        <v>0</v>
      </c>
    </row>
    <row r="90" spans="6:12" ht="13.5">
      <c r="F90" s="564">
        <f t="shared" si="2"/>
        <v>44</v>
      </c>
      <c r="G90" s="107" t="s">
        <v>3617</v>
      </c>
      <c r="H90" s="108" t="s">
        <v>3618</v>
      </c>
      <c r="I90" s="551" t="s">
        <v>301</v>
      </c>
      <c r="J90" s="568">
        <v>1</v>
      </c>
      <c r="K90" s="580"/>
      <c r="L90" s="569">
        <f t="shared" si="3"/>
        <v>0</v>
      </c>
    </row>
    <row r="91" spans="6:12" ht="12">
      <c r="F91" s="564">
        <f t="shared" si="2"/>
        <v>45</v>
      </c>
      <c r="G91" s="105" t="s">
        <v>3619</v>
      </c>
      <c r="H91" s="106" t="s">
        <v>3620</v>
      </c>
      <c r="I91" s="551" t="s">
        <v>301</v>
      </c>
      <c r="J91" s="568">
        <v>4</v>
      </c>
      <c r="K91" s="580"/>
      <c r="L91" s="569">
        <f t="shared" si="3"/>
        <v>0</v>
      </c>
    </row>
    <row r="92" spans="6:12" ht="13.5">
      <c r="F92" s="564">
        <f t="shared" si="2"/>
        <v>46</v>
      </c>
      <c r="G92" s="570"/>
      <c r="H92" s="109" t="s">
        <v>3898</v>
      </c>
      <c r="I92" s="551" t="s">
        <v>301</v>
      </c>
      <c r="J92" s="568">
        <v>4</v>
      </c>
      <c r="K92" s="580"/>
      <c r="L92" s="569">
        <f t="shared" si="3"/>
        <v>0</v>
      </c>
    </row>
    <row r="93" spans="6:12" ht="12">
      <c r="F93" s="564"/>
      <c r="G93" s="570"/>
      <c r="H93" s="550"/>
      <c r="I93" s="551"/>
      <c r="J93" s="568"/>
      <c r="K93" s="569"/>
      <c r="L93" s="569"/>
    </row>
    <row r="94" spans="6:12" ht="12">
      <c r="F94" s="564"/>
      <c r="G94" s="570"/>
      <c r="H94" s="550"/>
      <c r="I94" s="551"/>
      <c r="J94" s="568"/>
      <c r="K94" s="569"/>
      <c r="L94" s="569"/>
    </row>
    <row r="95" spans="6:12" ht="12">
      <c r="F95" s="564"/>
      <c r="G95" s="570"/>
      <c r="H95" s="550"/>
      <c r="I95" s="551"/>
      <c r="J95" s="568"/>
      <c r="K95" s="569"/>
      <c r="L95" s="569"/>
    </row>
    <row r="96" spans="6:12" ht="12">
      <c r="F96" s="564"/>
      <c r="G96" s="570"/>
      <c r="H96" s="550"/>
      <c r="I96" s="551"/>
      <c r="J96" s="568"/>
      <c r="K96" s="569"/>
      <c r="L96" s="569"/>
    </row>
    <row r="97" spans="6:12" ht="12">
      <c r="F97" s="564"/>
      <c r="G97" s="570"/>
      <c r="H97" s="550"/>
      <c r="I97" s="551"/>
      <c r="J97" s="568"/>
      <c r="K97" s="569"/>
      <c r="L97" s="569"/>
    </row>
    <row r="98" spans="6:12" ht="12">
      <c r="F98" s="564"/>
      <c r="G98" s="570"/>
      <c r="H98" s="550"/>
      <c r="I98" s="551"/>
      <c r="J98" s="568"/>
      <c r="K98" s="569"/>
      <c r="L98" s="569"/>
    </row>
  </sheetData>
  <sheetProtection password="CABD" sheet="1" objects="1" scenarios="1"/>
  <mergeCells count="4">
    <mergeCell ref="G2:L2"/>
    <mergeCell ref="G4:L4"/>
    <mergeCell ref="M9:R9"/>
    <mergeCell ref="G3:H3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F2:R71"/>
  <sheetViews>
    <sheetView workbookViewId="0" topLeftCell="F1">
      <selection activeCell="L64" sqref="L64"/>
    </sheetView>
  </sheetViews>
  <sheetFormatPr defaultColWidth="9.140625" defaultRowHeight="12" outlineLevelRow="2"/>
  <cols>
    <col min="1" max="5" width="9.140625" style="78" hidden="1" customWidth="1"/>
    <col min="6" max="6" width="6.28125" style="510" customWidth="1"/>
    <col min="7" max="7" width="16.421875" style="562" customWidth="1"/>
    <col min="8" max="8" width="57.7109375" style="513" customWidth="1"/>
    <col min="9" max="9" width="5.140625" style="514" customWidth="1"/>
    <col min="10" max="10" width="12.140625" style="515" customWidth="1"/>
    <col min="11" max="11" width="14.421875" style="516" customWidth="1"/>
    <col min="12" max="12" width="20.7109375" style="516" customWidth="1"/>
    <col min="13" max="13" width="25.140625" style="78" customWidth="1"/>
    <col min="14" max="14" width="14.00390625" style="78" bestFit="1" customWidth="1"/>
    <col min="15" max="256" width="9.28125" style="78" customWidth="1"/>
    <col min="257" max="261" width="9.140625" style="78" hidden="1" customWidth="1"/>
    <col min="262" max="262" width="6.28125" style="78" customWidth="1"/>
    <col min="263" max="263" width="16.421875" style="78" customWidth="1"/>
    <col min="264" max="264" width="57.7109375" style="78" customWidth="1"/>
    <col min="265" max="265" width="5.140625" style="78" customWidth="1"/>
    <col min="266" max="266" width="12.140625" style="78" customWidth="1"/>
    <col min="267" max="267" width="14.421875" style="78" customWidth="1"/>
    <col min="268" max="268" width="20.7109375" style="78" customWidth="1"/>
    <col min="269" max="269" width="84.140625" style="78" customWidth="1"/>
    <col min="270" max="270" width="14.00390625" style="78" bestFit="1" customWidth="1"/>
    <col min="271" max="512" width="9.28125" style="78" customWidth="1"/>
    <col min="513" max="517" width="9.140625" style="78" hidden="1" customWidth="1"/>
    <col min="518" max="518" width="6.28125" style="78" customWidth="1"/>
    <col min="519" max="519" width="16.421875" style="78" customWidth="1"/>
    <col min="520" max="520" width="57.7109375" style="78" customWidth="1"/>
    <col min="521" max="521" width="5.140625" style="78" customWidth="1"/>
    <col min="522" max="522" width="12.140625" style="78" customWidth="1"/>
    <col min="523" max="523" width="14.421875" style="78" customWidth="1"/>
    <col min="524" max="524" width="20.7109375" style="78" customWidth="1"/>
    <col min="525" max="525" width="84.140625" style="78" customWidth="1"/>
    <col min="526" max="526" width="14.00390625" style="78" bestFit="1" customWidth="1"/>
    <col min="527" max="768" width="9.28125" style="78" customWidth="1"/>
    <col min="769" max="773" width="9.140625" style="78" hidden="1" customWidth="1"/>
    <col min="774" max="774" width="6.28125" style="78" customWidth="1"/>
    <col min="775" max="775" width="16.421875" style="78" customWidth="1"/>
    <col min="776" max="776" width="57.7109375" style="78" customWidth="1"/>
    <col min="777" max="777" width="5.140625" style="78" customWidth="1"/>
    <col min="778" max="778" width="12.140625" style="78" customWidth="1"/>
    <col min="779" max="779" width="14.421875" style="78" customWidth="1"/>
    <col min="780" max="780" width="20.7109375" style="78" customWidth="1"/>
    <col min="781" max="781" width="84.140625" style="78" customWidth="1"/>
    <col min="782" max="782" width="14.00390625" style="78" bestFit="1" customWidth="1"/>
    <col min="783" max="1024" width="9.28125" style="78" customWidth="1"/>
    <col min="1025" max="1029" width="9.140625" style="78" hidden="1" customWidth="1"/>
    <col min="1030" max="1030" width="6.28125" style="78" customWidth="1"/>
    <col min="1031" max="1031" width="16.421875" style="78" customWidth="1"/>
    <col min="1032" max="1032" width="57.7109375" style="78" customWidth="1"/>
    <col min="1033" max="1033" width="5.140625" style="78" customWidth="1"/>
    <col min="1034" max="1034" width="12.140625" style="78" customWidth="1"/>
    <col min="1035" max="1035" width="14.421875" style="78" customWidth="1"/>
    <col min="1036" max="1036" width="20.7109375" style="78" customWidth="1"/>
    <col min="1037" max="1037" width="84.140625" style="78" customWidth="1"/>
    <col min="1038" max="1038" width="14.00390625" style="78" bestFit="1" customWidth="1"/>
    <col min="1039" max="1280" width="9.28125" style="78" customWidth="1"/>
    <col min="1281" max="1285" width="9.140625" style="78" hidden="1" customWidth="1"/>
    <col min="1286" max="1286" width="6.28125" style="78" customWidth="1"/>
    <col min="1287" max="1287" width="16.421875" style="78" customWidth="1"/>
    <col min="1288" max="1288" width="57.7109375" style="78" customWidth="1"/>
    <col min="1289" max="1289" width="5.140625" style="78" customWidth="1"/>
    <col min="1290" max="1290" width="12.140625" style="78" customWidth="1"/>
    <col min="1291" max="1291" width="14.421875" style="78" customWidth="1"/>
    <col min="1292" max="1292" width="20.7109375" style="78" customWidth="1"/>
    <col min="1293" max="1293" width="84.140625" style="78" customWidth="1"/>
    <col min="1294" max="1294" width="14.00390625" style="78" bestFit="1" customWidth="1"/>
    <col min="1295" max="1536" width="9.28125" style="78" customWidth="1"/>
    <col min="1537" max="1541" width="9.140625" style="78" hidden="1" customWidth="1"/>
    <col min="1542" max="1542" width="6.28125" style="78" customWidth="1"/>
    <col min="1543" max="1543" width="16.421875" style="78" customWidth="1"/>
    <col min="1544" max="1544" width="57.7109375" style="78" customWidth="1"/>
    <col min="1545" max="1545" width="5.140625" style="78" customWidth="1"/>
    <col min="1546" max="1546" width="12.140625" style="78" customWidth="1"/>
    <col min="1547" max="1547" width="14.421875" style="78" customWidth="1"/>
    <col min="1548" max="1548" width="20.7109375" style="78" customWidth="1"/>
    <col min="1549" max="1549" width="84.140625" style="78" customWidth="1"/>
    <col min="1550" max="1550" width="14.00390625" style="78" bestFit="1" customWidth="1"/>
    <col min="1551" max="1792" width="9.28125" style="78" customWidth="1"/>
    <col min="1793" max="1797" width="9.140625" style="78" hidden="1" customWidth="1"/>
    <col min="1798" max="1798" width="6.28125" style="78" customWidth="1"/>
    <col min="1799" max="1799" width="16.421875" style="78" customWidth="1"/>
    <col min="1800" max="1800" width="57.7109375" style="78" customWidth="1"/>
    <col min="1801" max="1801" width="5.140625" style="78" customWidth="1"/>
    <col min="1802" max="1802" width="12.140625" style="78" customWidth="1"/>
    <col min="1803" max="1803" width="14.421875" style="78" customWidth="1"/>
    <col min="1804" max="1804" width="20.7109375" style="78" customWidth="1"/>
    <col min="1805" max="1805" width="84.140625" style="78" customWidth="1"/>
    <col min="1806" max="1806" width="14.00390625" style="78" bestFit="1" customWidth="1"/>
    <col min="1807" max="2048" width="9.28125" style="78" customWidth="1"/>
    <col min="2049" max="2053" width="9.140625" style="78" hidden="1" customWidth="1"/>
    <col min="2054" max="2054" width="6.28125" style="78" customWidth="1"/>
    <col min="2055" max="2055" width="16.421875" style="78" customWidth="1"/>
    <col min="2056" max="2056" width="57.7109375" style="78" customWidth="1"/>
    <col min="2057" max="2057" width="5.140625" style="78" customWidth="1"/>
    <col min="2058" max="2058" width="12.140625" style="78" customWidth="1"/>
    <col min="2059" max="2059" width="14.421875" style="78" customWidth="1"/>
    <col min="2060" max="2060" width="20.7109375" style="78" customWidth="1"/>
    <col min="2061" max="2061" width="84.140625" style="78" customWidth="1"/>
    <col min="2062" max="2062" width="14.00390625" style="78" bestFit="1" customWidth="1"/>
    <col min="2063" max="2304" width="9.28125" style="78" customWidth="1"/>
    <col min="2305" max="2309" width="9.140625" style="78" hidden="1" customWidth="1"/>
    <col min="2310" max="2310" width="6.28125" style="78" customWidth="1"/>
    <col min="2311" max="2311" width="16.421875" style="78" customWidth="1"/>
    <col min="2312" max="2312" width="57.7109375" style="78" customWidth="1"/>
    <col min="2313" max="2313" width="5.140625" style="78" customWidth="1"/>
    <col min="2314" max="2314" width="12.140625" style="78" customWidth="1"/>
    <col min="2315" max="2315" width="14.421875" style="78" customWidth="1"/>
    <col min="2316" max="2316" width="20.7109375" style="78" customWidth="1"/>
    <col min="2317" max="2317" width="84.140625" style="78" customWidth="1"/>
    <col min="2318" max="2318" width="14.00390625" style="78" bestFit="1" customWidth="1"/>
    <col min="2319" max="2560" width="9.28125" style="78" customWidth="1"/>
    <col min="2561" max="2565" width="9.140625" style="78" hidden="1" customWidth="1"/>
    <col min="2566" max="2566" width="6.28125" style="78" customWidth="1"/>
    <col min="2567" max="2567" width="16.421875" style="78" customWidth="1"/>
    <col min="2568" max="2568" width="57.7109375" style="78" customWidth="1"/>
    <col min="2569" max="2569" width="5.140625" style="78" customWidth="1"/>
    <col min="2570" max="2570" width="12.140625" style="78" customWidth="1"/>
    <col min="2571" max="2571" width="14.421875" style="78" customWidth="1"/>
    <col min="2572" max="2572" width="20.7109375" style="78" customWidth="1"/>
    <col min="2573" max="2573" width="84.140625" style="78" customWidth="1"/>
    <col min="2574" max="2574" width="14.00390625" style="78" bestFit="1" customWidth="1"/>
    <col min="2575" max="2816" width="9.28125" style="78" customWidth="1"/>
    <col min="2817" max="2821" width="9.140625" style="78" hidden="1" customWidth="1"/>
    <col min="2822" max="2822" width="6.28125" style="78" customWidth="1"/>
    <col min="2823" max="2823" width="16.421875" style="78" customWidth="1"/>
    <col min="2824" max="2824" width="57.7109375" style="78" customWidth="1"/>
    <col min="2825" max="2825" width="5.140625" style="78" customWidth="1"/>
    <col min="2826" max="2826" width="12.140625" style="78" customWidth="1"/>
    <col min="2827" max="2827" width="14.421875" style="78" customWidth="1"/>
    <col min="2828" max="2828" width="20.7109375" style="78" customWidth="1"/>
    <col min="2829" max="2829" width="84.140625" style="78" customWidth="1"/>
    <col min="2830" max="2830" width="14.00390625" style="78" bestFit="1" customWidth="1"/>
    <col min="2831" max="3072" width="9.28125" style="78" customWidth="1"/>
    <col min="3073" max="3077" width="9.140625" style="78" hidden="1" customWidth="1"/>
    <col min="3078" max="3078" width="6.28125" style="78" customWidth="1"/>
    <col min="3079" max="3079" width="16.421875" style="78" customWidth="1"/>
    <col min="3080" max="3080" width="57.7109375" style="78" customWidth="1"/>
    <col min="3081" max="3081" width="5.140625" style="78" customWidth="1"/>
    <col min="3082" max="3082" width="12.140625" style="78" customWidth="1"/>
    <col min="3083" max="3083" width="14.421875" style="78" customWidth="1"/>
    <col min="3084" max="3084" width="20.7109375" style="78" customWidth="1"/>
    <col min="3085" max="3085" width="84.140625" style="78" customWidth="1"/>
    <col min="3086" max="3086" width="14.00390625" style="78" bestFit="1" customWidth="1"/>
    <col min="3087" max="3328" width="9.28125" style="78" customWidth="1"/>
    <col min="3329" max="3333" width="9.140625" style="78" hidden="1" customWidth="1"/>
    <col min="3334" max="3334" width="6.28125" style="78" customWidth="1"/>
    <col min="3335" max="3335" width="16.421875" style="78" customWidth="1"/>
    <col min="3336" max="3336" width="57.7109375" style="78" customWidth="1"/>
    <col min="3337" max="3337" width="5.140625" style="78" customWidth="1"/>
    <col min="3338" max="3338" width="12.140625" style="78" customWidth="1"/>
    <col min="3339" max="3339" width="14.421875" style="78" customWidth="1"/>
    <col min="3340" max="3340" width="20.7109375" style="78" customWidth="1"/>
    <col min="3341" max="3341" width="84.140625" style="78" customWidth="1"/>
    <col min="3342" max="3342" width="14.00390625" style="78" bestFit="1" customWidth="1"/>
    <col min="3343" max="3584" width="9.28125" style="78" customWidth="1"/>
    <col min="3585" max="3589" width="9.140625" style="78" hidden="1" customWidth="1"/>
    <col min="3590" max="3590" width="6.28125" style="78" customWidth="1"/>
    <col min="3591" max="3591" width="16.421875" style="78" customWidth="1"/>
    <col min="3592" max="3592" width="57.7109375" style="78" customWidth="1"/>
    <col min="3593" max="3593" width="5.140625" style="78" customWidth="1"/>
    <col min="3594" max="3594" width="12.140625" style="78" customWidth="1"/>
    <col min="3595" max="3595" width="14.421875" style="78" customWidth="1"/>
    <col min="3596" max="3596" width="20.7109375" style="78" customWidth="1"/>
    <col min="3597" max="3597" width="84.140625" style="78" customWidth="1"/>
    <col min="3598" max="3598" width="14.00390625" style="78" bestFit="1" customWidth="1"/>
    <col min="3599" max="3840" width="9.28125" style="78" customWidth="1"/>
    <col min="3841" max="3845" width="9.140625" style="78" hidden="1" customWidth="1"/>
    <col min="3846" max="3846" width="6.28125" style="78" customWidth="1"/>
    <col min="3847" max="3847" width="16.421875" style="78" customWidth="1"/>
    <col min="3848" max="3848" width="57.7109375" style="78" customWidth="1"/>
    <col min="3849" max="3849" width="5.140625" style="78" customWidth="1"/>
    <col min="3850" max="3850" width="12.140625" style="78" customWidth="1"/>
    <col min="3851" max="3851" width="14.421875" style="78" customWidth="1"/>
    <col min="3852" max="3852" width="20.7109375" style="78" customWidth="1"/>
    <col min="3853" max="3853" width="84.140625" style="78" customWidth="1"/>
    <col min="3854" max="3854" width="14.00390625" style="78" bestFit="1" customWidth="1"/>
    <col min="3855" max="4096" width="9.28125" style="78" customWidth="1"/>
    <col min="4097" max="4101" width="9.140625" style="78" hidden="1" customWidth="1"/>
    <col min="4102" max="4102" width="6.28125" style="78" customWidth="1"/>
    <col min="4103" max="4103" width="16.421875" style="78" customWidth="1"/>
    <col min="4104" max="4104" width="57.7109375" style="78" customWidth="1"/>
    <col min="4105" max="4105" width="5.140625" style="78" customWidth="1"/>
    <col min="4106" max="4106" width="12.140625" style="78" customWidth="1"/>
    <col min="4107" max="4107" width="14.421875" style="78" customWidth="1"/>
    <col min="4108" max="4108" width="20.7109375" style="78" customWidth="1"/>
    <col min="4109" max="4109" width="84.140625" style="78" customWidth="1"/>
    <col min="4110" max="4110" width="14.00390625" style="78" bestFit="1" customWidth="1"/>
    <col min="4111" max="4352" width="9.28125" style="78" customWidth="1"/>
    <col min="4353" max="4357" width="9.140625" style="78" hidden="1" customWidth="1"/>
    <col min="4358" max="4358" width="6.28125" style="78" customWidth="1"/>
    <col min="4359" max="4359" width="16.421875" style="78" customWidth="1"/>
    <col min="4360" max="4360" width="57.7109375" style="78" customWidth="1"/>
    <col min="4361" max="4361" width="5.140625" style="78" customWidth="1"/>
    <col min="4362" max="4362" width="12.140625" style="78" customWidth="1"/>
    <col min="4363" max="4363" width="14.421875" style="78" customWidth="1"/>
    <col min="4364" max="4364" width="20.7109375" style="78" customWidth="1"/>
    <col min="4365" max="4365" width="84.140625" style="78" customWidth="1"/>
    <col min="4366" max="4366" width="14.00390625" style="78" bestFit="1" customWidth="1"/>
    <col min="4367" max="4608" width="9.28125" style="78" customWidth="1"/>
    <col min="4609" max="4613" width="9.140625" style="78" hidden="1" customWidth="1"/>
    <col min="4614" max="4614" width="6.28125" style="78" customWidth="1"/>
    <col min="4615" max="4615" width="16.421875" style="78" customWidth="1"/>
    <col min="4616" max="4616" width="57.7109375" style="78" customWidth="1"/>
    <col min="4617" max="4617" width="5.140625" style="78" customWidth="1"/>
    <col min="4618" max="4618" width="12.140625" style="78" customWidth="1"/>
    <col min="4619" max="4619" width="14.421875" style="78" customWidth="1"/>
    <col min="4620" max="4620" width="20.7109375" style="78" customWidth="1"/>
    <col min="4621" max="4621" width="84.140625" style="78" customWidth="1"/>
    <col min="4622" max="4622" width="14.00390625" style="78" bestFit="1" customWidth="1"/>
    <col min="4623" max="4864" width="9.28125" style="78" customWidth="1"/>
    <col min="4865" max="4869" width="9.140625" style="78" hidden="1" customWidth="1"/>
    <col min="4870" max="4870" width="6.28125" style="78" customWidth="1"/>
    <col min="4871" max="4871" width="16.421875" style="78" customWidth="1"/>
    <col min="4872" max="4872" width="57.7109375" style="78" customWidth="1"/>
    <col min="4873" max="4873" width="5.140625" style="78" customWidth="1"/>
    <col min="4874" max="4874" width="12.140625" style="78" customWidth="1"/>
    <col min="4875" max="4875" width="14.421875" style="78" customWidth="1"/>
    <col min="4876" max="4876" width="20.7109375" style="78" customWidth="1"/>
    <col min="4877" max="4877" width="84.140625" style="78" customWidth="1"/>
    <col min="4878" max="4878" width="14.00390625" style="78" bestFit="1" customWidth="1"/>
    <col min="4879" max="5120" width="9.28125" style="78" customWidth="1"/>
    <col min="5121" max="5125" width="9.140625" style="78" hidden="1" customWidth="1"/>
    <col min="5126" max="5126" width="6.28125" style="78" customWidth="1"/>
    <col min="5127" max="5127" width="16.421875" style="78" customWidth="1"/>
    <col min="5128" max="5128" width="57.7109375" style="78" customWidth="1"/>
    <col min="5129" max="5129" width="5.140625" style="78" customWidth="1"/>
    <col min="5130" max="5130" width="12.140625" style="78" customWidth="1"/>
    <col min="5131" max="5131" width="14.421875" style="78" customWidth="1"/>
    <col min="5132" max="5132" width="20.7109375" style="78" customWidth="1"/>
    <col min="5133" max="5133" width="84.140625" style="78" customWidth="1"/>
    <col min="5134" max="5134" width="14.00390625" style="78" bestFit="1" customWidth="1"/>
    <col min="5135" max="5376" width="9.28125" style="78" customWidth="1"/>
    <col min="5377" max="5381" width="9.140625" style="78" hidden="1" customWidth="1"/>
    <col min="5382" max="5382" width="6.28125" style="78" customWidth="1"/>
    <col min="5383" max="5383" width="16.421875" style="78" customWidth="1"/>
    <col min="5384" max="5384" width="57.7109375" style="78" customWidth="1"/>
    <col min="5385" max="5385" width="5.140625" style="78" customWidth="1"/>
    <col min="5386" max="5386" width="12.140625" style="78" customWidth="1"/>
    <col min="5387" max="5387" width="14.421875" style="78" customWidth="1"/>
    <col min="5388" max="5388" width="20.7109375" style="78" customWidth="1"/>
    <col min="5389" max="5389" width="84.140625" style="78" customWidth="1"/>
    <col min="5390" max="5390" width="14.00390625" style="78" bestFit="1" customWidth="1"/>
    <col min="5391" max="5632" width="9.28125" style="78" customWidth="1"/>
    <col min="5633" max="5637" width="9.140625" style="78" hidden="1" customWidth="1"/>
    <col min="5638" max="5638" width="6.28125" style="78" customWidth="1"/>
    <col min="5639" max="5639" width="16.421875" style="78" customWidth="1"/>
    <col min="5640" max="5640" width="57.7109375" style="78" customWidth="1"/>
    <col min="5641" max="5641" width="5.140625" style="78" customWidth="1"/>
    <col min="5642" max="5642" width="12.140625" style="78" customWidth="1"/>
    <col min="5643" max="5643" width="14.421875" style="78" customWidth="1"/>
    <col min="5644" max="5644" width="20.7109375" style="78" customWidth="1"/>
    <col min="5645" max="5645" width="84.140625" style="78" customWidth="1"/>
    <col min="5646" max="5646" width="14.00390625" style="78" bestFit="1" customWidth="1"/>
    <col min="5647" max="5888" width="9.28125" style="78" customWidth="1"/>
    <col min="5889" max="5893" width="9.140625" style="78" hidden="1" customWidth="1"/>
    <col min="5894" max="5894" width="6.28125" style="78" customWidth="1"/>
    <col min="5895" max="5895" width="16.421875" style="78" customWidth="1"/>
    <col min="5896" max="5896" width="57.7109375" style="78" customWidth="1"/>
    <col min="5897" max="5897" width="5.140625" style="78" customWidth="1"/>
    <col min="5898" max="5898" width="12.140625" style="78" customWidth="1"/>
    <col min="5899" max="5899" width="14.421875" style="78" customWidth="1"/>
    <col min="5900" max="5900" width="20.7109375" style="78" customWidth="1"/>
    <col min="5901" max="5901" width="84.140625" style="78" customWidth="1"/>
    <col min="5902" max="5902" width="14.00390625" style="78" bestFit="1" customWidth="1"/>
    <col min="5903" max="6144" width="9.28125" style="78" customWidth="1"/>
    <col min="6145" max="6149" width="9.140625" style="78" hidden="1" customWidth="1"/>
    <col min="6150" max="6150" width="6.28125" style="78" customWidth="1"/>
    <col min="6151" max="6151" width="16.421875" style="78" customWidth="1"/>
    <col min="6152" max="6152" width="57.7109375" style="78" customWidth="1"/>
    <col min="6153" max="6153" width="5.140625" style="78" customWidth="1"/>
    <col min="6154" max="6154" width="12.140625" style="78" customWidth="1"/>
    <col min="6155" max="6155" width="14.421875" style="78" customWidth="1"/>
    <col min="6156" max="6156" width="20.7109375" style="78" customWidth="1"/>
    <col min="6157" max="6157" width="84.140625" style="78" customWidth="1"/>
    <col min="6158" max="6158" width="14.00390625" style="78" bestFit="1" customWidth="1"/>
    <col min="6159" max="6400" width="9.28125" style="78" customWidth="1"/>
    <col min="6401" max="6405" width="9.140625" style="78" hidden="1" customWidth="1"/>
    <col min="6406" max="6406" width="6.28125" style="78" customWidth="1"/>
    <col min="6407" max="6407" width="16.421875" style="78" customWidth="1"/>
    <col min="6408" max="6408" width="57.7109375" style="78" customWidth="1"/>
    <col min="6409" max="6409" width="5.140625" style="78" customWidth="1"/>
    <col min="6410" max="6410" width="12.140625" style="78" customWidth="1"/>
    <col min="6411" max="6411" width="14.421875" style="78" customWidth="1"/>
    <col min="6412" max="6412" width="20.7109375" style="78" customWidth="1"/>
    <col min="6413" max="6413" width="84.140625" style="78" customWidth="1"/>
    <col min="6414" max="6414" width="14.00390625" style="78" bestFit="1" customWidth="1"/>
    <col min="6415" max="6656" width="9.28125" style="78" customWidth="1"/>
    <col min="6657" max="6661" width="9.140625" style="78" hidden="1" customWidth="1"/>
    <col min="6662" max="6662" width="6.28125" style="78" customWidth="1"/>
    <col min="6663" max="6663" width="16.421875" style="78" customWidth="1"/>
    <col min="6664" max="6664" width="57.7109375" style="78" customWidth="1"/>
    <col min="6665" max="6665" width="5.140625" style="78" customWidth="1"/>
    <col min="6666" max="6666" width="12.140625" style="78" customWidth="1"/>
    <col min="6667" max="6667" width="14.421875" style="78" customWidth="1"/>
    <col min="6668" max="6668" width="20.7109375" style="78" customWidth="1"/>
    <col min="6669" max="6669" width="84.140625" style="78" customWidth="1"/>
    <col min="6670" max="6670" width="14.00390625" style="78" bestFit="1" customWidth="1"/>
    <col min="6671" max="6912" width="9.28125" style="78" customWidth="1"/>
    <col min="6913" max="6917" width="9.140625" style="78" hidden="1" customWidth="1"/>
    <col min="6918" max="6918" width="6.28125" style="78" customWidth="1"/>
    <col min="6919" max="6919" width="16.421875" style="78" customWidth="1"/>
    <col min="6920" max="6920" width="57.7109375" style="78" customWidth="1"/>
    <col min="6921" max="6921" width="5.140625" style="78" customWidth="1"/>
    <col min="6922" max="6922" width="12.140625" style="78" customWidth="1"/>
    <col min="6923" max="6923" width="14.421875" style="78" customWidth="1"/>
    <col min="6924" max="6924" width="20.7109375" style="78" customWidth="1"/>
    <col min="6925" max="6925" width="84.140625" style="78" customWidth="1"/>
    <col min="6926" max="6926" width="14.00390625" style="78" bestFit="1" customWidth="1"/>
    <col min="6927" max="7168" width="9.28125" style="78" customWidth="1"/>
    <col min="7169" max="7173" width="9.140625" style="78" hidden="1" customWidth="1"/>
    <col min="7174" max="7174" width="6.28125" style="78" customWidth="1"/>
    <col min="7175" max="7175" width="16.421875" style="78" customWidth="1"/>
    <col min="7176" max="7176" width="57.7109375" style="78" customWidth="1"/>
    <col min="7177" max="7177" width="5.140625" style="78" customWidth="1"/>
    <col min="7178" max="7178" width="12.140625" style="78" customWidth="1"/>
    <col min="7179" max="7179" width="14.421875" style="78" customWidth="1"/>
    <col min="7180" max="7180" width="20.7109375" style="78" customWidth="1"/>
    <col min="7181" max="7181" width="84.140625" style="78" customWidth="1"/>
    <col min="7182" max="7182" width="14.00390625" style="78" bestFit="1" customWidth="1"/>
    <col min="7183" max="7424" width="9.28125" style="78" customWidth="1"/>
    <col min="7425" max="7429" width="9.140625" style="78" hidden="1" customWidth="1"/>
    <col min="7430" max="7430" width="6.28125" style="78" customWidth="1"/>
    <col min="7431" max="7431" width="16.421875" style="78" customWidth="1"/>
    <col min="7432" max="7432" width="57.7109375" style="78" customWidth="1"/>
    <col min="7433" max="7433" width="5.140625" style="78" customWidth="1"/>
    <col min="7434" max="7434" width="12.140625" style="78" customWidth="1"/>
    <col min="7435" max="7435" width="14.421875" style="78" customWidth="1"/>
    <col min="7436" max="7436" width="20.7109375" style="78" customWidth="1"/>
    <col min="7437" max="7437" width="84.140625" style="78" customWidth="1"/>
    <col min="7438" max="7438" width="14.00390625" style="78" bestFit="1" customWidth="1"/>
    <col min="7439" max="7680" width="9.28125" style="78" customWidth="1"/>
    <col min="7681" max="7685" width="9.140625" style="78" hidden="1" customWidth="1"/>
    <col min="7686" max="7686" width="6.28125" style="78" customWidth="1"/>
    <col min="7687" max="7687" width="16.421875" style="78" customWidth="1"/>
    <col min="7688" max="7688" width="57.7109375" style="78" customWidth="1"/>
    <col min="7689" max="7689" width="5.140625" style="78" customWidth="1"/>
    <col min="7690" max="7690" width="12.140625" style="78" customWidth="1"/>
    <col min="7691" max="7691" width="14.421875" style="78" customWidth="1"/>
    <col min="7692" max="7692" width="20.7109375" style="78" customWidth="1"/>
    <col min="7693" max="7693" width="84.140625" style="78" customWidth="1"/>
    <col min="7694" max="7694" width="14.00390625" style="78" bestFit="1" customWidth="1"/>
    <col min="7695" max="7936" width="9.28125" style="78" customWidth="1"/>
    <col min="7937" max="7941" width="9.140625" style="78" hidden="1" customWidth="1"/>
    <col min="7942" max="7942" width="6.28125" style="78" customWidth="1"/>
    <col min="7943" max="7943" width="16.421875" style="78" customWidth="1"/>
    <col min="7944" max="7944" width="57.7109375" style="78" customWidth="1"/>
    <col min="7945" max="7945" width="5.140625" style="78" customWidth="1"/>
    <col min="7946" max="7946" width="12.140625" style="78" customWidth="1"/>
    <col min="7947" max="7947" width="14.421875" style="78" customWidth="1"/>
    <col min="7948" max="7948" width="20.7109375" style="78" customWidth="1"/>
    <col min="7949" max="7949" width="84.140625" style="78" customWidth="1"/>
    <col min="7950" max="7950" width="14.00390625" style="78" bestFit="1" customWidth="1"/>
    <col min="7951" max="8192" width="9.28125" style="78" customWidth="1"/>
    <col min="8193" max="8197" width="9.140625" style="78" hidden="1" customWidth="1"/>
    <col min="8198" max="8198" width="6.28125" style="78" customWidth="1"/>
    <col min="8199" max="8199" width="16.421875" style="78" customWidth="1"/>
    <col min="8200" max="8200" width="57.7109375" style="78" customWidth="1"/>
    <col min="8201" max="8201" width="5.140625" style="78" customWidth="1"/>
    <col min="8202" max="8202" width="12.140625" style="78" customWidth="1"/>
    <col min="8203" max="8203" width="14.421875" style="78" customWidth="1"/>
    <col min="8204" max="8204" width="20.7109375" style="78" customWidth="1"/>
    <col min="8205" max="8205" width="84.140625" style="78" customWidth="1"/>
    <col min="8206" max="8206" width="14.00390625" style="78" bestFit="1" customWidth="1"/>
    <col min="8207" max="8448" width="9.28125" style="78" customWidth="1"/>
    <col min="8449" max="8453" width="9.140625" style="78" hidden="1" customWidth="1"/>
    <col min="8454" max="8454" width="6.28125" style="78" customWidth="1"/>
    <col min="8455" max="8455" width="16.421875" style="78" customWidth="1"/>
    <col min="8456" max="8456" width="57.7109375" style="78" customWidth="1"/>
    <col min="8457" max="8457" width="5.140625" style="78" customWidth="1"/>
    <col min="8458" max="8458" width="12.140625" style="78" customWidth="1"/>
    <col min="8459" max="8459" width="14.421875" style="78" customWidth="1"/>
    <col min="8460" max="8460" width="20.7109375" style="78" customWidth="1"/>
    <col min="8461" max="8461" width="84.140625" style="78" customWidth="1"/>
    <col min="8462" max="8462" width="14.00390625" style="78" bestFit="1" customWidth="1"/>
    <col min="8463" max="8704" width="9.28125" style="78" customWidth="1"/>
    <col min="8705" max="8709" width="9.140625" style="78" hidden="1" customWidth="1"/>
    <col min="8710" max="8710" width="6.28125" style="78" customWidth="1"/>
    <col min="8711" max="8711" width="16.421875" style="78" customWidth="1"/>
    <col min="8712" max="8712" width="57.7109375" style="78" customWidth="1"/>
    <col min="8713" max="8713" width="5.140625" style="78" customWidth="1"/>
    <col min="8714" max="8714" width="12.140625" style="78" customWidth="1"/>
    <col min="8715" max="8715" width="14.421875" style="78" customWidth="1"/>
    <col min="8716" max="8716" width="20.7109375" style="78" customWidth="1"/>
    <col min="8717" max="8717" width="84.140625" style="78" customWidth="1"/>
    <col min="8718" max="8718" width="14.00390625" style="78" bestFit="1" customWidth="1"/>
    <col min="8719" max="8960" width="9.28125" style="78" customWidth="1"/>
    <col min="8961" max="8965" width="9.140625" style="78" hidden="1" customWidth="1"/>
    <col min="8966" max="8966" width="6.28125" style="78" customWidth="1"/>
    <col min="8967" max="8967" width="16.421875" style="78" customWidth="1"/>
    <col min="8968" max="8968" width="57.7109375" style="78" customWidth="1"/>
    <col min="8969" max="8969" width="5.140625" style="78" customWidth="1"/>
    <col min="8970" max="8970" width="12.140625" style="78" customWidth="1"/>
    <col min="8971" max="8971" width="14.421875" style="78" customWidth="1"/>
    <col min="8972" max="8972" width="20.7109375" style="78" customWidth="1"/>
    <col min="8973" max="8973" width="84.140625" style="78" customWidth="1"/>
    <col min="8974" max="8974" width="14.00390625" style="78" bestFit="1" customWidth="1"/>
    <col min="8975" max="9216" width="9.28125" style="78" customWidth="1"/>
    <col min="9217" max="9221" width="9.140625" style="78" hidden="1" customWidth="1"/>
    <col min="9222" max="9222" width="6.28125" style="78" customWidth="1"/>
    <col min="9223" max="9223" width="16.421875" style="78" customWidth="1"/>
    <col min="9224" max="9224" width="57.7109375" style="78" customWidth="1"/>
    <col min="9225" max="9225" width="5.140625" style="78" customWidth="1"/>
    <col min="9226" max="9226" width="12.140625" style="78" customWidth="1"/>
    <col min="9227" max="9227" width="14.421875" style="78" customWidth="1"/>
    <col min="9228" max="9228" width="20.7109375" style="78" customWidth="1"/>
    <col min="9229" max="9229" width="84.140625" style="78" customWidth="1"/>
    <col min="9230" max="9230" width="14.00390625" style="78" bestFit="1" customWidth="1"/>
    <col min="9231" max="9472" width="9.28125" style="78" customWidth="1"/>
    <col min="9473" max="9477" width="9.140625" style="78" hidden="1" customWidth="1"/>
    <col min="9478" max="9478" width="6.28125" style="78" customWidth="1"/>
    <col min="9479" max="9479" width="16.421875" style="78" customWidth="1"/>
    <col min="9480" max="9480" width="57.7109375" style="78" customWidth="1"/>
    <col min="9481" max="9481" width="5.140625" style="78" customWidth="1"/>
    <col min="9482" max="9482" width="12.140625" style="78" customWidth="1"/>
    <col min="9483" max="9483" width="14.421875" style="78" customWidth="1"/>
    <col min="9484" max="9484" width="20.7109375" style="78" customWidth="1"/>
    <col min="9485" max="9485" width="84.140625" style="78" customWidth="1"/>
    <col min="9486" max="9486" width="14.00390625" style="78" bestFit="1" customWidth="1"/>
    <col min="9487" max="9728" width="9.28125" style="78" customWidth="1"/>
    <col min="9729" max="9733" width="9.140625" style="78" hidden="1" customWidth="1"/>
    <col min="9734" max="9734" width="6.28125" style="78" customWidth="1"/>
    <col min="9735" max="9735" width="16.421875" style="78" customWidth="1"/>
    <col min="9736" max="9736" width="57.7109375" style="78" customWidth="1"/>
    <col min="9737" max="9737" width="5.140625" style="78" customWidth="1"/>
    <col min="9738" max="9738" width="12.140625" style="78" customWidth="1"/>
    <col min="9739" max="9739" width="14.421875" style="78" customWidth="1"/>
    <col min="9740" max="9740" width="20.7109375" style="78" customWidth="1"/>
    <col min="9741" max="9741" width="84.140625" style="78" customWidth="1"/>
    <col min="9742" max="9742" width="14.00390625" style="78" bestFit="1" customWidth="1"/>
    <col min="9743" max="9984" width="9.28125" style="78" customWidth="1"/>
    <col min="9985" max="9989" width="9.140625" style="78" hidden="1" customWidth="1"/>
    <col min="9990" max="9990" width="6.28125" style="78" customWidth="1"/>
    <col min="9991" max="9991" width="16.421875" style="78" customWidth="1"/>
    <col min="9992" max="9992" width="57.7109375" style="78" customWidth="1"/>
    <col min="9993" max="9993" width="5.140625" style="78" customWidth="1"/>
    <col min="9994" max="9994" width="12.140625" style="78" customWidth="1"/>
    <col min="9995" max="9995" width="14.421875" style="78" customWidth="1"/>
    <col min="9996" max="9996" width="20.7109375" style="78" customWidth="1"/>
    <col min="9997" max="9997" width="84.140625" style="78" customWidth="1"/>
    <col min="9998" max="9998" width="14.00390625" style="78" bestFit="1" customWidth="1"/>
    <col min="9999" max="10240" width="9.28125" style="78" customWidth="1"/>
    <col min="10241" max="10245" width="9.140625" style="78" hidden="1" customWidth="1"/>
    <col min="10246" max="10246" width="6.28125" style="78" customWidth="1"/>
    <col min="10247" max="10247" width="16.421875" style="78" customWidth="1"/>
    <col min="10248" max="10248" width="57.7109375" style="78" customWidth="1"/>
    <col min="10249" max="10249" width="5.140625" style="78" customWidth="1"/>
    <col min="10250" max="10250" width="12.140625" style="78" customWidth="1"/>
    <col min="10251" max="10251" width="14.421875" style="78" customWidth="1"/>
    <col min="10252" max="10252" width="20.7109375" style="78" customWidth="1"/>
    <col min="10253" max="10253" width="84.140625" style="78" customWidth="1"/>
    <col min="10254" max="10254" width="14.00390625" style="78" bestFit="1" customWidth="1"/>
    <col min="10255" max="10496" width="9.28125" style="78" customWidth="1"/>
    <col min="10497" max="10501" width="9.140625" style="78" hidden="1" customWidth="1"/>
    <col min="10502" max="10502" width="6.28125" style="78" customWidth="1"/>
    <col min="10503" max="10503" width="16.421875" style="78" customWidth="1"/>
    <col min="10504" max="10504" width="57.7109375" style="78" customWidth="1"/>
    <col min="10505" max="10505" width="5.140625" style="78" customWidth="1"/>
    <col min="10506" max="10506" width="12.140625" style="78" customWidth="1"/>
    <col min="10507" max="10507" width="14.421875" style="78" customWidth="1"/>
    <col min="10508" max="10508" width="20.7109375" style="78" customWidth="1"/>
    <col min="10509" max="10509" width="84.140625" style="78" customWidth="1"/>
    <col min="10510" max="10510" width="14.00390625" style="78" bestFit="1" customWidth="1"/>
    <col min="10511" max="10752" width="9.28125" style="78" customWidth="1"/>
    <col min="10753" max="10757" width="9.140625" style="78" hidden="1" customWidth="1"/>
    <col min="10758" max="10758" width="6.28125" style="78" customWidth="1"/>
    <col min="10759" max="10759" width="16.421875" style="78" customWidth="1"/>
    <col min="10760" max="10760" width="57.7109375" style="78" customWidth="1"/>
    <col min="10761" max="10761" width="5.140625" style="78" customWidth="1"/>
    <col min="10762" max="10762" width="12.140625" style="78" customWidth="1"/>
    <col min="10763" max="10763" width="14.421875" style="78" customWidth="1"/>
    <col min="10764" max="10764" width="20.7109375" style="78" customWidth="1"/>
    <col min="10765" max="10765" width="84.140625" style="78" customWidth="1"/>
    <col min="10766" max="10766" width="14.00390625" style="78" bestFit="1" customWidth="1"/>
    <col min="10767" max="11008" width="9.28125" style="78" customWidth="1"/>
    <col min="11009" max="11013" width="9.140625" style="78" hidden="1" customWidth="1"/>
    <col min="11014" max="11014" width="6.28125" style="78" customWidth="1"/>
    <col min="11015" max="11015" width="16.421875" style="78" customWidth="1"/>
    <col min="11016" max="11016" width="57.7109375" style="78" customWidth="1"/>
    <col min="11017" max="11017" width="5.140625" style="78" customWidth="1"/>
    <col min="11018" max="11018" width="12.140625" style="78" customWidth="1"/>
    <col min="11019" max="11019" width="14.421875" style="78" customWidth="1"/>
    <col min="11020" max="11020" width="20.7109375" style="78" customWidth="1"/>
    <col min="11021" max="11021" width="84.140625" style="78" customWidth="1"/>
    <col min="11022" max="11022" width="14.00390625" style="78" bestFit="1" customWidth="1"/>
    <col min="11023" max="11264" width="9.28125" style="78" customWidth="1"/>
    <col min="11265" max="11269" width="9.140625" style="78" hidden="1" customWidth="1"/>
    <col min="11270" max="11270" width="6.28125" style="78" customWidth="1"/>
    <col min="11271" max="11271" width="16.421875" style="78" customWidth="1"/>
    <col min="11272" max="11272" width="57.7109375" style="78" customWidth="1"/>
    <col min="11273" max="11273" width="5.140625" style="78" customWidth="1"/>
    <col min="11274" max="11274" width="12.140625" style="78" customWidth="1"/>
    <col min="11275" max="11275" width="14.421875" style="78" customWidth="1"/>
    <col min="11276" max="11276" width="20.7109375" style="78" customWidth="1"/>
    <col min="11277" max="11277" width="84.140625" style="78" customWidth="1"/>
    <col min="11278" max="11278" width="14.00390625" style="78" bestFit="1" customWidth="1"/>
    <col min="11279" max="11520" width="9.28125" style="78" customWidth="1"/>
    <col min="11521" max="11525" width="9.140625" style="78" hidden="1" customWidth="1"/>
    <col min="11526" max="11526" width="6.28125" style="78" customWidth="1"/>
    <col min="11527" max="11527" width="16.421875" style="78" customWidth="1"/>
    <col min="11528" max="11528" width="57.7109375" style="78" customWidth="1"/>
    <col min="11529" max="11529" width="5.140625" style="78" customWidth="1"/>
    <col min="11530" max="11530" width="12.140625" style="78" customWidth="1"/>
    <col min="11531" max="11531" width="14.421875" style="78" customWidth="1"/>
    <col min="11532" max="11532" width="20.7109375" style="78" customWidth="1"/>
    <col min="11533" max="11533" width="84.140625" style="78" customWidth="1"/>
    <col min="11534" max="11534" width="14.00390625" style="78" bestFit="1" customWidth="1"/>
    <col min="11535" max="11776" width="9.28125" style="78" customWidth="1"/>
    <col min="11777" max="11781" width="9.140625" style="78" hidden="1" customWidth="1"/>
    <col min="11782" max="11782" width="6.28125" style="78" customWidth="1"/>
    <col min="11783" max="11783" width="16.421875" style="78" customWidth="1"/>
    <col min="11784" max="11784" width="57.7109375" style="78" customWidth="1"/>
    <col min="11785" max="11785" width="5.140625" style="78" customWidth="1"/>
    <col min="11786" max="11786" width="12.140625" style="78" customWidth="1"/>
    <col min="11787" max="11787" width="14.421875" style="78" customWidth="1"/>
    <col min="11788" max="11788" width="20.7109375" style="78" customWidth="1"/>
    <col min="11789" max="11789" width="84.140625" style="78" customWidth="1"/>
    <col min="11790" max="11790" width="14.00390625" style="78" bestFit="1" customWidth="1"/>
    <col min="11791" max="12032" width="9.28125" style="78" customWidth="1"/>
    <col min="12033" max="12037" width="9.140625" style="78" hidden="1" customWidth="1"/>
    <col min="12038" max="12038" width="6.28125" style="78" customWidth="1"/>
    <col min="12039" max="12039" width="16.421875" style="78" customWidth="1"/>
    <col min="12040" max="12040" width="57.7109375" style="78" customWidth="1"/>
    <col min="12041" max="12041" width="5.140625" style="78" customWidth="1"/>
    <col min="12042" max="12042" width="12.140625" style="78" customWidth="1"/>
    <col min="12043" max="12043" width="14.421875" style="78" customWidth="1"/>
    <col min="12044" max="12044" width="20.7109375" style="78" customWidth="1"/>
    <col min="12045" max="12045" width="84.140625" style="78" customWidth="1"/>
    <col min="12046" max="12046" width="14.00390625" style="78" bestFit="1" customWidth="1"/>
    <col min="12047" max="12288" width="9.28125" style="78" customWidth="1"/>
    <col min="12289" max="12293" width="9.140625" style="78" hidden="1" customWidth="1"/>
    <col min="12294" max="12294" width="6.28125" style="78" customWidth="1"/>
    <col min="12295" max="12295" width="16.421875" style="78" customWidth="1"/>
    <col min="12296" max="12296" width="57.7109375" style="78" customWidth="1"/>
    <col min="12297" max="12297" width="5.140625" style="78" customWidth="1"/>
    <col min="12298" max="12298" width="12.140625" style="78" customWidth="1"/>
    <col min="12299" max="12299" width="14.421875" style="78" customWidth="1"/>
    <col min="12300" max="12300" width="20.7109375" style="78" customWidth="1"/>
    <col min="12301" max="12301" width="84.140625" style="78" customWidth="1"/>
    <col min="12302" max="12302" width="14.00390625" style="78" bestFit="1" customWidth="1"/>
    <col min="12303" max="12544" width="9.28125" style="78" customWidth="1"/>
    <col min="12545" max="12549" width="9.140625" style="78" hidden="1" customWidth="1"/>
    <col min="12550" max="12550" width="6.28125" style="78" customWidth="1"/>
    <col min="12551" max="12551" width="16.421875" style="78" customWidth="1"/>
    <col min="12552" max="12552" width="57.7109375" style="78" customWidth="1"/>
    <col min="12553" max="12553" width="5.140625" style="78" customWidth="1"/>
    <col min="12554" max="12554" width="12.140625" style="78" customWidth="1"/>
    <col min="12555" max="12555" width="14.421875" style="78" customWidth="1"/>
    <col min="12556" max="12556" width="20.7109375" style="78" customWidth="1"/>
    <col min="12557" max="12557" width="84.140625" style="78" customWidth="1"/>
    <col min="12558" max="12558" width="14.00390625" style="78" bestFit="1" customWidth="1"/>
    <col min="12559" max="12800" width="9.28125" style="78" customWidth="1"/>
    <col min="12801" max="12805" width="9.140625" style="78" hidden="1" customWidth="1"/>
    <col min="12806" max="12806" width="6.28125" style="78" customWidth="1"/>
    <col min="12807" max="12807" width="16.421875" style="78" customWidth="1"/>
    <col min="12808" max="12808" width="57.7109375" style="78" customWidth="1"/>
    <col min="12809" max="12809" width="5.140625" style="78" customWidth="1"/>
    <col min="12810" max="12810" width="12.140625" style="78" customWidth="1"/>
    <col min="12811" max="12811" width="14.421875" style="78" customWidth="1"/>
    <col min="12812" max="12812" width="20.7109375" style="78" customWidth="1"/>
    <col min="12813" max="12813" width="84.140625" style="78" customWidth="1"/>
    <col min="12814" max="12814" width="14.00390625" style="78" bestFit="1" customWidth="1"/>
    <col min="12815" max="13056" width="9.28125" style="78" customWidth="1"/>
    <col min="13057" max="13061" width="9.140625" style="78" hidden="1" customWidth="1"/>
    <col min="13062" max="13062" width="6.28125" style="78" customWidth="1"/>
    <col min="13063" max="13063" width="16.421875" style="78" customWidth="1"/>
    <col min="13064" max="13064" width="57.7109375" style="78" customWidth="1"/>
    <col min="13065" max="13065" width="5.140625" style="78" customWidth="1"/>
    <col min="13066" max="13066" width="12.140625" style="78" customWidth="1"/>
    <col min="13067" max="13067" width="14.421875" style="78" customWidth="1"/>
    <col min="13068" max="13068" width="20.7109375" style="78" customWidth="1"/>
    <col min="13069" max="13069" width="84.140625" style="78" customWidth="1"/>
    <col min="13070" max="13070" width="14.00390625" style="78" bestFit="1" customWidth="1"/>
    <col min="13071" max="13312" width="9.28125" style="78" customWidth="1"/>
    <col min="13313" max="13317" width="9.140625" style="78" hidden="1" customWidth="1"/>
    <col min="13318" max="13318" width="6.28125" style="78" customWidth="1"/>
    <col min="13319" max="13319" width="16.421875" style="78" customWidth="1"/>
    <col min="13320" max="13320" width="57.7109375" style="78" customWidth="1"/>
    <col min="13321" max="13321" width="5.140625" style="78" customWidth="1"/>
    <col min="13322" max="13322" width="12.140625" style="78" customWidth="1"/>
    <col min="13323" max="13323" width="14.421875" style="78" customWidth="1"/>
    <col min="13324" max="13324" width="20.7109375" style="78" customWidth="1"/>
    <col min="13325" max="13325" width="84.140625" style="78" customWidth="1"/>
    <col min="13326" max="13326" width="14.00390625" style="78" bestFit="1" customWidth="1"/>
    <col min="13327" max="13568" width="9.28125" style="78" customWidth="1"/>
    <col min="13569" max="13573" width="9.140625" style="78" hidden="1" customWidth="1"/>
    <col min="13574" max="13574" width="6.28125" style="78" customWidth="1"/>
    <col min="13575" max="13575" width="16.421875" style="78" customWidth="1"/>
    <col min="13576" max="13576" width="57.7109375" style="78" customWidth="1"/>
    <col min="13577" max="13577" width="5.140625" style="78" customWidth="1"/>
    <col min="13578" max="13578" width="12.140625" style="78" customWidth="1"/>
    <col min="13579" max="13579" width="14.421875" style="78" customWidth="1"/>
    <col min="13580" max="13580" width="20.7109375" style="78" customWidth="1"/>
    <col min="13581" max="13581" width="84.140625" style="78" customWidth="1"/>
    <col min="13582" max="13582" width="14.00390625" style="78" bestFit="1" customWidth="1"/>
    <col min="13583" max="13824" width="9.28125" style="78" customWidth="1"/>
    <col min="13825" max="13829" width="9.140625" style="78" hidden="1" customWidth="1"/>
    <col min="13830" max="13830" width="6.28125" style="78" customWidth="1"/>
    <col min="13831" max="13831" width="16.421875" style="78" customWidth="1"/>
    <col min="13832" max="13832" width="57.7109375" style="78" customWidth="1"/>
    <col min="13833" max="13833" width="5.140625" style="78" customWidth="1"/>
    <col min="13834" max="13834" width="12.140625" style="78" customWidth="1"/>
    <col min="13835" max="13835" width="14.421875" style="78" customWidth="1"/>
    <col min="13836" max="13836" width="20.7109375" style="78" customWidth="1"/>
    <col min="13837" max="13837" width="84.140625" style="78" customWidth="1"/>
    <col min="13838" max="13838" width="14.00390625" style="78" bestFit="1" customWidth="1"/>
    <col min="13839" max="14080" width="9.28125" style="78" customWidth="1"/>
    <col min="14081" max="14085" width="9.140625" style="78" hidden="1" customWidth="1"/>
    <col min="14086" max="14086" width="6.28125" style="78" customWidth="1"/>
    <col min="14087" max="14087" width="16.421875" style="78" customWidth="1"/>
    <col min="14088" max="14088" width="57.7109375" style="78" customWidth="1"/>
    <col min="14089" max="14089" width="5.140625" style="78" customWidth="1"/>
    <col min="14090" max="14090" width="12.140625" style="78" customWidth="1"/>
    <col min="14091" max="14091" width="14.421875" style="78" customWidth="1"/>
    <col min="14092" max="14092" width="20.7109375" style="78" customWidth="1"/>
    <col min="14093" max="14093" width="84.140625" style="78" customWidth="1"/>
    <col min="14094" max="14094" width="14.00390625" style="78" bestFit="1" customWidth="1"/>
    <col min="14095" max="14336" width="9.28125" style="78" customWidth="1"/>
    <col min="14337" max="14341" width="9.140625" style="78" hidden="1" customWidth="1"/>
    <col min="14342" max="14342" width="6.28125" style="78" customWidth="1"/>
    <col min="14343" max="14343" width="16.421875" style="78" customWidth="1"/>
    <col min="14344" max="14344" width="57.7109375" style="78" customWidth="1"/>
    <col min="14345" max="14345" width="5.140625" style="78" customWidth="1"/>
    <col min="14346" max="14346" width="12.140625" style="78" customWidth="1"/>
    <col min="14347" max="14347" width="14.421875" style="78" customWidth="1"/>
    <col min="14348" max="14348" width="20.7109375" style="78" customWidth="1"/>
    <col min="14349" max="14349" width="84.140625" style="78" customWidth="1"/>
    <col min="14350" max="14350" width="14.00390625" style="78" bestFit="1" customWidth="1"/>
    <col min="14351" max="14592" width="9.28125" style="78" customWidth="1"/>
    <col min="14593" max="14597" width="9.140625" style="78" hidden="1" customWidth="1"/>
    <col min="14598" max="14598" width="6.28125" style="78" customWidth="1"/>
    <col min="14599" max="14599" width="16.421875" style="78" customWidth="1"/>
    <col min="14600" max="14600" width="57.7109375" style="78" customWidth="1"/>
    <col min="14601" max="14601" width="5.140625" style="78" customWidth="1"/>
    <col min="14602" max="14602" width="12.140625" style="78" customWidth="1"/>
    <col min="14603" max="14603" width="14.421875" style="78" customWidth="1"/>
    <col min="14604" max="14604" width="20.7109375" style="78" customWidth="1"/>
    <col min="14605" max="14605" width="84.140625" style="78" customWidth="1"/>
    <col min="14606" max="14606" width="14.00390625" style="78" bestFit="1" customWidth="1"/>
    <col min="14607" max="14848" width="9.28125" style="78" customWidth="1"/>
    <col min="14849" max="14853" width="9.140625" style="78" hidden="1" customWidth="1"/>
    <col min="14854" max="14854" width="6.28125" style="78" customWidth="1"/>
    <col min="14855" max="14855" width="16.421875" style="78" customWidth="1"/>
    <col min="14856" max="14856" width="57.7109375" style="78" customWidth="1"/>
    <col min="14857" max="14857" width="5.140625" style="78" customWidth="1"/>
    <col min="14858" max="14858" width="12.140625" style="78" customWidth="1"/>
    <col min="14859" max="14859" width="14.421875" style="78" customWidth="1"/>
    <col min="14860" max="14860" width="20.7109375" style="78" customWidth="1"/>
    <col min="14861" max="14861" width="84.140625" style="78" customWidth="1"/>
    <col min="14862" max="14862" width="14.00390625" style="78" bestFit="1" customWidth="1"/>
    <col min="14863" max="15104" width="9.28125" style="78" customWidth="1"/>
    <col min="15105" max="15109" width="9.140625" style="78" hidden="1" customWidth="1"/>
    <col min="15110" max="15110" width="6.28125" style="78" customWidth="1"/>
    <col min="15111" max="15111" width="16.421875" style="78" customWidth="1"/>
    <col min="15112" max="15112" width="57.7109375" style="78" customWidth="1"/>
    <col min="15113" max="15113" width="5.140625" style="78" customWidth="1"/>
    <col min="15114" max="15114" width="12.140625" style="78" customWidth="1"/>
    <col min="15115" max="15115" width="14.421875" style="78" customWidth="1"/>
    <col min="15116" max="15116" width="20.7109375" style="78" customWidth="1"/>
    <col min="15117" max="15117" width="84.140625" style="78" customWidth="1"/>
    <col min="15118" max="15118" width="14.00390625" style="78" bestFit="1" customWidth="1"/>
    <col min="15119" max="15360" width="9.28125" style="78" customWidth="1"/>
    <col min="15361" max="15365" width="9.140625" style="78" hidden="1" customWidth="1"/>
    <col min="15366" max="15366" width="6.28125" style="78" customWidth="1"/>
    <col min="15367" max="15367" width="16.421875" style="78" customWidth="1"/>
    <col min="15368" max="15368" width="57.7109375" style="78" customWidth="1"/>
    <col min="15369" max="15369" width="5.140625" style="78" customWidth="1"/>
    <col min="15370" max="15370" width="12.140625" style="78" customWidth="1"/>
    <col min="15371" max="15371" width="14.421875" style="78" customWidth="1"/>
    <col min="15372" max="15372" width="20.7109375" style="78" customWidth="1"/>
    <col min="15373" max="15373" width="84.140625" style="78" customWidth="1"/>
    <col min="15374" max="15374" width="14.00390625" style="78" bestFit="1" customWidth="1"/>
    <col min="15375" max="15616" width="9.28125" style="78" customWidth="1"/>
    <col min="15617" max="15621" width="9.140625" style="78" hidden="1" customWidth="1"/>
    <col min="15622" max="15622" width="6.28125" style="78" customWidth="1"/>
    <col min="15623" max="15623" width="16.421875" style="78" customWidth="1"/>
    <col min="15624" max="15624" width="57.7109375" style="78" customWidth="1"/>
    <col min="15625" max="15625" width="5.140625" style="78" customWidth="1"/>
    <col min="15626" max="15626" width="12.140625" style="78" customWidth="1"/>
    <col min="15627" max="15627" width="14.421875" style="78" customWidth="1"/>
    <col min="15628" max="15628" width="20.7109375" style="78" customWidth="1"/>
    <col min="15629" max="15629" width="84.140625" style="78" customWidth="1"/>
    <col min="15630" max="15630" width="14.00390625" style="78" bestFit="1" customWidth="1"/>
    <col min="15631" max="15872" width="9.28125" style="78" customWidth="1"/>
    <col min="15873" max="15877" width="9.140625" style="78" hidden="1" customWidth="1"/>
    <col min="15878" max="15878" width="6.28125" style="78" customWidth="1"/>
    <col min="15879" max="15879" width="16.421875" style="78" customWidth="1"/>
    <col min="15880" max="15880" width="57.7109375" style="78" customWidth="1"/>
    <col min="15881" max="15881" width="5.140625" style="78" customWidth="1"/>
    <col min="15882" max="15882" width="12.140625" style="78" customWidth="1"/>
    <col min="15883" max="15883" width="14.421875" style="78" customWidth="1"/>
    <col min="15884" max="15884" width="20.7109375" style="78" customWidth="1"/>
    <col min="15885" max="15885" width="84.140625" style="78" customWidth="1"/>
    <col min="15886" max="15886" width="14.00390625" style="78" bestFit="1" customWidth="1"/>
    <col min="15887" max="16128" width="9.28125" style="78" customWidth="1"/>
    <col min="16129" max="16133" width="9.140625" style="78" hidden="1" customWidth="1"/>
    <col min="16134" max="16134" width="6.28125" style="78" customWidth="1"/>
    <col min="16135" max="16135" width="16.421875" style="78" customWidth="1"/>
    <col min="16136" max="16136" width="57.7109375" style="78" customWidth="1"/>
    <col min="16137" max="16137" width="5.140625" style="78" customWidth="1"/>
    <col min="16138" max="16138" width="12.140625" style="78" customWidth="1"/>
    <col min="16139" max="16139" width="14.421875" style="78" customWidth="1"/>
    <col min="16140" max="16140" width="20.7109375" style="78" customWidth="1"/>
    <col min="16141" max="16141" width="84.140625" style="78" customWidth="1"/>
    <col min="16142" max="16142" width="14.00390625" style="78" bestFit="1" customWidth="1"/>
    <col min="16143" max="16384" width="9.28125" style="78" customWidth="1"/>
  </cols>
  <sheetData>
    <row r="2" spans="7:12" ht="21" customHeight="1">
      <c r="G2" s="838" t="s">
        <v>15</v>
      </c>
      <c r="H2" s="838"/>
      <c r="I2" s="838"/>
      <c r="J2" s="838"/>
      <c r="K2" s="838"/>
      <c r="L2" s="838"/>
    </row>
    <row r="3" spans="7:12" ht="21" customHeight="1">
      <c r="G3" s="838" t="s">
        <v>3623</v>
      </c>
      <c r="H3" s="838"/>
      <c r="I3" s="511"/>
      <c r="J3" s="511"/>
      <c r="K3" s="511"/>
      <c r="L3" s="511"/>
    </row>
    <row r="4" spans="7:12" ht="15.75">
      <c r="G4" s="838" t="s">
        <v>3524</v>
      </c>
      <c r="H4" s="838"/>
      <c r="I4" s="838"/>
      <c r="J4" s="838"/>
      <c r="K4" s="838"/>
      <c r="L4" s="838"/>
    </row>
    <row r="5" spans="7:12" ht="12">
      <c r="G5" s="512" t="s">
        <v>3627</v>
      </c>
      <c r="L5" s="517">
        <f>L14</f>
        <v>0</v>
      </c>
    </row>
    <row r="6" spans="7:12" ht="12">
      <c r="G6" s="512" t="s">
        <v>3853</v>
      </c>
      <c r="L6" s="517">
        <f>L34</f>
        <v>0</v>
      </c>
    </row>
    <row r="7" spans="7:12" ht="12">
      <c r="G7" s="512" t="s">
        <v>3639</v>
      </c>
      <c r="L7" s="517">
        <f>L53</f>
        <v>0</v>
      </c>
    </row>
    <row r="8" spans="7:12" ht="13.5" thickBot="1">
      <c r="G8" s="512" t="s">
        <v>3644</v>
      </c>
      <c r="L8" s="517">
        <f>L64</f>
        <v>0</v>
      </c>
    </row>
    <row r="9" spans="6:18" s="525" customFormat="1" ht="15.75" thickTop="1">
      <c r="F9" s="518"/>
      <c r="G9" s="519" t="s">
        <v>3529</v>
      </c>
      <c r="H9" s="520"/>
      <c r="I9" s="521"/>
      <c r="J9" s="522"/>
      <c r="K9" s="523"/>
      <c r="L9" s="524">
        <f>SUM(L5:L8)</f>
        <v>0</v>
      </c>
      <c r="M9" s="839"/>
      <c r="N9" s="839"/>
      <c r="O9" s="839"/>
      <c r="P9" s="839"/>
      <c r="Q9" s="839"/>
      <c r="R9" s="839"/>
    </row>
    <row r="10" spans="7:12" ht="15">
      <c r="G10" s="512"/>
      <c r="J10" s="526"/>
      <c r="L10" s="527"/>
    </row>
    <row r="11" spans="6:14" s="533" customFormat="1" ht="13.5" thickBot="1">
      <c r="F11" s="528" t="s">
        <v>3530</v>
      </c>
      <c r="G11" s="529" t="s">
        <v>58</v>
      </c>
      <c r="H11" s="530" t="s">
        <v>59</v>
      </c>
      <c r="I11" s="531" t="s">
        <v>133</v>
      </c>
      <c r="J11" s="528" t="s">
        <v>3846</v>
      </c>
      <c r="K11" s="532" t="s">
        <v>3844</v>
      </c>
      <c r="L11" s="532" t="s">
        <v>3845</v>
      </c>
      <c r="N11" s="533">
        <f>SUM(N13:N63)</f>
        <v>13.5446964</v>
      </c>
    </row>
    <row r="12" spans="6:12" s="543" customFormat="1" ht="18.75" customHeight="1">
      <c r="F12" s="538"/>
      <c r="G12" s="539"/>
      <c r="H12" s="539"/>
      <c r="I12" s="540"/>
      <c r="J12" s="541"/>
      <c r="K12" s="542"/>
      <c r="L12" s="542"/>
    </row>
    <row r="13" spans="6:12" s="554" customFormat="1" ht="12" outlineLevel="2">
      <c r="F13" s="555"/>
      <c r="G13" s="556"/>
      <c r="H13" s="557"/>
      <c r="I13" s="558"/>
      <c r="J13" s="559"/>
      <c r="K13" s="560" t="s">
        <v>3536</v>
      </c>
      <c r="L13" s="561"/>
    </row>
    <row r="14" spans="8:13" ht="13.5" customHeight="1">
      <c r="H14" s="512" t="s">
        <v>3627</v>
      </c>
      <c r="L14" s="527">
        <f>SUM(L15:L32)</f>
        <v>0</v>
      </c>
      <c r="M14" s="563"/>
    </row>
    <row r="15" spans="6:12" s="586" customFormat="1" ht="24">
      <c r="F15" s="582">
        <v>1</v>
      </c>
      <c r="G15" s="583" t="s">
        <v>3537</v>
      </c>
      <c r="H15" s="574" t="s">
        <v>3625</v>
      </c>
      <c r="I15" s="584" t="s">
        <v>151</v>
      </c>
      <c r="J15" s="575">
        <f>6*3</f>
        <v>18</v>
      </c>
      <c r="K15" s="592"/>
      <c r="L15" s="585">
        <f aca="true" t="shared" si="0" ref="L15:L58">J15*K15</f>
        <v>0</v>
      </c>
    </row>
    <row r="16" spans="6:12" s="586" customFormat="1" ht="12">
      <c r="F16" s="582"/>
      <c r="G16" s="587"/>
      <c r="H16" s="588" t="s">
        <v>3624</v>
      </c>
      <c r="I16" s="589"/>
      <c r="J16" s="590"/>
      <c r="K16" s="592"/>
      <c r="L16" s="585"/>
    </row>
    <row r="17" spans="6:12" s="586" customFormat="1" ht="24">
      <c r="F17" s="582">
        <f>A15:F15+1</f>
        <v>2</v>
      </c>
      <c r="G17" s="583" t="s">
        <v>3540</v>
      </c>
      <c r="H17" s="574" t="s">
        <v>3541</v>
      </c>
      <c r="I17" s="584" t="s">
        <v>151</v>
      </c>
      <c r="J17" s="575">
        <f>6*3</f>
        <v>18</v>
      </c>
      <c r="K17" s="592"/>
      <c r="L17" s="585">
        <f t="shared" si="0"/>
        <v>0</v>
      </c>
    </row>
    <row r="18" spans="6:12" s="586" customFormat="1" ht="12">
      <c r="F18" s="582"/>
      <c r="G18" s="587"/>
      <c r="H18" s="588" t="s">
        <v>3624</v>
      </c>
      <c r="I18" s="589"/>
      <c r="J18" s="590"/>
      <c r="K18" s="592"/>
      <c r="L18" s="585"/>
    </row>
    <row r="19" spans="6:12" s="586" customFormat="1" ht="12">
      <c r="F19" s="582">
        <f>A17:F17+1</f>
        <v>3</v>
      </c>
      <c r="G19" s="583"/>
      <c r="H19" s="574" t="s">
        <v>3942</v>
      </c>
      <c r="I19" s="584" t="s">
        <v>151</v>
      </c>
      <c r="J19" s="575">
        <f>6*3</f>
        <v>18</v>
      </c>
      <c r="K19" s="592"/>
      <c r="L19" s="585">
        <f aca="true" t="shared" si="1" ref="L19">J19*K19</f>
        <v>0</v>
      </c>
    </row>
    <row r="20" spans="6:14" s="586" customFormat="1" ht="24">
      <c r="F20" s="582">
        <f>A19:F19+1</f>
        <v>4</v>
      </c>
      <c r="G20" s="583"/>
      <c r="H20" s="574" t="s">
        <v>3626</v>
      </c>
      <c r="I20" s="584" t="s">
        <v>162</v>
      </c>
      <c r="J20" s="575">
        <f>(5.4*2.4-0.6*0.6)*0.1</f>
        <v>1.2600000000000002</v>
      </c>
      <c r="K20" s="592"/>
      <c r="L20" s="585">
        <f t="shared" si="0"/>
        <v>0</v>
      </c>
      <c r="M20" s="586">
        <v>2.3</v>
      </c>
      <c r="N20" s="586">
        <f>M20*J20</f>
        <v>2.898</v>
      </c>
    </row>
    <row r="21" spans="6:12" s="586" customFormat="1" ht="12">
      <c r="F21" s="582"/>
      <c r="G21" s="587"/>
      <c r="H21" s="588" t="s">
        <v>3628</v>
      </c>
      <c r="I21" s="589"/>
      <c r="J21" s="590"/>
      <c r="K21" s="592"/>
      <c r="L21" s="585"/>
    </row>
    <row r="22" spans="6:12" s="586" customFormat="1" ht="12">
      <c r="F22" s="582">
        <f>A20:F20+1</f>
        <v>5</v>
      </c>
      <c r="G22" s="583"/>
      <c r="H22" s="574" t="s">
        <v>3939</v>
      </c>
      <c r="I22" s="584" t="s">
        <v>1361</v>
      </c>
      <c r="J22" s="575">
        <v>1</v>
      </c>
      <c r="K22" s="592"/>
      <c r="L22" s="585">
        <f t="shared" si="0"/>
        <v>0</v>
      </c>
    </row>
    <row r="23" spans="6:14" s="586" customFormat="1" ht="12">
      <c r="F23" s="582">
        <f>A22:F22+1</f>
        <v>6</v>
      </c>
      <c r="G23" s="583"/>
      <c r="H23" s="574" t="s">
        <v>3629</v>
      </c>
      <c r="I23" s="584" t="s">
        <v>162</v>
      </c>
      <c r="J23" s="575">
        <f>(4.8*2.1-0.6*0.6)*0.09</f>
        <v>0.8748</v>
      </c>
      <c r="K23" s="592"/>
      <c r="L23" s="585">
        <f t="shared" si="0"/>
        <v>0</v>
      </c>
      <c r="M23" s="586">
        <v>2.3</v>
      </c>
      <c r="N23" s="586">
        <f>M23*J23</f>
        <v>2.01204</v>
      </c>
    </row>
    <row r="24" spans="6:12" s="586" customFormat="1" ht="18" customHeight="1">
      <c r="F24" s="582"/>
      <c r="G24" s="583"/>
      <c r="H24" s="574" t="s">
        <v>3630</v>
      </c>
      <c r="I24" s="584"/>
      <c r="J24" s="575"/>
      <c r="K24" s="592"/>
      <c r="L24" s="585"/>
    </row>
    <row r="25" spans="6:14" s="586" customFormat="1" ht="24">
      <c r="F25" s="582">
        <f>F23+1</f>
        <v>7</v>
      </c>
      <c r="G25" s="583"/>
      <c r="H25" s="574" t="s">
        <v>3631</v>
      </c>
      <c r="I25" s="584" t="s">
        <v>162</v>
      </c>
      <c r="J25" s="575">
        <f>4.8*1.8+(4.8+1.8)*2*0.6</f>
        <v>16.56</v>
      </c>
      <c r="K25" s="592"/>
      <c r="L25" s="585">
        <f t="shared" si="0"/>
        <v>0</v>
      </c>
      <c r="M25" s="586">
        <v>0.006</v>
      </c>
      <c r="N25" s="586">
        <f>M25*J25</f>
        <v>0.09935999999999999</v>
      </c>
    </row>
    <row r="26" spans="6:12" s="586" customFormat="1" ht="12">
      <c r="F26" s="582"/>
      <c r="G26" s="583"/>
      <c r="H26" s="574" t="s">
        <v>3632</v>
      </c>
      <c r="I26" s="584"/>
      <c r="J26" s="575"/>
      <c r="K26" s="592"/>
      <c r="L26" s="585"/>
    </row>
    <row r="27" spans="6:12" s="586" customFormat="1" ht="12">
      <c r="F27" s="582">
        <f>A25:F25+1</f>
        <v>8</v>
      </c>
      <c r="G27" s="583"/>
      <c r="H27" s="574" t="s">
        <v>3633</v>
      </c>
      <c r="I27" s="584" t="s">
        <v>194</v>
      </c>
      <c r="J27" s="575">
        <f>(1.26+0.875)*2.3</f>
        <v>4.910499999999999</v>
      </c>
      <c r="K27" s="592"/>
      <c r="L27" s="585">
        <f t="shared" si="0"/>
        <v>0</v>
      </c>
    </row>
    <row r="28" spans="6:12" s="586" customFormat="1" ht="12">
      <c r="F28" s="582"/>
      <c r="G28" s="583"/>
      <c r="H28" s="574" t="s">
        <v>3634</v>
      </c>
      <c r="I28" s="584"/>
      <c r="J28" s="575"/>
      <c r="K28" s="592"/>
      <c r="L28" s="585"/>
    </row>
    <row r="29" spans="6:12" s="586" customFormat="1" ht="12">
      <c r="F29" s="591">
        <f>F27+1</f>
        <v>9</v>
      </c>
      <c r="G29" s="583"/>
      <c r="H29" s="574" t="s">
        <v>3635</v>
      </c>
      <c r="I29" s="584" t="s">
        <v>194</v>
      </c>
      <c r="J29" s="575">
        <f>J27</f>
        <v>4.910499999999999</v>
      </c>
      <c r="K29" s="592"/>
      <c r="L29" s="585">
        <f t="shared" si="0"/>
        <v>0</v>
      </c>
    </row>
    <row r="30" spans="6:12" s="586" customFormat="1" ht="24">
      <c r="F30" s="582">
        <f>A29:F29+1</f>
        <v>10</v>
      </c>
      <c r="G30" s="583"/>
      <c r="H30" s="574" t="s">
        <v>3792</v>
      </c>
      <c r="I30" s="584" t="s">
        <v>194</v>
      </c>
      <c r="J30" s="575">
        <f>16.56*0.006</f>
        <v>0.09935999999999999</v>
      </c>
      <c r="K30" s="592"/>
      <c r="L30" s="585">
        <f t="shared" si="0"/>
        <v>0</v>
      </c>
    </row>
    <row r="31" spans="6:12" s="586" customFormat="1" ht="12">
      <c r="F31" s="582"/>
      <c r="G31" s="583"/>
      <c r="H31" s="574" t="s">
        <v>3636</v>
      </c>
      <c r="I31" s="584"/>
      <c r="J31" s="575"/>
      <c r="K31" s="592"/>
      <c r="L31" s="585"/>
    </row>
    <row r="32" spans="6:12" s="586" customFormat="1" ht="12">
      <c r="F32" s="591">
        <f>F30+1</f>
        <v>11</v>
      </c>
      <c r="G32" s="583"/>
      <c r="H32" s="574" t="s">
        <v>3791</v>
      </c>
      <c r="I32" s="584" t="s">
        <v>883</v>
      </c>
      <c r="J32" s="575">
        <v>1</v>
      </c>
      <c r="K32" s="592"/>
      <c r="L32" s="585">
        <f t="shared" si="0"/>
        <v>0</v>
      </c>
    </row>
    <row r="33" spans="6:12" ht="12">
      <c r="F33" s="548"/>
      <c r="G33" s="565"/>
      <c r="H33" s="566"/>
      <c r="I33" s="567"/>
      <c r="J33" s="568"/>
      <c r="K33" s="580"/>
      <c r="L33" s="569"/>
    </row>
    <row r="34" spans="8:13" ht="13.5" customHeight="1">
      <c r="H34" s="512" t="s">
        <v>3853</v>
      </c>
      <c r="K34" s="579"/>
      <c r="L34" s="527">
        <f>SUM(L35:L51)</f>
        <v>0</v>
      </c>
      <c r="M34" s="563"/>
    </row>
    <row r="35" spans="6:14" ht="24">
      <c r="F35" s="564">
        <f>A32:F32+1</f>
        <v>12</v>
      </c>
      <c r="G35" s="565"/>
      <c r="H35" s="566" t="s">
        <v>3860</v>
      </c>
      <c r="I35" s="567" t="s">
        <v>151</v>
      </c>
      <c r="J35" s="568">
        <f>(4.8*2)*0.15</f>
        <v>1.44</v>
      </c>
      <c r="K35" s="580"/>
      <c r="L35" s="569">
        <f t="shared" si="0"/>
        <v>0</v>
      </c>
      <c r="M35" s="78">
        <v>2.3</v>
      </c>
      <c r="N35" s="78">
        <f>M35*J35</f>
        <v>3.312</v>
      </c>
    </row>
    <row r="36" spans="6:12" ht="12">
      <c r="F36" s="564"/>
      <c r="G36" s="565"/>
      <c r="H36" s="566" t="s">
        <v>3637</v>
      </c>
      <c r="I36" s="567"/>
      <c r="J36" s="568"/>
      <c r="K36" s="580"/>
      <c r="L36" s="569"/>
    </row>
    <row r="37" spans="6:12" ht="12">
      <c r="F37" s="564">
        <f>A35:F35+1</f>
        <v>13</v>
      </c>
      <c r="G37" s="565"/>
      <c r="H37" s="566" t="s">
        <v>3638</v>
      </c>
      <c r="I37" s="567" t="s">
        <v>1361</v>
      </c>
      <c r="J37" s="568">
        <v>2</v>
      </c>
      <c r="K37" s="580"/>
      <c r="L37" s="569">
        <f t="shared" si="0"/>
        <v>0</v>
      </c>
    </row>
    <row r="38" spans="6:14" ht="36">
      <c r="F38" s="564">
        <f>A37:F37+1</f>
        <v>14</v>
      </c>
      <c r="G38" s="565"/>
      <c r="H38" s="566" t="s">
        <v>3848</v>
      </c>
      <c r="I38" s="567" t="s">
        <v>1361</v>
      </c>
      <c r="J38" s="568">
        <v>1</v>
      </c>
      <c r="K38" s="580"/>
      <c r="L38" s="569">
        <f t="shared" si="0"/>
        <v>0</v>
      </c>
      <c r="M38" s="78">
        <f>2.4*2.39*2.09*0.22</f>
        <v>2.6374128</v>
      </c>
      <c r="N38" s="78">
        <f>M38*J38</f>
        <v>2.6374128</v>
      </c>
    </row>
    <row r="39" spans="6:14" ht="36">
      <c r="F39" s="564">
        <f>A38:F38+1</f>
        <v>15</v>
      </c>
      <c r="G39" s="565"/>
      <c r="H39" s="566" t="s">
        <v>3849</v>
      </c>
      <c r="I39" s="567" t="s">
        <v>1361</v>
      </c>
      <c r="J39" s="568">
        <v>1</v>
      </c>
      <c r="K39" s="580"/>
      <c r="L39" s="569">
        <f t="shared" si="0"/>
        <v>0</v>
      </c>
      <c r="M39" s="78">
        <f>(2.39*2.09-0.6*0.6)*0.22*2.4</f>
        <v>2.4473328</v>
      </c>
      <c r="N39" s="78">
        <f>M39*J39</f>
        <v>2.4473328</v>
      </c>
    </row>
    <row r="40" spans="6:12" ht="12">
      <c r="F40" s="564">
        <f>A39:F39+1</f>
        <v>16</v>
      </c>
      <c r="G40" s="565"/>
      <c r="H40" s="566" t="s">
        <v>3640</v>
      </c>
      <c r="I40" s="567" t="s">
        <v>162</v>
      </c>
      <c r="J40" s="568">
        <f>2.09*0.22*0.03+(5.4+2.4)*2*0.2*0.15</f>
        <v>0.48179400000000006</v>
      </c>
      <c r="K40" s="580"/>
      <c r="L40" s="569">
        <f aca="true" t="shared" si="2" ref="L40">J40*K40</f>
        <v>0</v>
      </c>
    </row>
    <row r="41" spans="6:12" ht="12">
      <c r="F41" s="564"/>
      <c r="G41" s="565"/>
      <c r="H41" s="566" t="s">
        <v>3641</v>
      </c>
      <c r="I41" s="567"/>
      <c r="J41" s="568"/>
      <c r="K41" s="580"/>
      <c r="L41" s="569"/>
    </row>
    <row r="42" spans="6:14" ht="36">
      <c r="F42" s="564">
        <f>A40:F40+1</f>
        <v>17</v>
      </c>
      <c r="G42" s="565"/>
      <c r="H42" s="566" t="s">
        <v>3937</v>
      </c>
      <c r="I42" s="567" t="s">
        <v>1361</v>
      </c>
      <c r="J42" s="568">
        <v>1</v>
      </c>
      <c r="K42" s="580"/>
      <c r="L42" s="569">
        <f aca="true" t="shared" si="3" ref="L42">J42*K42</f>
        <v>0</v>
      </c>
      <c r="M42" s="78">
        <f>(0.7*0.7-0.6*0.6)*0.15*2.3</f>
        <v>0.04484999999999998</v>
      </c>
      <c r="N42" s="78">
        <f>M42*J42</f>
        <v>0.04484999999999998</v>
      </c>
    </row>
    <row r="43" spans="6:12" ht="12">
      <c r="F43" s="582">
        <f>A42:F42+1</f>
        <v>18</v>
      </c>
      <c r="G43" s="565"/>
      <c r="H43" s="566" t="s">
        <v>3938</v>
      </c>
      <c r="I43" s="567" t="s">
        <v>1361</v>
      </c>
      <c r="J43" s="568">
        <v>1</v>
      </c>
      <c r="K43" s="580"/>
      <c r="L43" s="569">
        <f aca="true" t="shared" si="4" ref="L43">J43*K43</f>
        <v>0</v>
      </c>
    </row>
    <row r="44" spans="6:12" s="776" customFormat="1" ht="36">
      <c r="F44" s="582">
        <f>A43:F43+1</f>
        <v>19</v>
      </c>
      <c r="G44" s="565"/>
      <c r="H44" s="566" t="s">
        <v>3940</v>
      </c>
      <c r="I44" s="567" t="s">
        <v>1361</v>
      </c>
      <c r="J44" s="568">
        <v>9</v>
      </c>
      <c r="K44" s="580"/>
      <c r="L44" s="569">
        <f aca="true" t="shared" si="5" ref="L44">J44*K44</f>
        <v>0</v>
      </c>
    </row>
    <row r="45" spans="6:12" ht="24">
      <c r="F45" s="564">
        <f>A44:F44+1</f>
        <v>20</v>
      </c>
      <c r="G45" s="565"/>
      <c r="H45" s="566" t="s">
        <v>3854</v>
      </c>
      <c r="I45" s="567" t="s">
        <v>151</v>
      </c>
      <c r="J45" s="568">
        <f>1.8*4.8+2*(1.8+4.8)*2.8</f>
        <v>45.599999999999994</v>
      </c>
      <c r="K45" s="580"/>
      <c r="L45" s="569">
        <f aca="true" t="shared" si="6" ref="L45">J45*K45</f>
        <v>0</v>
      </c>
    </row>
    <row r="46" spans="6:12" s="213" customFormat="1" ht="12">
      <c r="F46" s="582"/>
      <c r="G46" s="565"/>
      <c r="H46" s="566" t="s">
        <v>3855</v>
      </c>
      <c r="I46" s="567"/>
      <c r="J46" s="568"/>
      <c r="K46" s="580"/>
      <c r="L46" s="569"/>
    </row>
    <row r="47" spans="6:12" s="213" customFormat="1" ht="24">
      <c r="F47" s="582">
        <f>F45+1</f>
        <v>21</v>
      </c>
      <c r="G47" s="565"/>
      <c r="H47" s="566" t="s">
        <v>3856</v>
      </c>
      <c r="I47" s="567" t="s">
        <v>151</v>
      </c>
      <c r="J47" s="568">
        <f>J45</f>
        <v>45.599999999999994</v>
      </c>
      <c r="K47" s="580"/>
      <c r="L47" s="569">
        <f aca="true" t="shared" si="7" ref="L47:L51">J47*K47</f>
        <v>0</v>
      </c>
    </row>
    <row r="48" spans="6:12" s="776" customFormat="1" ht="24">
      <c r="F48" s="564">
        <f>F47+1</f>
        <v>22</v>
      </c>
      <c r="G48" s="565"/>
      <c r="H48" s="566" t="s">
        <v>3941</v>
      </c>
      <c r="I48" s="567" t="s">
        <v>301</v>
      </c>
      <c r="J48" s="568">
        <v>1</v>
      </c>
      <c r="K48" s="580"/>
      <c r="L48" s="569">
        <f t="shared" si="7"/>
        <v>0</v>
      </c>
    </row>
    <row r="49" spans="6:12" s="776" customFormat="1" ht="24">
      <c r="F49" s="564">
        <f>F48+1</f>
        <v>23</v>
      </c>
      <c r="G49" s="565"/>
      <c r="H49" s="566" t="s">
        <v>3596</v>
      </c>
      <c r="I49" s="567" t="s">
        <v>301</v>
      </c>
      <c r="J49" s="568">
        <v>1</v>
      </c>
      <c r="K49" s="580"/>
      <c r="L49" s="569">
        <f>J49*K49</f>
        <v>0</v>
      </c>
    </row>
    <row r="50" spans="6:12" s="776" customFormat="1" ht="24">
      <c r="F50" s="564">
        <f aca="true" t="shared" si="8" ref="F50:F51">F49+1</f>
        <v>24</v>
      </c>
      <c r="G50" s="565"/>
      <c r="H50" s="566" t="s">
        <v>3595</v>
      </c>
      <c r="I50" s="567" t="s">
        <v>158</v>
      </c>
      <c r="J50" s="568">
        <v>0.35</v>
      </c>
      <c r="K50" s="580"/>
      <c r="L50" s="569">
        <f aca="true" t="shared" si="9" ref="L50">J50*K50</f>
        <v>0</v>
      </c>
    </row>
    <row r="51" spans="6:12" s="213" customFormat="1" ht="24">
      <c r="F51" s="564">
        <f t="shared" si="8"/>
        <v>25</v>
      </c>
      <c r="G51" s="565"/>
      <c r="H51" s="566" t="s">
        <v>3857</v>
      </c>
      <c r="I51" s="567" t="s">
        <v>883</v>
      </c>
      <c r="J51" s="568">
        <v>1</v>
      </c>
      <c r="K51" s="580"/>
      <c r="L51" s="569">
        <f t="shared" si="7"/>
        <v>0</v>
      </c>
    </row>
    <row r="52" spans="6:12" ht="12">
      <c r="F52" s="564"/>
      <c r="G52" s="565"/>
      <c r="H52" s="566"/>
      <c r="I52" s="567"/>
      <c r="J52" s="568"/>
      <c r="K52" s="580"/>
      <c r="L52" s="569"/>
    </row>
    <row r="53" spans="8:13" ht="13.5" customHeight="1">
      <c r="H53" s="512" t="s">
        <v>3639</v>
      </c>
      <c r="K53" s="579"/>
      <c r="L53" s="527">
        <f>SUM(L54:L62)</f>
        <v>0</v>
      </c>
      <c r="M53" s="563"/>
    </row>
    <row r="54" spans="6:12" ht="24">
      <c r="F54" s="564">
        <f>F51+1</f>
        <v>26</v>
      </c>
      <c r="G54" s="565"/>
      <c r="H54" s="566" t="s">
        <v>752</v>
      </c>
      <c r="I54" s="567" t="s">
        <v>151</v>
      </c>
      <c r="J54" s="568">
        <f>5.4*2.4</f>
        <v>12.96</v>
      </c>
      <c r="K54" s="580"/>
      <c r="L54" s="569">
        <f t="shared" si="0"/>
        <v>0</v>
      </c>
    </row>
    <row r="55" spans="6:12" ht="12">
      <c r="F55" s="564"/>
      <c r="G55" s="565"/>
      <c r="H55" s="566" t="s">
        <v>3793</v>
      </c>
      <c r="I55" s="567"/>
      <c r="J55" s="568"/>
      <c r="K55" s="580"/>
      <c r="L55" s="569"/>
    </row>
    <row r="56" spans="6:14" ht="12">
      <c r="F56" s="564">
        <f>A54:F54+1</f>
        <v>27</v>
      </c>
      <c r="G56" s="565"/>
      <c r="H56" s="364" t="s">
        <v>758</v>
      </c>
      <c r="I56" s="361" t="s">
        <v>194</v>
      </c>
      <c r="J56" s="362">
        <f>12.96*0.00033</f>
        <v>0.0042768</v>
      </c>
      <c r="K56" s="80"/>
      <c r="L56" s="569">
        <f t="shared" si="0"/>
        <v>0</v>
      </c>
      <c r="M56" s="78">
        <f>1</f>
        <v>1</v>
      </c>
      <c r="N56" s="78">
        <f>M56*J56</f>
        <v>0.0042768</v>
      </c>
    </row>
    <row r="57" spans="6:12" ht="12">
      <c r="F57" s="564"/>
      <c r="G57" s="565"/>
      <c r="H57" s="369" t="s">
        <v>3642</v>
      </c>
      <c r="I57" s="370"/>
      <c r="J57" s="371"/>
      <c r="K57" s="81"/>
      <c r="L57" s="569"/>
    </row>
    <row r="58" spans="6:12" ht="24">
      <c r="F58" s="548">
        <f>F56+1</f>
        <v>28</v>
      </c>
      <c r="G58" s="565"/>
      <c r="H58" s="316" t="s">
        <v>764</v>
      </c>
      <c r="I58" s="317" t="s">
        <v>151</v>
      </c>
      <c r="J58" s="568">
        <f>5.4*2.4</f>
        <v>12.96</v>
      </c>
      <c r="K58" s="79"/>
      <c r="L58" s="569">
        <f t="shared" si="0"/>
        <v>0</v>
      </c>
    </row>
    <row r="59" spans="6:12" ht="12">
      <c r="F59" s="548"/>
      <c r="G59" s="565"/>
      <c r="H59" s="566" t="s">
        <v>3794</v>
      </c>
      <c r="I59" s="385"/>
      <c r="J59" s="386"/>
      <c r="K59" s="86"/>
      <c r="L59" s="569"/>
    </row>
    <row r="60" spans="6:14" ht="36">
      <c r="F60" s="548">
        <f>F58+1</f>
        <v>29</v>
      </c>
      <c r="G60" s="565"/>
      <c r="H60" s="360" t="s">
        <v>767</v>
      </c>
      <c r="I60" s="361" t="s">
        <v>151</v>
      </c>
      <c r="J60" s="362">
        <f>5.4*2.4*1.15</f>
        <v>14.904</v>
      </c>
      <c r="K60" s="80"/>
      <c r="L60" s="569">
        <f>J60*K60</f>
        <v>0</v>
      </c>
      <c r="M60" s="78">
        <f>0.006</f>
        <v>0.006</v>
      </c>
      <c r="N60" s="78">
        <f>M60*J60</f>
        <v>0.089424</v>
      </c>
    </row>
    <row r="61" spans="6:12" ht="14.25" customHeight="1">
      <c r="F61" s="564"/>
      <c r="G61" s="549"/>
      <c r="H61" s="566" t="s">
        <v>3643</v>
      </c>
      <c r="I61" s="551"/>
      <c r="J61" s="568">
        <f>(6.5+5.5)*0.8*0.2*2.4</f>
        <v>4.6080000000000005</v>
      </c>
      <c r="K61" s="577"/>
      <c r="L61" s="553"/>
    </row>
    <row r="62" spans="6:12" ht="24">
      <c r="F62" s="548">
        <v>23</v>
      </c>
      <c r="G62" s="565"/>
      <c r="H62" s="316" t="s">
        <v>3795</v>
      </c>
      <c r="I62" s="317" t="s">
        <v>151</v>
      </c>
      <c r="J62" s="568">
        <f>5.4*2.4</f>
        <v>12.96</v>
      </c>
      <c r="K62" s="79"/>
      <c r="L62" s="569">
        <f aca="true" t="shared" si="10" ref="L62">J62*K62</f>
        <v>0</v>
      </c>
    </row>
    <row r="63" spans="6:12" ht="14.25" customHeight="1">
      <c r="F63" s="564"/>
      <c r="G63" s="549"/>
      <c r="H63" s="566"/>
      <c r="I63" s="551"/>
      <c r="J63" s="568"/>
      <c r="K63" s="577"/>
      <c r="L63" s="553"/>
    </row>
    <row r="64" spans="8:13" ht="13.5" customHeight="1">
      <c r="H64" s="512" t="s">
        <v>3644</v>
      </c>
      <c r="K64" s="579"/>
      <c r="L64" s="527">
        <f>L65</f>
        <v>0</v>
      </c>
      <c r="M64" s="563"/>
    </row>
    <row r="65" spans="6:12" ht="14.25" customHeight="1">
      <c r="F65" s="564">
        <v>24</v>
      </c>
      <c r="G65" s="549"/>
      <c r="H65" s="316" t="s">
        <v>3645</v>
      </c>
      <c r="I65" s="317" t="s">
        <v>194</v>
      </c>
      <c r="J65" s="400">
        <v>13.544</v>
      </c>
      <c r="K65" s="79"/>
      <c r="L65" s="553">
        <f>K65*J65</f>
        <v>0</v>
      </c>
    </row>
    <row r="66" spans="6:12" ht="14.25" customHeight="1">
      <c r="F66" s="564"/>
      <c r="G66" s="549"/>
      <c r="H66" s="566"/>
      <c r="I66" s="551"/>
      <c r="J66" s="568"/>
      <c r="K66" s="553"/>
      <c r="L66" s="553"/>
    </row>
    <row r="67" spans="6:12" ht="12">
      <c r="F67" s="564"/>
      <c r="G67" s="570"/>
      <c r="H67" s="550"/>
      <c r="I67" s="551"/>
      <c r="J67" s="568"/>
      <c r="K67" s="569"/>
      <c r="L67" s="569"/>
    </row>
    <row r="68" spans="6:12" ht="12">
      <c r="F68" s="564"/>
      <c r="G68" s="570"/>
      <c r="H68" s="550"/>
      <c r="I68" s="551"/>
      <c r="J68" s="568"/>
      <c r="K68" s="569"/>
      <c r="L68" s="569"/>
    </row>
    <row r="69" spans="6:12" ht="12">
      <c r="F69" s="564"/>
      <c r="G69" s="570"/>
      <c r="H69" s="550"/>
      <c r="I69" s="551"/>
      <c r="J69" s="568"/>
      <c r="K69" s="569"/>
      <c r="L69" s="569"/>
    </row>
    <row r="70" spans="6:12" ht="12">
      <c r="F70" s="564"/>
      <c r="G70" s="570"/>
      <c r="H70" s="550"/>
      <c r="I70" s="551"/>
      <c r="J70" s="568"/>
      <c r="K70" s="569"/>
      <c r="L70" s="569"/>
    </row>
    <row r="71" spans="6:12" ht="12">
      <c r="F71" s="564"/>
      <c r="G71" s="570"/>
      <c r="H71" s="550"/>
      <c r="I71" s="551"/>
      <c r="J71" s="568"/>
      <c r="K71" s="569"/>
      <c r="L71" s="569"/>
    </row>
  </sheetData>
  <sheetProtection password="CABD" sheet="1" objects="1" scenarios="1"/>
  <mergeCells count="4">
    <mergeCell ref="G2:L2"/>
    <mergeCell ref="G4:L4"/>
    <mergeCell ref="M9:R9"/>
    <mergeCell ref="G3:H3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F1:R366"/>
  <sheetViews>
    <sheetView workbookViewId="0" topLeftCell="F1">
      <selection activeCell="L10" sqref="L10"/>
    </sheetView>
  </sheetViews>
  <sheetFormatPr defaultColWidth="9.140625" defaultRowHeight="12" outlineLevelRow="2"/>
  <cols>
    <col min="1" max="5" width="9.140625" style="78" hidden="1" customWidth="1"/>
    <col min="6" max="6" width="6.28125" style="638" customWidth="1"/>
    <col min="7" max="7" width="16.421875" style="639" customWidth="1"/>
    <col min="8" max="8" width="57.7109375" style="640" customWidth="1"/>
    <col min="9" max="9" width="5.140625" style="641" customWidth="1"/>
    <col min="10" max="10" width="12.140625" style="642" customWidth="1"/>
    <col min="11" max="11" width="14.421875" style="643" customWidth="1"/>
    <col min="12" max="12" width="20.7109375" style="643" customWidth="1"/>
    <col min="13" max="13" width="84.140625" style="78" customWidth="1"/>
    <col min="14" max="14" width="14.00390625" style="78" bestFit="1" customWidth="1"/>
    <col min="15" max="256" width="9.28125" style="78" customWidth="1"/>
    <col min="257" max="261" width="9.140625" style="78" hidden="1" customWidth="1"/>
    <col min="262" max="262" width="6.28125" style="78" customWidth="1"/>
    <col min="263" max="263" width="16.421875" style="78" customWidth="1"/>
    <col min="264" max="264" width="57.7109375" style="78" customWidth="1"/>
    <col min="265" max="265" width="5.140625" style="78" customWidth="1"/>
    <col min="266" max="266" width="12.140625" style="78" customWidth="1"/>
    <col min="267" max="267" width="14.421875" style="78" customWidth="1"/>
    <col min="268" max="268" width="20.7109375" style="78" customWidth="1"/>
    <col min="269" max="269" width="84.140625" style="78" customWidth="1"/>
    <col min="270" max="270" width="14.00390625" style="78" bestFit="1" customWidth="1"/>
    <col min="271" max="512" width="9.28125" style="78" customWidth="1"/>
    <col min="513" max="517" width="9.140625" style="78" hidden="1" customWidth="1"/>
    <col min="518" max="518" width="6.28125" style="78" customWidth="1"/>
    <col min="519" max="519" width="16.421875" style="78" customWidth="1"/>
    <col min="520" max="520" width="57.7109375" style="78" customWidth="1"/>
    <col min="521" max="521" width="5.140625" style="78" customWidth="1"/>
    <col min="522" max="522" width="12.140625" style="78" customWidth="1"/>
    <col min="523" max="523" width="14.421875" style="78" customWidth="1"/>
    <col min="524" max="524" width="20.7109375" style="78" customWidth="1"/>
    <col min="525" max="525" width="84.140625" style="78" customWidth="1"/>
    <col min="526" max="526" width="14.00390625" style="78" bestFit="1" customWidth="1"/>
    <col min="527" max="768" width="9.28125" style="78" customWidth="1"/>
    <col min="769" max="773" width="9.140625" style="78" hidden="1" customWidth="1"/>
    <col min="774" max="774" width="6.28125" style="78" customWidth="1"/>
    <col min="775" max="775" width="16.421875" style="78" customWidth="1"/>
    <col min="776" max="776" width="57.7109375" style="78" customWidth="1"/>
    <col min="777" max="777" width="5.140625" style="78" customWidth="1"/>
    <col min="778" max="778" width="12.140625" style="78" customWidth="1"/>
    <col min="779" max="779" width="14.421875" style="78" customWidth="1"/>
    <col min="780" max="780" width="20.7109375" style="78" customWidth="1"/>
    <col min="781" max="781" width="84.140625" style="78" customWidth="1"/>
    <col min="782" max="782" width="14.00390625" style="78" bestFit="1" customWidth="1"/>
    <col min="783" max="1024" width="9.28125" style="78" customWidth="1"/>
    <col min="1025" max="1029" width="9.140625" style="78" hidden="1" customWidth="1"/>
    <col min="1030" max="1030" width="6.28125" style="78" customWidth="1"/>
    <col min="1031" max="1031" width="16.421875" style="78" customWidth="1"/>
    <col min="1032" max="1032" width="57.7109375" style="78" customWidth="1"/>
    <col min="1033" max="1033" width="5.140625" style="78" customWidth="1"/>
    <col min="1034" max="1034" width="12.140625" style="78" customWidth="1"/>
    <col min="1035" max="1035" width="14.421875" style="78" customWidth="1"/>
    <col min="1036" max="1036" width="20.7109375" style="78" customWidth="1"/>
    <col min="1037" max="1037" width="84.140625" style="78" customWidth="1"/>
    <col min="1038" max="1038" width="14.00390625" style="78" bestFit="1" customWidth="1"/>
    <col min="1039" max="1280" width="9.28125" style="78" customWidth="1"/>
    <col min="1281" max="1285" width="9.140625" style="78" hidden="1" customWidth="1"/>
    <col min="1286" max="1286" width="6.28125" style="78" customWidth="1"/>
    <col min="1287" max="1287" width="16.421875" style="78" customWidth="1"/>
    <col min="1288" max="1288" width="57.7109375" style="78" customWidth="1"/>
    <col min="1289" max="1289" width="5.140625" style="78" customWidth="1"/>
    <col min="1290" max="1290" width="12.140625" style="78" customWidth="1"/>
    <col min="1291" max="1291" width="14.421875" style="78" customWidth="1"/>
    <col min="1292" max="1292" width="20.7109375" style="78" customWidth="1"/>
    <col min="1293" max="1293" width="84.140625" style="78" customWidth="1"/>
    <col min="1294" max="1294" width="14.00390625" style="78" bestFit="1" customWidth="1"/>
    <col min="1295" max="1536" width="9.28125" style="78" customWidth="1"/>
    <col min="1537" max="1541" width="9.140625" style="78" hidden="1" customWidth="1"/>
    <col min="1542" max="1542" width="6.28125" style="78" customWidth="1"/>
    <col min="1543" max="1543" width="16.421875" style="78" customWidth="1"/>
    <col min="1544" max="1544" width="57.7109375" style="78" customWidth="1"/>
    <col min="1545" max="1545" width="5.140625" style="78" customWidth="1"/>
    <col min="1546" max="1546" width="12.140625" style="78" customWidth="1"/>
    <col min="1547" max="1547" width="14.421875" style="78" customWidth="1"/>
    <col min="1548" max="1548" width="20.7109375" style="78" customWidth="1"/>
    <col min="1549" max="1549" width="84.140625" style="78" customWidth="1"/>
    <col min="1550" max="1550" width="14.00390625" style="78" bestFit="1" customWidth="1"/>
    <col min="1551" max="1792" width="9.28125" style="78" customWidth="1"/>
    <col min="1793" max="1797" width="9.140625" style="78" hidden="1" customWidth="1"/>
    <col min="1798" max="1798" width="6.28125" style="78" customWidth="1"/>
    <col min="1799" max="1799" width="16.421875" style="78" customWidth="1"/>
    <col min="1800" max="1800" width="57.7109375" style="78" customWidth="1"/>
    <col min="1801" max="1801" width="5.140625" style="78" customWidth="1"/>
    <col min="1802" max="1802" width="12.140625" style="78" customWidth="1"/>
    <col min="1803" max="1803" width="14.421875" style="78" customWidth="1"/>
    <col min="1804" max="1804" width="20.7109375" style="78" customWidth="1"/>
    <col min="1805" max="1805" width="84.140625" style="78" customWidth="1"/>
    <col min="1806" max="1806" width="14.00390625" style="78" bestFit="1" customWidth="1"/>
    <col min="1807" max="2048" width="9.28125" style="78" customWidth="1"/>
    <col min="2049" max="2053" width="9.140625" style="78" hidden="1" customWidth="1"/>
    <col min="2054" max="2054" width="6.28125" style="78" customWidth="1"/>
    <col min="2055" max="2055" width="16.421875" style="78" customWidth="1"/>
    <col min="2056" max="2056" width="57.7109375" style="78" customWidth="1"/>
    <col min="2057" max="2057" width="5.140625" style="78" customWidth="1"/>
    <col min="2058" max="2058" width="12.140625" style="78" customWidth="1"/>
    <col min="2059" max="2059" width="14.421875" style="78" customWidth="1"/>
    <col min="2060" max="2060" width="20.7109375" style="78" customWidth="1"/>
    <col min="2061" max="2061" width="84.140625" style="78" customWidth="1"/>
    <col min="2062" max="2062" width="14.00390625" style="78" bestFit="1" customWidth="1"/>
    <col min="2063" max="2304" width="9.28125" style="78" customWidth="1"/>
    <col min="2305" max="2309" width="9.140625" style="78" hidden="1" customWidth="1"/>
    <col min="2310" max="2310" width="6.28125" style="78" customWidth="1"/>
    <col min="2311" max="2311" width="16.421875" style="78" customWidth="1"/>
    <col min="2312" max="2312" width="57.7109375" style="78" customWidth="1"/>
    <col min="2313" max="2313" width="5.140625" style="78" customWidth="1"/>
    <col min="2314" max="2314" width="12.140625" style="78" customWidth="1"/>
    <col min="2315" max="2315" width="14.421875" style="78" customWidth="1"/>
    <col min="2316" max="2316" width="20.7109375" style="78" customWidth="1"/>
    <col min="2317" max="2317" width="84.140625" style="78" customWidth="1"/>
    <col min="2318" max="2318" width="14.00390625" style="78" bestFit="1" customWidth="1"/>
    <col min="2319" max="2560" width="9.28125" style="78" customWidth="1"/>
    <col min="2561" max="2565" width="9.140625" style="78" hidden="1" customWidth="1"/>
    <col min="2566" max="2566" width="6.28125" style="78" customWidth="1"/>
    <col min="2567" max="2567" width="16.421875" style="78" customWidth="1"/>
    <col min="2568" max="2568" width="57.7109375" style="78" customWidth="1"/>
    <col min="2569" max="2569" width="5.140625" style="78" customWidth="1"/>
    <col min="2570" max="2570" width="12.140625" style="78" customWidth="1"/>
    <col min="2571" max="2571" width="14.421875" style="78" customWidth="1"/>
    <col min="2572" max="2572" width="20.7109375" style="78" customWidth="1"/>
    <col min="2573" max="2573" width="84.140625" style="78" customWidth="1"/>
    <col min="2574" max="2574" width="14.00390625" style="78" bestFit="1" customWidth="1"/>
    <col min="2575" max="2816" width="9.28125" style="78" customWidth="1"/>
    <col min="2817" max="2821" width="9.140625" style="78" hidden="1" customWidth="1"/>
    <col min="2822" max="2822" width="6.28125" style="78" customWidth="1"/>
    <col min="2823" max="2823" width="16.421875" style="78" customWidth="1"/>
    <col min="2824" max="2824" width="57.7109375" style="78" customWidth="1"/>
    <col min="2825" max="2825" width="5.140625" style="78" customWidth="1"/>
    <col min="2826" max="2826" width="12.140625" style="78" customWidth="1"/>
    <col min="2827" max="2827" width="14.421875" style="78" customWidth="1"/>
    <col min="2828" max="2828" width="20.7109375" style="78" customWidth="1"/>
    <col min="2829" max="2829" width="84.140625" style="78" customWidth="1"/>
    <col min="2830" max="2830" width="14.00390625" style="78" bestFit="1" customWidth="1"/>
    <col min="2831" max="3072" width="9.28125" style="78" customWidth="1"/>
    <col min="3073" max="3077" width="9.140625" style="78" hidden="1" customWidth="1"/>
    <col min="3078" max="3078" width="6.28125" style="78" customWidth="1"/>
    <col min="3079" max="3079" width="16.421875" style="78" customWidth="1"/>
    <col min="3080" max="3080" width="57.7109375" style="78" customWidth="1"/>
    <col min="3081" max="3081" width="5.140625" style="78" customWidth="1"/>
    <col min="3082" max="3082" width="12.140625" style="78" customWidth="1"/>
    <col min="3083" max="3083" width="14.421875" style="78" customWidth="1"/>
    <col min="3084" max="3084" width="20.7109375" style="78" customWidth="1"/>
    <col min="3085" max="3085" width="84.140625" style="78" customWidth="1"/>
    <col min="3086" max="3086" width="14.00390625" style="78" bestFit="1" customWidth="1"/>
    <col min="3087" max="3328" width="9.28125" style="78" customWidth="1"/>
    <col min="3329" max="3333" width="9.140625" style="78" hidden="1" customWidth="1"/>
    <col min="3334" max="3334" width="6.28125" style="78" customWidth="1"/>
    <col min="3335" max="3335" width="16.421875" style="78" customWidth="1"/>
    <col min="3336" max="3336" width="57.7109375" style="78" customWidth="1"/>
    <col min="3337" max="3337" width="5.140625" style="78" customWidth="1"/>
    <col min="3338" max="3338" width="12.140625" style="78" customWidth="1"/>
    <col min="3339" max="3339" width="14.421875" style="78" customWidth="1"/>
    <col min="3340" max="3340" width="20.7109375" style="78" customWidth="1"/>
    <col min="3341" max="3341" width="84.140625" style="78" customWidth="1"/>
    <col min="3342" max="3342" width="14.00390625" style="78" bestFit="1" customWidth="1"/>
    <col min="3343" max="3584" width="9.28125" style="78" customWidth="1"/>
    <col min="3585" max="3589" width="9.140625" style="78" hidden="1" customWidth="1"/>
    <col min="3590" max="3590" width="6.28125" style="78" customWidth="1"/>
    <col min="3591" max="3591" width="16.421875" style="78" customWidth="1"/>
    <col min="3592" max="3592" width="57.7109375" style="78" customWidth="1"/>
    <col min="3593" max="3593" width="5.140625" style="78" customWidth="1"/>
    <col min="3594" max="3594" width="12.140625" style="78" customWidth="1"/>
    <col min="3595" max="3595" width="14.421875" style="78" customWidth="1"/>
    <col min="3596" max="3596" width="20.7109375" style="78" customWidth="1"/>
    <col min="3597" max="3597" width="84.140625" style="78" customWidth="1"/>
    <col min="3598" max="3598" width="14.00390625" style="78" bestFit="1" customWidth="1"/>
    <col min="3599" max="3840" width="9.28125" style="78" customWidth="1"/>
    <col min="3841" max="3845" width="9.140625" style="78" hidden="1" customWidth="1"/>
    <col min="3846" max="3846" width="6.28125" style="78" customWidth="1"/>
    <col min="3847" max="3847" width="16.421875" style="78" customWidth="1"/>
    <col min="3848" max="3848" width="57.7109375" style="78" customWidth="1"/>
    <col min="3849" max="3849" width="5.140625" style="78" customWidth="1"/>
    <col min="3850" max="3850" width="12.140625" style="78" customWidth="1"/>
    <col min="3851" max="3851" width="14.421875" style="78" customWidth="1"/>
    <col min="3852" max="3852" width="20.7109375" style="78" customWidth="1"/>
    <col min="3853" max="3853" width="84.140625" style="78" customWidth="1"/>
    <col min="3854" max="3854" width="14.00390625" style="78" bestFit="1" customWidth="1"/>
    <col min="3855" max="4096" width="9.28125" style="78" customWidth="1"/>
    <col min="4097" max="4101" width="9.140625" style="78" hidden="1" customWidth="1"/>
    <col min="4102" max="4102" width="6.28125" style="78" customWidth="1"/>
    <col min="4103" max="4103" width="16.421875" style="78" customWidth="1"/>
    <col min="4104" max="4104" width="57.7109375" style="78" customWidth="1"/>
    <col min="4105" max="4105" width="5.140625" style="78" customWidth="1"/>
    <col min="4106" max="4106" width="12.140625" style="78" customWidth="1"/>
    <col min="4107" max="4107" width="14.421875" style="78" customWidth="1"/>
    <col min="4108" max="4108" width="20.7109375" style="78" customWidth="1"/>
    <col min="4109" max="4109" width="84.140625" style="78" customWidth="1"/>
    <col min="4110" max="4110" width="14.00390625" style="78" bestFit="1" customWidth="1"/>
    <col min="4111" max="4352" width="9.28125" style="78" customWidth="1"/>
    <col min="4353" max="4357" width="9.140625" style="78" hidden="1" customWidth="1"/>
    <col min="4358" max="4358" width="6.28125" style="78" customWidth="1"/>
    <col min="4359" max="4359" width="16.421875" style="78" customWidth="1"/>
    <col min="4360" max="4360" width="57.7109375" style="78" customWidth="1"/>
    <col min="4361" max="4361" width="5.140625" style="78" customWidth="1"/>
    <col min="4362" max="4362" width="12.140625" style="78" customWidth="1"/>
    <col min="4363" max="4363" width="14.421875" style="78" customWidth="1"/>
    <col min="4364" max="4364" width="20.7109375" style="78" customWidth="1"/>
    <col min="4365" max="4365" width="84.140625" style="78" customWidth="1"/>
    <col min="4366" max="4366" width="14.00390625" style="78" bestFit="1" customWidth="1"/>
    <col min="4367" max="4608" width="9.28125" style="78" customWidth="1"/>
    <col min="4609" max="4613" width="9.140625" style="78" hidden="1" customWidth="1"/>
    <col min="4614" max="4614" width="6.28125" style="78" customWidth="1"/>
    <col min="4615" max="4615" width="16.421875" style="78" customWidth="1"/>
    <col min="4616" max="4616" width="57.7109375" style="78" customWidth="1"/>
    <col min="4617" max="4617" width="5.140625" style="78" customWidth="1"/>
    <col min="4618" max="4618" width="12.140625" style="78" customWidth="1"/>
    <col min="4619" max="4619" width="14.421875" style="78" customWidth="1"/>
    <col min="4620" max="4620" width="20.7109375" style="78" customWidth="1"/>
    <col min="4621" max="4621" width="84.140625" style="78" customWidth="1"/>
    <col min="4622" max="4622" width="14.00390625" style="78" bestFit="1" customWidth="1"/>
    <col min="4623" max="4864" width="9.28125" style="78" customWidth="1"/>
    <col min="4865" max="4869" width="9.140625" style="78" hidden="1" customWidth="1"/>
    <col min="4870" max="4870" width="6.28125" style="78" customWidth="1"/>
    <col min="4871" max="4871" width="16.421875" style="78" customWidth="1"/>
    <col min="4872" max="4872" width="57.7109375" style="78" customWidth="1"/>
    <col min="4873" max="4873" width="5.140625" style="78" customWidth="1"/>
    <col min="4874" max="4874" width="12.140625" style="78" customWidth="1"/>
    <col min="4875" max="4875" width="14.421875" style="78" customWidth="1"/>
    <col min="4876" max="4876" width="20.7109375" style="78" customWidth="1"/>
    <col min="4877" max="4877" width="84.140625" style="78" customWidth="1"/>
    <col min="4878" max="4878" width="14.00390625" style="78" bestFit="1" customWidth="1"/>
    <col min="4879" max="5120" width="9.28125" style="78" customWidth="1"/>
    <col min="5121" max="5125" width="9.140625" style="78" hidden="1" customWidth="1"/>
    <col min="5126" max="5126" width="6.28125" style="78" customWidth="1"/>
    <col min="5127" max="5127" width="16.421875" style="78" customWidth="1"/>
    <col min="5128" max="5128" width="57.7109375" style="78" customWidth="1"/>
    <col min="5129" max="5129" width="5.140625" style="78" customWidth="1"/>
    <col min="5130" max="5130" width="12.140625" style="78" customWidth="1"/>
    <col min="5131" max="5131" width="14.421875" style="78" customWidth="1"/>
    <col min="5132" max="5132" width="20.7109375" style="78" customWidth="1"/>
    <col min="5133" max="5133" width="84.140625" style="78" customWidth="1"/>
    <col min="5134" max="5134" width="14.00390625" style="78" bestFit="1" customWidth="1"/>
    <col min="5135" max="5376" width="9.28125" style="78" customWidth="1"/>
    <col min="5377" max="5381" width="9.140625" style="78" hidden="1" customWidth="1"/>
    <col min="5382" max="5382" width="6.28125" style="78" customWidth="1"/>
    <col min="5383" max="5383" width="16.421875" style="78" customWidth="1"/>
    <col min="5384" max="5384" width="57.7109375" style="78" customWidth="1"/>
    <col min="5385" max="5385" width="5.140625" style="78" customWidth="1"/>
    <col min="5386" max="5386" width="12.140625" style="78" customWidth="1"/>
    <col min="5387" max="5387" width="14.421875" style="78" customWidth="1"/>
    <col min="5388" max="5388" width="20.7109375" style="78" customWidth="1"/>
    <col min="5389" max="5389" width="84.140625" style="78" customWidth="1"/>
    <col min="5390" max="5390" width="14.00390625" style="78" bestFit="1" customWidth="1"/>
    <col min="5391" max="5632" width="9.28125" style="78" customWidth="1"/>
    <col min="5633" max="5637" width="9.140625" style="78" hidden="1" customWidth="1"/>
    <col min="5638" max="5638" width="6.28125" style="78" customWidth="1"/>
    <col min="5639" max="5639" width="16.421875" style="78" customWidth="1"/>
    <col min="5640" max="5640" width="57.7109375" style="78" customWidth="1"/>
    <col min="5641" max="5641" width="5.140625" style="78" customWidth="1"/>
    <col min="5642" max="5642" width="12.140625" style="78" customWidth="1"/>
    <col min="5643" max="5643" width="14.421875" style="78" customWidth="1"/>
    <col min="5644" max="5644" width="20.7109375" style="78" customWidth="1"/>
    <col min="5645" max="5645" width="84.140625" style="78" customWidth="1"/>
    <col min="5646" max="5646" width="14.00390625" style="78" bestFit="1" customWidth="1"/>
    <col min="5647" max="5888" width="9.28125" style="78" customWidth="1"/>
    <col min="5889" max="5893" width="9.140625" style="78" hidden="1" customWidth="1"/>
    <col min="5894" max="5894" width="6.28125" style="78" customWidth="1"/>
    <col min="5895" max="5895" width="16.421875" style="78" customWidth="1"/>
    <col min="5896" max="5896" width="57.7109375" style="78" customWidth="1"/>
    <col min="5897" max="5897" width="5.140625" style="78" customWidth="1"/>
    <col min="5898" max="5898" width="12.140625" style="78" customWidth="1"/>
    <col min="5899" max="5899" width="14.421875" style="78" customWidth="1"/>
    <col min="5900" max="5900" width="20.7109375" style="78" customWidth="1"/>
    <col min="5901" max="5901" width="84.140625" style="78" customWidth="1"/>
    <col min="5902" max="5902" width="14.00390625" style="78" bestFit="1" customWidth="1"/>
    <col min="5903" max="6144" width="9.28125" style="78" customWidth="1"/>
    <col min="6145" max="6149" width="9.140625" style="78" hidden="1" customWidth="1"/>
    <col min="6150" max="6150" width="6.28125" style="78" customWidth="1"/>
    <col min="6151" max="6151" width="16.421875" style="78" customWidth="1"/>
    <col min="6152" max="6152" width="57.7109375" style="78" customWidth="1"/>
    <col min="6153" max="6153" width="5.140625" style="78" customWidth="1"/>
    <col min="6154" max="6154" width="12.140625" style="78" customWidth="1"/>
    <col min="6155" max="6155" width="14.421875" style="78" customWidth="1"/>
    <col min="6156" max="6156" width="20.7109375" style="78" customWidth="1"/>
    <col min="6157" max="6157" width="84.140625" style="78" customWidth="1"/>
    <col min="6158" max="6158" width="14.00390625" style="78" bestFit="1" customWidth="1"/>
    <col min="6159" max="6400" width="9.28125" style="78" customWidth="1"/>
    <col min="6401" max="6405" width="9.140625" style="78" hidden="1" customWidth="1"/>
    <col min="6406" max="6406" width="6.28125" style="78" customWidth="1"/>
    <col min="6407" max="6407" width="16.421875" style="78" customWidth="1"/>
    <col min="6408" max="6408" width="57.7109375" style="78" customWidth="1"/>
    <col min="6409" max="6409" width="5.140625" style="78" customWidth="1"/>
    <col min="6410" max="6410" width="12.140625" style="78" customWidth="1"/>
    <col min="6411" max="6411" width="14.421875" style="78" customWidth="1"/>
    <col min="6412" max="6412" width="20.7109375" style="78" customWidth="1"/>
    <col min="6413" max="6413" width="84.140625" style="78" customWidth="1"/>
    <col min="6414" max="6414" width="14.00390625" style="78" bestFit="1" customWidth="1"/>
    <col min="6415" max="6656" width="9.28125" style="78" customWidth="1"/>
    <col min="6657" max="6661" width="9.140625" style="78" hidden="1" customWidth="1"/>
    <col min="6662" max="6662" width="6.28125" style="78" customWidth="1"/>
    <col min="6663" max="6663" width="16.421875" style="78" customWidth="1"/>
    <col min="6664" max="6664" width="57.7109375" style="78" customWidth="1"/>
    <col min="6665" max="6665" width="5.140625" style="78" customWidth="1"/>
    <col min="6666" max="6666" width="12.140625" style="78" customWidth="1"/>
    <col min="6667" max="6667" width="14.421875" style="78" customWidth="1"/>
    <col min="6668" max="6668" width="20.7109375" style="78" customWidth="1"/>
    <col min="6669" max="6669" width="84.140625" style="78" customWidth="1"/>
    <col min="6670" max="6670" width="14.00390625" style="78" bestFit="1" customWidth="1"/>
    <col min="6671" max="6912" width="9.28125" style="78" customWidth="1"/>
    <col min="6913" max="6917" width="9.140625" style="78" hidden="1" customWidth="1"/>
    <col min="6918" max="6918" width="6.28125" style="78" customWidth="1"/>
    <col min="6919" max="6919" width="16.421875" style="78" customWidth="1"/>
    <col min="6920" max="6920" width="57.7109375" style="78" customWidth="1"/>
    <col min="6921" max="6921" width="5.140625" style="78" customWidth="1"/>
    <col min="6922" max="6922" width="12.140625" style="78" customWidth="1"/>
    <col min="6923" max="6923" width="14.421875" style="78" customWidth="1"/>
    <col min="6924" max="6924" width="20.7109375" style="78" customWidth="1"/>
    <col min="6925" max="6925" width="84.140625" style="78" customWidth="1"/>
    <col min="6926" max="6926" width="14.00390625" style="78" bestFit="1" customWidth="1"/>
    <col min="6927" max="7168" width="9.28125" style="78" customWidth="1"/>
    <col min="7169" max="7173" width="9.140625" style="78" hidden="1" customWidth="1"/>
    <col min="7174" max="7174" width="6.28125" style="78" customWidth="1"/>
    <col min="7175" max="7175" width="16.421875" style="78" customWidth="1"/>
    <col min="7176" max="7176" width="57.7109375" style="78" customWidth="1"/>
    <col min="7177" max="7177" width="5.140625" style="78" customWidth="1"/>
    <col min="7178" max="7178" width="12.140625" style="78" customWidth="1"/>
    <col min="7179" max="7179" width="14.421875" style="78" customWidth="1"/>
    <col min="7180" max="7180" width="20.7109375" style="78" customWidth="1"/>
    <col min="7181" max="7181" width="84.140625" style="78" customWidth="1"/>
    <col min="7182" max="7182" width="14.00390625" style="78" bestFit="1" customWidth="1"/>
    <col min="7183" max="7424" width="9.28125" style="78" customWidth="1"/>
    <col min="7425" max="7429" width="9.140625" style="78" hidden="1" customWidth="1"/>
    <col min="7430" max="7430" width="6.28125" style="78" customWidth="1"/>
    <col min="7431" max="7431" width="16.421875" style="78" customWidth="1"/>
    <col min="7432" max="7432" width="57.7109375" style="78" customWidth="1"/>
    <col min="7433" max="7433" width="5.140625" style="78" customWidth="1"/>
    <col min="7434" max="7434" width="12.140625" style="78" customWidth="1"/>
    <col min="7435" max="7435" width="14.421875" style="78" customWidth="1"/>
    <col min="7436" max="7436" width="20.7109375" style="78" customWidth="1"/>
    <col min="7437" max="7437" width="84.140625" style="78" customWidth="1"/>
    <col min="7438" max="7438" width="14.00390625" style="78" bestFit="1" customWidth="1"/>
    <col min="7439" max="7680" width="9.28125" style="78" customWidth="1"/>
    <col min="7681" max="7685" width="9.140625" style="78" hidden="1" customWidth="1"/>
    <col min="7686" max="7686" width="6.28125" style="78" customWidth="1"/>
    <col min="7687" max="7687" width="16.421875" style="78" customWidth="1"/>
    <col min="7688" max="7688" width="57.7109375" style="78" customWidth="1"/>
    <col min="7689" max="7689" width="5.140625" style="78" customWidth="1"/>
    <col min="7690" max="7690" width="12.140625" style="78" customWidth="1"/>
    <col min="7691" max="7691" width="14.421875" style="78" customWidth="1"/>
    <col min="7692" max="7692" width="20.7109375" style="78" customWidth="1"/>
    <col min="7693" max="7693" width="84.140625" style="78" customWidth="1"/>
    <col min="7694" max="7694" width="14.00390625" style="78" bestFit="1" customWidth="1"/>
    <col min="7695" max="7936" width="9.28125" style="78" customWidth="1"/>
    <col min="7937" max="7941" width="9.140625" style="78" hidden="1" customWidth="1"/>
    <col min="7942" max="7942" width="6.28125" style="78" customWidth="1"/>
    <col min="7943" max="7943" width="16.421875" style="78" customWidth="1"/>
    <col min="7944" max="7944" width="57.7109375" style="78" customWidth="1"/>
    <col min="7945" max="7945" width="5.140625" style="78" customWidth="1"/>
    <col min="7946" max="7946" width="12.140625" style="78" customWidth="1"/>
    <col min="7947" max="7947" width="14.421875" style="78" customWidth="1"/>
    <col min="7948" max="7948" width="20.7109375" style="78" customWidth="1"/>
    <col min="7949" max="7949" width="84.140625" style="78" customWidth="1"/>
    <col min="7950" max="7950" width="14.00390625" style="78" bestFit="1" customWidth="1"/>
    <col min="7951" max="8192" width="9.28125" style="78" customWidth="1"/>
    <col min="8193" max="8197" width="9.140625" style="78" hidden="1" customWidth="1"/>
    <col min="8198" max="8198" width="6.28125" style="78" customWidth="1"/>
    <col min="8199" max="8199" width="16.421875" style="78" customWidth="1"/>
    <col min="8200" max="8200" width="57.7109375" style="78" customWidth="1"/>
    <col min="8201" max="8201" width="5.140625" style="78" customWidth="1"/>
    <col min="8202" max="8202" width="12.140625" style="78" customWidth="1"/>
    <col min="8203" max="8203" width="14.421875" style="78" customWidth="1"/>
    <col min="8204" max="8204" width="20.7109375" style="78" customWidth="1"/>
    <col min="8205" max="8205" width="84.140625" style="78" customWidth="1"/>
    <col min="8206" max="8206" width="14.00390625" style="78" bestFit="1" customWidth="1"/>
    <col min="8207" max="8448" width="9.28125" style="78" customWidth="1"/>
    <col min="8449" max="8453" width="9.140625" style="78" hidden="1" customWidth="1"/>
    <col min="8454" max="8454" width="6.28125" style="78" customWidth="1"/>
    <col min="8455" max="8455" width="16.421875" style="78" customWidth="1"/>
    <col min="8456" max="8456" width="57.7109375" style="78" customWidth="1"/>
    <col min="8457" max="8457" width="5.140625" style="78" customWidth="1"/>
    <col min="8458" max="8458" width="12.140625" style="78" customWidth="1"/>
    <col min="8459" max="8459" width="14.421875" style="78" customWidth="1"/>
    <col min="8460" max="8460" width="20.7109375" style="78" customWidth="1"/>
    <col min="8461" max="8461" width="84.140625" style="78" customWidth="1"/>
    <col min="8462" max="8462" width="14.00390625" style="78" bestFit="1" customWidth="1"/>
    <col min="8463" max="8704" width="9.28125" style="78" customWidth="1"/>
    <col min="8705" max="8709" width="9.140625" style="78" hidden="1" customWidth="1"/>
    <col min="8710" max="8710" width="6.28125" style="78" customWidth="1"/>
    <col min="8711" max="8711" width="16.421875" style="78" customWidth="1"/>
    <col min="8712" max="8712" width="57.7109375" style="78" customWidth="1"/>
    <col min="8713" max="8713" width="5.140625" style="78" customWidth="1"/>
    <col min="8714" max="8714" width="12.140625" style="78" customWidth="1"/>
    <col min="8715" max="8715" width="14.421875" style="78" customWidth="1"/>
    <col min="8716" max="8716" width="20.7109375" style="78" customWidth="1"/>
    <col min="8717" max="8717" width="84.140625" style="78" customWidth="1"/>
    <col min="8718" max="8718" width="14.00390625" style="78" bestFit="1" customWidth="1"/>
    <col min="8719" max="8960" width="9.28125" style="78" customWidth="1"/>
    <col min="8961" max="8965" width="9.140625" style="78" hidden="1" customWidth="1"/>
    <col min="8966" max="8966" width="6.28125" style="78" customWidth="1"/>
    <col min="8967" max="8967" width="16.421875" style="78" customWidth="1"/>
    <col min="8968" max="8968" width="57.7109375" style="78" customWidth="1"/>
    <col min="8969" max="8969" width="5.140625" style="78" customWidth="1"/>
    <col min="8970" max="8970" width="12.140625" style="78" customWidth="1"/>
    <col min="8971" max="8971" width="14.421875" style="78" customWidth="1"/>
    <col min="8972" max="8972" width="20.7109375" style="78" customWidth="1"/>
    <col min="8973" max="8973" width="84.140625" style="78" customWidth="1"/>
    <col min="8974" max="8974" width="14.00390625" style="78" bestFit="1" customWidth="1"/>
    <col min="8975" max="9216" width="9.28125" style="78" customWidth="1"/>
    <col min="9217" max="9221" width="9.140625" style="78" hidden="1" customWidth="1"/>
    <col min="9222" max="9222" width="6.28125" style="78" customWidth="1"/>
    <col min="9223" max="9223" width="16.421875" style="78" customWidth="1"/>
    <col min="9224" max="9224" width="57.7109375" style="78" customWidth="1"/>
    <col min="9225" max="9225" width="5.140625" style="78" customWidth="1"/>
    <col min="9226" max="9226" width="12.140625" style="78" customWidth="1"/>
    <col min="9227" max="9227" width="14.421875" style="78" customWidth="1"/>
    <col min="9228" max="9228" width="20.7109375" style="78" customWidth="1"/>
    <col min="9229" max="9229" width="84.140625" style="78" customWidth="1"/>
    <col min="9230" max="9230" width="14.00390625" style="78" bestFit="1" customWidth="1"/>
    <col min="9231" max="9472" width="9.28125" style="78" customWidth="1"/>
    <col min="9473" max="9477" width="9.140625" style="78" hidden="1" customWidth="1"/>
    <col min="9478" max="9478" width="6.28125" style="78" customWidth="1"/>
    <col min="9479" max="9479" width="16.421875" style="78" customWidth="1"/>
    <col min="9480" max="9480" width="57.7109375" style="78" customWidth="1"/>
    <col min="9481" max="9481" width="5.140625" style="78" customWidth="1"/>
    <col min="9482" max="9482" width="12.140625" style="78" customWidth="1"/>
    <col min="9483" max="9483" width="14.421875" style="78" customWidth="1"/>
    <col min="9484" max="9484" width="20.7109375" style="78" customWidth="1"/>
    <col min="9485" max="9485" width="84.140625" style="78" customWidth="1"/>
    <col min="9486" max="9486" width="14.00390625" style="78" bestFit="1" customWidth="1"/>
    <col min="9487" max="9728" width="9.28125" style="78" customWidth="1"/>
    <col min="9729" max="9733" width="9.140625" style="78" hidden="1" customWidth="1"/>
    <col min="9734" max="9734" width="6.28125" style="78" customWidth="1"/>
    <col min="9735" max="9735" width="16.421875" style="78" customWidth="1"/>
    <col min="9736" max="9736" width="57.7109375" style="78" customWidth="1"/>
    <col min="9737" max="9737" width="5.140625" style="78" customWidth="1"/>
    <col min="9738" max="9738" width="12.140625" style="78" customWidth="1"/>
    <col min="9739" max="9739" width="14.421875" style="78" customWidth="1"/>
    <col min="9740" max="9740" width="20.7109375" style="78" customWidth="1"/>
    <col min="9741" max="9741" width="84.140625" style="78" customWidth="1"/>
    <col min="9742" max="9742" width="14.00390625" style="78" bestFit="1" customWidth="1"/>
    <col min="9743" max="9984" width="9.28125" style="78" customWidth="1"/>
    <col min="9985" max="9989" width="9.140625" style="78" hidden="1" customWidth="1"/>
    <col min="9990" max="9990" width="6.28125" style="78" customWidth="1"/>
    <col min="9991" max="9991" width="16.421875" style="78" customWidth="1"/>
    <col min="9992" max="9992" width="57.7109375" style="78" customWidth="1"/>
    <col min="9993" max="9993" width="5.140625" style="78" customWidth="1"/>
    <col min="9994" max="9994" width="12.140625" style="78" customWidth="1"/>
    <col min="9995" max="9995" width="14.421875" style="78" customWidth="1"/>
    <col min="9996" max="9996" width="20.7109375" style="78" customWidth="1"/>
    <col min="9997" max="9997" width="84.140625" style="78" customWidth="1"/>
    <col min="9998" max="9998" width="14.00390625" style="78" bestFit="1" customWidth="1"/>
    <col min="9999" max="10240" width="9.28125" style="78" customWidth="1"/>
    <col min="10241" max="10245" width="9.140625" style="78" hidden="1" customWidth="1"/>
    <col min="10246" max="10246" width="6.28125" style="78" customWidth="1"/>
    <col min="10247" max="10247" width="16.421875" style="78" customWidth="1"/>
    <col min="10248" max="10248" width="57.7109375" style="78" customWidth="1"/>
    <col min="10249" max="10249" width="5.140625" style="78" customWidth="1"/>
    <col min="10250" max="10250" width="12.140625" style="78" customWidth="1"/>
    <col min="10251" max="10251" width="14.421875" style="78" customWidth="1"/>
    <col min="10252" max="10252" width="20.7109375" style="78" customWidth="1"/>
    <col min="10253" max="10253" width="84.140625" style="78" customWidth="1"/>
    <col min="10254" max="10254" width="14.00390625" style="78" bestFit="1" customWidth="1"/>
    <col min="10255" max="10496" width="9.28125" style="78" customWidth="1"/>
    <col min="10497" max="10501" width="9.140625" style="78" hidden="1" customWidth="1"/>
    <col min="10502" max="10502" width="6.28125" style="78" customWidth="1"/>
    <col min="10503" max="10503" width="16.421875" style="78" customWidth="1"/>
    <col min="10504" max="10504" width="57.7109375" style="78" customWidth="1"/>
    <col min="10505" max="10505" width="5.140625" style="78" customWidth="1"/>
    <col min="10506" max="10506" width="12.140625" style="78" customWidth="1"/>
    <col min="10507" max="10507" width="14.421875" style="78" customWidth="1"/>
    <col min="10508" max="10508" width="20.7109375" style="78" customWidth="1"/>
    <col min="10509" max="10509" width="84.140625" style="78" customWidth="1"/>
    <col min="10510" max="10510" width="14.00390625" style="78" bestFit="1" customWidth="1"/>
    <col min="10511" max="10752" width="9.28125" style="78" customWidth="1"/>
    <col min="10753" max="10757" width="9.140625" style="78" hidden="1" customWidth="1"/>
    <col min="10758" max="10758" width="6.28125" style="78" customWidth="1"/>
    <col min="10759" max="10759" width="16.421875" style="78" customWidth="1"/>
    <col min="10760" max="10760" width="57.7109375" style="78" customWidth="1"/>
    <col min="10761" max="10761" width="5.140625" style="78" customWidth="1"/>
    <col min="10762" max="10762" width="12.140625" style="78" customWidth="1"/>
    <col min="10763" max="10763" width="14.421875" style="78" customWidth="1"/>
    <col min="10764" max="10764" width="20.7109375" style="78" customWidth="1"/>
    <col min="10765" max="10765" width="84.140625" style="78" customWidth="1"/>
    <col min="10766" max="10766" width="14.00390625" style="78" bestFit="1" customWidth="1"/>
    <col min="10767" max="11008" width="9.28125" style="78" customWidth="1"/>
    <col min="11009" max="11013" width="9.140625" style="78" hidden="1" customWidth="1"/>
    <col min="11014" max="11014" width="6.28125" style="78" customWidth="1"/>
    <col min="11015" max="11015" width="16.421875" style="78" customWidth="1"/>
    <col min="11016" max="11016" width="57.7109375" style="78" customWidth="1"/>
    <col min="11017" max="11017" width="5.140625" style="78" customWidth="1"/>
    <col min="11018" max="11018" width="12.140625" style="78" customWidth="1"/>
    <col min="11019" max="11019" width="14.421875" style="78" customWidth="1"/>
    <col min="11020" max="11020" width="20.7109375" style="78" customWidth="1"/>
    <col min="11021" max="11021" width="84.140625" style="78" customWidth="1"/>
    <col min="11022" max="11022" width="14.00390625" style="78" bestFit="1" customWidth="1"/>
    <col min="11023" max="11264" width="9.28125" style="78" customWidth="1"/>
    <col min="11265" max="11269" width="9.140625" style="78" hidden="1" customWidth="1"/>
    <col min="11270" max="11270" width="6.28125" style="78" customWidth="1"/>
    <col min="11271" max="11271" width="16.421875" style="78" customWidth="1"/>
    <col min="11272" max="11272" width="57.7109375" style="78" customWidth="1"/>
    <col min="11273" max="11273" width="5.140625" style="78" customWidth="1"/>
    <col min="11274" max="11274" width="12.140625" style="78" customWidth="1"/>
    <col min="11275" max="11275" width="14.421875" style="78" customWidth="1"/>
    <col min="11276" max="11276" width="20.7109375" style="78" customWidth="1"/>
    <col min="11277" max="11277" width="84.140625" style="78" customWidth="1"/>
    <col min="11278" max="11278" width="14.00390625" style="78" bestFit="1" customWidth="1"/>
    <col min="11279" max="11520" width="9.28125" style="78" customWidth="1"/>
    <col min="11521" max="11525" width="9.140625" style="78" hidden="1" customWidth="1"/>
    <col min="11526" max="11526" width="6.28125" style="78" customWidth="1"/>
    <col min="11527" max="11527" width="16.421875" style="78" customWidth="1"/>
    <col min="11528" max="11528" width="57.7109375" style="78" customWidth="1"/>
    <col min="11529" max="11529" width="5.140625" style="78" customWidth="1"/>
    <col min="11530" max="11530" width="12.140625" style="78" customWidth="1"/>
    <col min="11531" max="11531" width="14.421875" style="78" customWidth="1"/>
    <col min="11532" max="11532" width="20.7109375" style="78" customWidth="1"/>
    <col min="11533" max="11533" width="84.140625" style="78" customWidth="1"/>
    <col min="11534" max="11534" width="14.00390625" style="78" bestFit="1" customWidth="1"/>
    <col min="11535" max="11776" width="9.28125" style="78" customWidth="1"/>
    <col min="11777" max="11781" width="9.140625" style="78" hidden="1" customWidth="1"/>
    <col min="11782" max="11782" width="6.28125" style="78" customWidth="1"/>
    <col min="11783" max="11783" width="16.421875" style="78" customWidth="1"/>
    <col min="11784" max="11784" width="57.7109375" style="78" customWidth="1"/>
    <col min="11785" max="11785" width="5.140625" style="78" customWidth="1"/>
    <col min="11786" max="11786" width="12.140625" style="78" customWidth="1"/>
    <col min="11787" max="11787" width="14.421875" style="78" customWidth="1"/>
    <col min="11788" max="11788" width="20.7109375" style="78" customWidth="1"/>
    <col min="11789" max="11789" width="84.140625" style="78" customWidth="1"/>
    <col min="11790" max="11790" width="14.00390625" style="78" bestFit="1" customWidth="1"/>
    <col min="11791" max="12032" width="9.28125" style="78" customWidth="1"/>
    <col min="12033" max="12037" width="9.140625" style="78" hidden="1" customWidth="1"/>
    <col min="12038" max="12038" width="6.28125" style="78" customWidth="1"/>
    <col min="12039" max="12039" width="16.421875" style="78" customWidth="1"/>
    <col min="12040" max="12040" width="57.7109375" style="78" customWidth="1"/>
    <col min="12041" max="12041" width="5.140625" style="78" customWidth="1"/>
    <col min="12042" max="12042" width="12.140625" style="78" customWidth="1"/>
    <col min="12043" max="12043" width="14.421875" style="78" customWidth="1"/>
    <col min="12044" max="12044" width="20.7109375" style="78" customWidth="1"/>
    <col min="12045" max="12045" width="84.140625" style="78" customWidth="1"/>
    <col min="12046" max="12046" width="14.00390625" style="78" bestFit="1" customWidth="1"/>
    <col min="12047" max="12288" width="9.28125" style="78" customWidth="1"/>
    <col min="12289" max="12293" width="9.140625" style="78" hidden="1" customWidth="1"/>
    <col min="12294" max="12294" width="6.28125" style="78" customWidth="1"/>
    <col min="12295" max="12295" width="16.421875" style="78" customWidth="1"/>
    <col min="12296" max="12296" width="57.7109375" style="78" customWidth="1"/>
    <col min="12297" max="12297" width="5.140625" style="78" customWidth="1"/>
    <col min="12298" max="12298" width="12.140625" style="78" customWidth="1"/>
    <col min="12299" max="12299" width="14.421875" style="78" customWidth="1"/>
    <col min="12300" max="12300" width="20.7109375" style="78" customWidth="1"/>
    <col min="12301" max="12301" width="84.140625" style="78" customWidth="1"/>
    <col min="12302" max="12302" width="14.00390625" style="78" bestFit="1" customWidth="1"/>
    <col min="12303" max="12544" width="9.28125" style="78" customWidth="1"/>
    <col min="12545" max="12549" width="9.140625" style="78" hidden="1" customWidth="1"/>
    <col min="12550" max="12550" width="6.28125" style="78" customWidth="1"/>
    <col min="12551" max="12551" width="16.421875" style="78" customWidth="1"/>
    <col min="12552" max="12552" width="57.7109375" style="78" customWidth="1"/>
    <col min="12553" max="12553" width="5.140625" style="78" customWidth="1"/>
    <col min="12554" max="12554" width="12.140625" style="78" customWidth="1"/>
    <col min="12555" max="12555" width="14.421875" style="78" customWidth="1"/>
    <col min="12556" max="12556" width="20.7109375" style="78" customWidth="1"/>
    <col min="12557" max="12557" width="84.140625" style="78" customWidth="1"/>
    <col min="12558" max="12558" width="14.00390625" style="78" bestFit="1" customWidth="1"/>
    <col min="12559" max="12800" width="9.28125" style="78" customWidth="1"/>
    <col min="12801" max="12805" width="9.140625" style="78" hidden="1" customWidth="1"/>
    <col min="12806" max="12806" width="6.28125" style="78" customWidth="1"/>
    <col min="12807" max="12807" width="16.421875" style="78" customWidth="1"/>
    <col min="12808" max="12808" width="57.7109375" style="78" customWidth="1"/>
    <col min="12809" max="12809" width="5.140625" style="78" customWidth="1"/>
    <col min="12810" max="12810" width="12.140625" style="78" customWidth="1"/>
    <col min="12811" max="12811" width="14.421875" style="78" customWidth="1"/>
    <col min="12812" max="12812" width="20.7109375" style="78" customWidth="1"/>
    <col min="12813" max="12813" width="84.140625" style="78" customWidth="1"/>
    <col min="12814" max="12814" width="14.00390625" style="78" bestFit="1" customWidth="1"/>
    <col min="12815" max="13056" width="9.28125" style="78" customWidth="1"/>
    <col min="13057" max="13061" width="9.140625" style="78" hidden="1" customWidth="1"/>
    <col min="13062" max="13062" width="6.28125" style="78" customWidth="1"/>
    <col min="13063" max="13063" width="16.421875" style="78" customWidth="1"/>
    <col min="13064" max="13064" width="57.7109375" style="78" customWidth="1"/>
    <col min="13065" max="13065" width="5.140625" style="78" customWidth="1"/>
    <col min="13066" max="13066" width="12.140625" style="78" customWidth="1"/>
    <col min="13067" max="13067" width="14.421875" style="78" customWidth="1"/>
    <col min="13068" max="13068" width="20.7109375" style="78" customWidth="1"/>
    <col min="13069" max="13069" width="84.140625" style="78" customWidth="1"/>
    <col min="13070" max="13070" width="14.00390625" style="78" bestFit="1" customWidth="1"/>
    <col min="13071" max="13312" width="9.28125" style="78" customWidth="1"/>
    <col min="13313" max="13317" width="9.140625" style="78" hidden="1" customWidth="1"/>
    <col min="13318" max="13318" width="6.28125" style="78" customWidth="1"/>
    <col min="13319" max="13319" width="16.421875" style="78" customWidth="1"/>
    <col min="13320" max="13320" width="57.7109375" style="78" customWidth="1"/>
    <col min="13321" max="13321" width="5.140625" style="78" customWidth="1"/>
    <col min="13322" max="13322" width="12.140625" style="78" customWidth="1"/>
    <col min="13323" max="13323" width="14.421875" style="78" customWidth="1"/>
    <col min="13324" max="13324" width="20.7109375" style="78" customWidth="1"/>
    <col min="13325" max="13325" width="84.140625" style="78" customWidth="1"/>
    <col min="13326" max="13326" width="14.00390625" style="78" bestFit="1" customWidth="1"/>
    <col min="13327" max="13568" width="9.28125" style="78" customWidth="1"/>
    <col min="13569" max="13573" width="9.140625" style="78" hidden="1" customWidth="1"/>
    <col min="13574" max="13574" width="6.28125" style="78" customWidth="1"/>
    <col min="13575" max="13575" width="16.421875" style="78" customWidth="1"/>
    <col min="13576" max="13576" width="57.7109375" style="78" customWidth="1"/>
    <col min="13577" max="13577" width="5.140625" style="78" customWidth="1"/>
    <col min="13578" max="13578" width="12.140625" style="78" customWidth="1"/>
    <col min="13579" max="13579" width="14.421875" style="78" customWidth="1"/>
    <col min="13580" max="13580" width="20.7109375" style="78" customWidth="1"/>
    <col min="13581" max="13581" width="84.140625" style="78" customWidth="1"/>
    <col min="13582" max="13582" width="14.00390625" style="78" bestFit="1" customWidth="1"/>
    <col min="13583" max="13824" width="9.28125" style="78" customWidth="1"/>
    <col min="13825" max="13829" width="9.140625" style="78" hidden="1" customWidth="1"/>
    <col min="13830" max="13830" width="6.28125" style="78" customWidth="1"/>
    <col min="13831" max="13831" width="16.421875" style="78" customWidth="1"/>
    <col min="13832" max="13832" width="57.7109375" style="78" customWidth="1"/>
    <col min="13833" max="13833" width="5.140625" style="78" customWidth="1"/>
    <col min="13834" max="13834" width="12.140625" style="78" customWidth="1"/>
    <col min="13835" max="13835" width="14.421875" style="78" customWidth="1"/>
    <col min="13836" max="13836" width="20.7109375" style="78" customWidth="1"/>
    <col min="13837" max="13837" width="84.140625" style="78" customWidth="1"/>
    <col min="13838" max="13838" width="14.00390625" style="78" bestFit="1" customWidth="1"/>
    <col min="13839" max="14080" width="9.28125" style="78" customWidth="1"/>
    <col min="14081" max="14085" width="9.140625" style="78" hidden="1" customWidth="1"/>
    <col min="14086" max="14086" width="6.28125" style="78" customWidth="1"/>
    <col min="14087" max="14087" width="16.421875" style="78" customWidth="1"/>
    <col min="14088" max="14088" width="57.7109375" style="78" customWidth="1"/>
    <col min="14089" max="14089" width="5.140625" style="78" customWidth="1"/>
    <col min="14090" max="14090" width="12.140625" style="78" customWidth="1"/>
    <col min="14091" max="14091" width="14.421875" style="78" customWidth="1"/>
    <col min="14092" max="14092" width="20.7109375" style="78" customWidth="1"/>
    <col min="14093" max="14093" width="84.140625" style="78" customWidth="1"/>
    <col min="14094" max="14094" width="14.00390625" style="78" bestFit="1" customWidth="1"/>
    <col min="14095" max="14336" width="9.28125" style="78" customWidth="1"/>
    <col min="14337" max="14341" width="9.140625" style="78" hidden="1" customWidth="1"/>
    <col min="14342" max="14342" width="6.28125" style="78" customWidth="1"/>
    <col min="14343" max="14343" width="16.421875" style="78" customWidth="1"/>
    <col min="14344" max="14344" width="57.7109375" style="78" customWidth="1"/>
    <col min="14345" max="14345" width="5.140625" style="78" customWidth="1"/>
    <col min="14346" max="14346" width="12.140625" style="78" customWidth="1"/>
    <col min="14347" max="14347" width="14.421875" style="78" customWidth="1"/>
    <col min="14348" max="14348" width="20.7109375" style="78" customWidth="1"/>
    <col min="14349" max="14349" width="84.140625" style="78" customWidth="1"/>
    <col min="14350" max="14350" width="14.00390625" style="78" bestFit="1" customWidth="1"/>
    <col min="14351" max="14592" width="9.28125" style="78" customWidth="1"/>
    <col min="14593" max="14597" width="9.140625" style="78" hidden="1" customWidth="1"/>
    <col min="14598" max="14598" width="6.28125" style="78" customWidth="1"/>
    <col min="14599" max="14599" width="16.421875" style="78" customWidth="1"/>
    <col min="14600" max="14600" width="57.7109375" style="78" customWidth="1"/>
    <col min="14601" max="14601" width="5.140625" style="78" customWidth="1"/>
    <col min="14602" max="14602" width="12.140625" style="78" customWidth="1"/>
    <col min="14603" max="14603" width="14.421875" style="78" customWidth="1"/>
    <col min="14604" max="14604" width="20.7109375" style="78" customWidth="1"/>
    <col min="14605" max="14605" width="84.140625" style="78" customWidth="1"/>
    <col min="14606" max="14606" width="14.00390625" style="78" bestFit="1" customWidth="1"/>
    <col min="14607" max="14848" width="9.28125" style="78" customWidth="1"/>
    <col min="14849" max="14853" width="9.140625" style="78" hidden="1" customWidth="1"/>
    <col min="14854" max="14854" width="6.28125" style="78" customWidth="1"/>
    <col min="14855" max="14855" width="16.421875" style="78" customWidth="1"/>
    <col min="14856" max="14856" width="57.7109375" style="78" customWidth="1"/>
    <col min="14857" max="14857" width="5.140625" style="78" customWidth="1"/>
    <col min="14858" max="14858" width="12.140625" style="78" customWidth="1"/>
    <col min="14859" max="14859" width="14.421875" style="78" customWidth="1"/>
    <col min="14860" max="14860" width="20.7109375" style="78" customWidth="1"/>
    <col min="14861" max="14861" width="84.140625" style="78" customWidth="1"/>
    <col min="14862" max="14862" width="14.00390625" style="78" bestFit="1" customWidth="1"/>
    <col min="14863" max="15104" width="9.28125" style="78" customWidth="1"/>
    <col min="15105" max="15109" width="9.140625" style="78" hidden="1" customWidth="1"/>
    <col min="15110" max="15110" width="6.28125" style="78" customWidth="1"/>
    <col min="15111" max="15111" width="16.421875" style="78" customWidth="1"/>
    <col min="15112" max="15112" width="57.7109375" style="78" customWidth="1"/>
    <col min="15113" max="15113" width="5.140625" style="78" customWidth="1"/>
    <col min="15114" max="15114" width="12.140625" style="78" customWidth="1"/>
    <col min="15115" max="15115" width="14.421875" style="78" customWidth="1"/>
    <col min="15116" max="15116" width="20.7109375" style="78" customWidth="1"/>
    <col min="15117" max="15117" width="84.140625" style="78" customWidth="1"/>
    <col min="15118" max="15118" width="14.00390625" style="78" bestFit="1" customWidth="1"/>
    <col min="15119" max="15360" width="9.28125" style="78" customWidth="1"/>
    <col min="15361" max="15365" width="9.140625" style="78" hidden="1" customWidth="1"/>
    <col min="15366" max="15366" width="6.28125" style="78" customWidth="1"/>
    <col min="15367" max="15367" width="16.421875" style="78" customWidth="1"/>
    <col min="15368" max="15368" width="57.7109375" style="78" customWidth="1"/>
    <col min="15369" max="15369" width="5.140625" style="78" customWidth="1"/>
    <col min="15370" max="15370" width="12.140625" style="78" customWidth="1"/>
    <col min="15371" max="15371" width="14.421875" style="78" customWidth="1"/>
    <col min="15372" max="15372" width="20.7109375" style="78" customWidth="1"/>
    <col min="15373" max="15373" width="84.140625" style="78" customWidth="1"/>
    <col min="15374" max="15374" width="14.00390625" style="78" bestFit="1" customWidth="1"/>
    <col min="15375" max="15616" width="9.28125" style="78" customWidth="1"/>
    <col min="15617" max="15621" width="9.140625" style="78" hidden="1" customWidth="1"/>
    <col min="15622" max="15622" width="6.28125" style="78" customWidth="1"/>
    <col min="15623" max="15623" width="16.421875" style="78" customWidth="1"/>
    <col min="15624" max="15624" width="57.7109375" style="78" customWidth="1"/>
    <col min="15625" max="15625" width="5.140625" style="78" customWidth="1"/>
    <col min="15626" max="15626" width="12.140625" style="78" customWidth="1"/>
    <col min="15627" max="15627" width="14.421875" style="78" customWidth="1"/>
    <col min="15628" max="15628" width="20.7109375" style="78" customWidth="1"/>
    <col min="15629" max="15629" width="84.140625" style="78" customWidth="1"/>
    <col min="15630" max="15630" width="14.00390625" style="78" bestFit="1" customWidth="1"/>
    <col min="15631" max="15872" width="9.28125" style="78" customWidth="1"/>
    <col min="15873" max="15877" width="9.140625" style="78" hidden="1" customWidth="1"/>
    <col min="15878" max="15878" width="6.28125" style="78" customWidth="1"/>
    <col min="15879" max="15879" width="16.421875" style="78" customWidth="1"/>
    <col min="15880" max="15880" width="57.7109375" style="78" customWidth="1"/>
    <col min="15881" max="15881" width="5.140625" style="78" customWidth="1"/>
    <col min="15882" max="15882" width="12.140625" style="78" customWidth="1"/>
    <col min="15883" max="15883" width="14.421875" style="78" customWidth="1"/>
    <col min="15884" max="15884" width="20.7109375" style="78" customWidth="1"/>
    <col min="15885" max="15885" width="84.140625" style="78" customWidth="1"/>
    <col min="15886" max="15886" width="14.00390625" style="78" bestFit="1" customWidth="1"/>
    <col min="15887" max="16128" width="9.28125" style="78" customWidth="1"/>
    <col min="16129" max="16133" width="9.140625" style="78" hidden="1" customWidth="1"/>
    <col min="16134" max="16134" width="6.28125" style="78" customWidth="1"/>
    <col min="16135" max="16135" width="16.421875" style="78" customWidth="1"/>
    <col min="16136" max="16136" width="57.7109375" style="78" customWidth="1"/>
    <col min="16137" max="16137" width="5.140625" style="78" customWidth="1"/>
    <col min="16138" max="16138" width="12.140625" style="78" customWidth="1"/>
    <col min="16139" max="16139" width="14.421875" style="78" customWidth="1"/>
    <col min="16140" max="16140" width="20.7109375" style="78" customWidth="1"/>
    <col min="16141" max="16141" width="84.140625" style="78" customWidth="1"/>
    <col min="16142" max="16142" width="14.00390625" style="78" bestFit="1" customWidth="1"/>
    <col min="16143" max="16384" width="9.28125" style="78" customWidth="1"/>
  </cols>
  <sheetData>
    <row r="1" spans="6:12" s="586" customFormat="1" ht="12">
      <c r="F1" s="593"/>
      <c r="G1" s="594"/>
      <c r="H1" s="595"/>
      <c r="I1" s="596"/>
      <c r="J1" s="515"/>
      <c r="K1" s="597"/>
      <c r="L1" s="597"/>
    </row>
    <row r="2" spans="6:12" s="586" customFormat="1" ht="21" customHeight="1">
      <c r="F2" s="593"/>
      <c r="G2" s="838" t="s">
        <v>15</v>
      </c>
      <c r="H2" s="838"/>
      <c r="I2" s="838"/>
      <c r="J2" s="838"/>
      <c r="K2" s="838"/>
      <c r="L2" s="838"/>
    </row>
    <row r="3" spans="6:12" s="586" customFormat="1" ht="21" customHeight="1">
      <c r="F3" s="593"/>
      <c r="G3" s="838" t="s">
        <v>3674</v>
      </c>
      <c r="H3" s="838"/>
      <c r="I3" s="598"/>
      <c r="J3" s="598"/>
      <c r="K3" s="598"/>
      <c r="L3" s="598"/>
    </row>
    <row r="4" spans="6:12" s="586" customFormat="1" ht="15.75">
      <c r="F4" s="593"/>
      <c r="G4" s="840" t="s">
        <v>3524</v>
      </c>
      <c r="H4" s="840"/>
      <c r="I4" s="840"/>
      <c r="J4" s="840"/>
      <c r="K4" s="840"/>
      <c r="L4" s="840"/>
    </row>
    <row r="5" spans="6:12" s="586" customFormat="1" ht="12">
      <c r="F5" s="593"/>
      <c r="G5" s="599" t="s">
        <v>3525</v>
      </c>
      <c r="H5" s="595"/>
      <c r="I5" s="596"/>
      <c r="J5" s="515"/>
      <c r="K5" s="597"/>
      <c r="L5" s="600">
        <f>L17</f>
        <v>0</v>
      </c>
    </row>
    <row r="6" spans="6:12" s="586" customFormat="1" ht="12">
      <c r="F6" s="593"/>
      <c r="G6" s="599" t="s">
        <v>3526</v>
      </c>
      <c r="H6" s="595"/>
      <c r="I6" s="596"/>
      <c r="J6" s="515"/>
      <c r="K6" s="597"/>
      <c r="L6" s="600">
        <f>L23</f>
        <v>0</v>
      </c>
    </row>
    <row r="7" spans="6:12" s="586" customFormat="1" ht="12">
      <c r="F7" s="593"/>
      <c r="G7" s="599" t="s">
        <v>3527</v>
      </c>
      <c r="H7" s="595"/>
      <c r="I7" s="596"/>
      <c r="J7" s="515"/>
      <c r="K7" s="597"/>
      <c r="L7" s="600">
        <f>L58</f>
        <v>0</v>
      </c>
    </row>
    <row r="8" spans="6:12" s="586" customFormat="1" ht="12">
      <c r="F8" s="593"/>
      <c r="G8" s="599" t="str">
        <f>H87</f>
        <v>Přeložka vodovodu</v>
      </c>
      <c r="H8" s="595"/>
      <c r="I8" s="596"/>
      <c r="J8" s="515"/>
      <c r="K8" s="597"/>
      <c r="L8" s="600">
        <f>L87</f>
        <v>0</v>
      </c>
    </row>
    <row r="9" spans="6:12" s="586" customFormat="1" ht="12">
      <c r="F9" s="593"/>
      <c r="G9" s="599" t="str">
        <f>H91</f>
        <v>Přeložka kabelových vedení</v>
      </c>
      <c r="H9" s="595"/>
      <c r="I9" s="596"/>
      <c r="J9" s="515"/>
      <c r="K9" s="597"/>
      <c r="L9" s="600">
        <f>L91</f>
        <v>0</v>
      </c>
    </row>
    <row r="10" spans="6:12" s="586" customFormat="1" ht="13.5" thickBot="1">
      <c r="F10" s="593"/>
      <c r="G10" s="599" t="s">
        <v>3528</v>
      </c>
      <c r="H10" s="595"/>
      <c r="I10" s="596"/>
      <c r="J10" s="515"/>
      <c r="K10" s="597"/>
      <c r="L10" s="600">
        <f>L96</f>
        <v>0</v>
      </c>
    </row>
    <row r="11" spans="6:18" s="607" customFormat="1" ht="15.75" thickTop="1">
      <c r="F11" s="601"/>
      <c r="G11" s="602" t="s">
        <v>3529</v>
      </c>
      <c r="H11" s="603"/>
      <c r="I11" s="604"/>
      <c r="J11" s="522"/>
      <c r="K11" s="605"/>
      <c r="L11" s="606">
        <f>SUM(L5:L10)</f>
        <v>0</v>
      </c>
      <c r="M11" s="841"/>
      <c r="N11" s="841"/>
      <c r="O11" s="841"/>
      <c r="P11" s="841"/>
      <c r="Q11" s="841"/>
      <c r="R11" s="841"/>
    </row>
    <row r="12" spans="6:12" s="586" customFormat="1" ht="15">
      <c r="F12" s="593"/>
      <c r="G12" s="599"/>
      <c r="H12" s="595"/>
      <c r="I12" s="596"/>
      <c r="J12" s="526"/>
      <c r="K12" s="597"/>
      <c r="L12" s="608"/>
    </row>
    <row r="13" spans="6:12" s="613" customFormat="1" ht="13.5" thickBot="1">
      <c r="F13" s="609" t="s">
        <v>3530</v>
      </c>
      <c r="G13" s="610" t="s">
        <v>58</v>
      </c>
      <c r="H13" s="611" t="s">
        <v>59</v>
      </c>
      <c r="I13" s="612" t="s">
        <v>133</v>
      </c>
      <c r="J13" s="528" t="s">
        <v>3846</v>
      </c>
      <c r="K13" s="532" t="s">
        <v>3844</v>
      </c>
      <c r="L13" s="532" t="s">
        <v>3845</v>
      </c>
    </row>
    <row r="14" spans="6:12" s="586" customFormat="1" ht="11.25" customHeight="1">
      <c r="F14" s="614"/>
      <c r="G14" s="615"/>
      <c r="H14" s="616"/>
      <c r="I14" s="617"/>
      <c r="J14" s="614"/>
      <c r="K14" s="608"/>
      <c r="L14" s="608"/>
    </row>
    <row r="15" spans="6:12" s="622" customFormat="1" ht="18.75" customHeight="1">
      <c r="F15" s="618"/>
      <c r="G15" s="619"/>
      <c r="H15" s="619" t="s">
        <v>3531</v>
      </c>
      <c r="I15" s="620"/>
      <c r="J15" s="541"/>
      <c r="K15" s="621"/>
      <c r="L15" s="621"/>
    </row>
    <row r="16" spans="6:12" s="543" customFormat="1" ht="18.75" customHeight="1">
      <c r="F16" s="538"/>
      <c r="G16" s="539"/>
      <c r="H16" s="544" t="s">
        <v>3820</v>
      </c>
      <c r="I16" s="540"/>
      <c r="J16" s="541"/>
      <c r="K16" s="542"/>
      <c r="L16" s="542"/>
    </row>
    <row r="17" spans="6:12" s="622" customFormat="1" ht="18.75" customHeight="1">
      <c r="F17" s="623"/>
      <c r="G17" s="599"/>
      <c r="H17" s="599" t="s">
        <v>3525</v>
      </c>
      <c r="I17" s="617"/>
      <c r="J17" s="546"/>
      <c r="K17" s="600"/>
      <c r="L17" s="624">
        <f>SUM(L18:L21)</f>
        <v>0</v>
      </c>
    </row>
    <row r="18" spans="6:12" s="630" customFormat="1" ht="12" outlineLevel="2">
      <c r="F18" s="591">
        <v>1</v>
      </c>
      <c r="G18" s="625"/>
      <c r="H18" s="626" t="s">
        <v>3532</v>
      </c>
      <c r="I18" s="627" t="s">
        <v>883</v>
      </c>
      <c r="J18" s="628">
        <v>1</v>
      </c>
      <c r="K18" s="644"/>
      <c r="L18" s="629">
        <f>J18*K18</f>
        <v>0</v>
      </c>
    </row>
    <row r="19" spans="6:12" s="630" customFormat="1" ht="12" outlineLevel="2">
      <c r="F19" s="591">
        <f>F18+1</f>
        <v>2</v>
      </c>
      <c r="G19" s="625"/>
      <c r="H19" s="626" t="s">
        <v>3533</v>
      </c>
      <c r="I19" s="627" t="s">
        <v>883</v>
      </c>
      <c r="J19" s="628">
        <v>1</v>
      </c>
      <c r="K19" s="644"/>
      <c r="L19" s="629">
        <f>J19*K19</f>
        <v>0</v>
      </c>
    </row>
    <row r="20" spans="6:12" s="630" customFormat="1" ht="24" outlineLevel="2">
      <c r="F20" s="591">
        <f>F19+1</f>
        <v>3</v>
      </c>
      <c r="G20" s="625"/>
      <c r="H20" s="626" t="s">
        <v>3534</v>
      </c>
      <c r="I20" s="627" t="s">
        <v>883</v>
      </c>
      <c r="J20" s="628">
        <v>1</v>
      </c>
      <c r="K20" s="644"/>
      <c r="L20" s="629">
        <f>J20*K20</f>
        <v>0</v>
      </c>
    </row>
    <row r="21" spans="6:12" s="630" customFormat="1" ht="12" outlineLevel="2">
      <c r="F21" s="591">
        <f>F20+1</f>
        <v>4</v>
      </c>
      <c r="G21" s="625"/>
      <c r="H21" s="626" t="s">
        <v>3535</v>
      </c>
      <c r="I21" s="627" t="s">
        <v>883</v>
      </c>
      <c r="J21" s="628">
        <v>1</v>
      </c>
      <c r="K21" s="644"/>
      <c r="L21" s="629">
        <f>J21*K21</f>
        <v>0</v>
      </c>
    </row>
    <row r="22" spans="6:12" s="630" customFormat="1" ht="12" outlineLevel="2">
      <c r="F22" s="631"/>
      <c r="G22" s="632"/>
      <c r="H22" s="633"/>
      <c r="I22" s="634"/>
      <c r="J22" s="559"/>
      <c r="K22" s="578"/>
      <c r="L22" s="635"/>
    </row>
    <row r="23" spans="6:13" s="586" customFormat="1" ht="13.5" customHeight="1">
      <c r="F23" s="593"/>
      <c r="G23" s="594"/>
      <c r="H23" s="599" t="s">
        <v>3526</v>
      </c>
      <c r="I23" s="596"/>
      <c r="J23" s="515"/>
      <c r="K23" s="645"/>
      <c r="L23" s="608">
        <f>SUM(L24:L56)</f>
        <v>0</v>
      </c>
      <c r="M23" s="636"/>
    </row>
    <row r="24" spans="6:12" s="586" customFormat="1" ht="36">
      <c r="F24" s="582">
        <f>F21+1</f>
        <v>5</v>
      </c>
      <c r="G24" s="583" t="s">
        <v>3858</v>
      </c>
      <c r="H24" s="574" t="s">
        <v>3859</v>
      </c>
      <c r="I24" s="584" t="s">
        <v>1361</v>
      </c>
      <c r="J24" s="575">
        <v>13</v>
      </c>
      <c r="K24" s="592"/>
      <c r="L24" s="585">
        <f aca="true" t="shared" si="0" ref="L24">J24*K24</f>
        <v>0</v>
      </c>
    </row>
    <row r="25" spans="6:12" s="586" customFormat="1" ht="12">
      <c r="F25" s="582">
        <f>F24+1</f>
        <v>6</v>
      </c>
      <c r="G25" s="583" t="s">
        <v>3537</v>
      </c>
      <c r="H25" s="574" t="s">
        <v>3538</v>
      </c>
      <c r="I25" s="584" t="s">
        <v>151</v>
      </c>
      <c r="J25" s="575">
        <f>J26</f>
        <v>96</v>
      </c>
      <c r="K25" s="592"/>
      <c r="L25" s="585">
        <f aca="true" t="shared" si="1" ref="L25:L50">J25*K25</f>
        <v>0</v>
      </c>
    </row>
    <row r="26" spans="6:12" s="586" customFormat="1" ht="12">
      <c r="F26" s="582"/>
      <c r="G26" s="587"/>
      <c r="H26" s="588" t="s">
        <v>3874</v>
      </c>
      <c r="I26" s="589"/>
      <c r="J26" s="590">
        <f>(95+10-7-2)*1</f>
        <v>96</v>
      </c>
      <c r="K26" s="592"/>
      <c r="L26" s="585"/>
    </row>
    <row r="27" spans="6:12" s="586" customFormat="1" ht="24">
      <c r="F27" s="582">
        <f>A25:F25+1</f>
        <v>7</v>
      </c>
      <c r="G27" s="583" t="s">
        <v>3540</v>
      </c>
      <c r="H27" s="574" t="s">
        <v>3541</v>
      </c>
      <c r="I27" s="584" t="s">
        <v>151</v>
      </c>
      <c r="J27" s="575">
        <f>J25</f>
        <v>96</v>
      </c>
      <c r="K27" s="592"/>
      <c r="L27" s="585">
        <f t="shared" si="1"/>
        <v>0</v>
      </c>
    </row>
    <row r="28" spans="6:12" s="586" customFormat="1" ht="12">
      <c r="F28" s="582">
        <f>F27+1</f>
        <v>8</v>
      </c>
      <c r="G28" s="583"/>
      <c r="H28" s="574" t="s">
        <v>3890</v>
      </c>
      <c r="I28" s="584" t="s">
        <v>162</v>
      </c>
      <c r="J28" s="575">
        <v>3</v>
      </c>
      <c r="K28" s="592"/>
      <c r="L28" s="585">
        <f aca="true" t="shared" si="2" ref="L28">J28*K28</f>
        <v>0</v>
      </c>
    </row>
    <row r="29" spans="6:12" s="586" customFormat="1" ht="24">
      <c r="F29" s="582">
        <f>F28+1</f>
        <v>9</v>
      </c>
      <c r="G29" s="583" t="s">
        <v>3542</v>
      </c>
      <c r="H29" s="566" t="s">
        <v>3807</v>
      </c>
      <c r="I29" s="584" t="s">
        <v>151</v>
      </c>
      <c r="J29" s="575">
        <f>8*7</f>
        <v>56</v>
      </c>
      <c r="K29" s="592"/>
      <c r="L29" s="585">
        <f t="shared" si="1"/>
        <v>0</v>
      </c>
    </row>
    <row r="30" spans="6:12" s="586" customFormat="1" ht="12">
      <c r="F30" s="582"/>
      <c r="G30" s="587"/>
      <c r="H30" s="588" t="s">
        <v>3656</v>
      </c>
      <c r="I30" s="589"/>
      <c r="J30" s="590"/>
      <c r="K30" s="592"/>
      <c r="L30" s="585"/>
    </row>
    <row r="31" spans="6:12" s="586" customFormat="1" ht="24">
      <c r="F31" s="582">
        <f>F29+1</f>
        <v>10</v>
      </c>
      <c r="G31" s="583" t="s">
        <v>3547</v>
      </c>
      <c r="H31" s="574" t="s">
        <v>3548</v>
      </c>
      <c r="I31" s="584" t="s">
        <v>162</v>
      </c>
      <c r="J31" s="575">
        <f>SUM(J32:J34)</f>
        <v>143.78000000000003</v>
      </c>
      <c r="K31" s="592"/>
      <c r="L31" s="585">
        <f t="shared" si="1"/>
        <v>0</v>
      </c>
    </row>
    <row r="32" spans="6:13" s="586" customFormat="1" ht="16.5" customHeight="1">
      <c r="F32" s="582"/>
      <c r="G32" s="583" t="s">
        <v>3870</v>
      </c>
      <c r="H32" s="574" t="s">
        <v>3873</v>
      </c>
      <c r="I32" s="584"/>
      <c r="J32" s="575">
        <f>(95+10)*1.1*0.8+7*3.14*1*1*1</f>
        <v>114.38000000000002</v>
      </c>
      <c r="K32" s="592"/>
      <c r="L32" s="585"/>
      <c r="M32" s="574"/>
    </row>
    <row r="33" spans="6:12" s="586" customFormat="1" ht="16.5" customHeight="1">
      <c r="F33" s="582"/>
      <c r="G33" s="583" t="s">
        <v>3869</v>
      </c>
      <c r="H33" s="574" t="s">
        <v>3871</v>
      </c>
      <c r="I33" s="584"/>
      <c r="J33" s="575">
        <f>20*0.6*1.2</f>
        <v>14.399999999999999</v>
      </c>
      <c r="K33" s="592"/>
      <c r="L33" s="585"/>
    </row>
    <row r="34" spans="6:12" s="586" customFormat="1" ht="16.5" customHeight="1">
      <c r="F34" s="582"/>
      <c r="G34" s="583" t="s">
        <v>3894</v>
      </c>
      <c r="H34" s="574" t="s">
        <v>3895</v>
      </c>
      <c r="I34" s="584"/>
      <c r="J34" s="575">
        <f>25*0.6*1</f>
        <v>15</v>
      </c>
      <c r="K34" s="592"/>
      <c r="L34" s="585"/>
    </row>
    <row r="35" spans="6:12" s="586" customFormat="1" ht="24">
      <c r="F35" s="582">
        <f>F31+1</f>
        <v>11</v>
      </c>
      <c r="G35" s="583" t="s">
        <v>3553</v>
      </c>
      <c r="H35" s="574" t="s">
        <v>3554</v>
      </c>
      <c r="I35" s="584" t="s">
        <v>162</v>
      </c>
      <c r="J35" s="575">
        <f>J31</f>
        <v>143.78000000000003</v>
      </c>
      <c r="K35" s="592"/>
      <c r="L35" s="585">
        <f t="shared" si="1"/>
        <v>0</v>
      </c>
    </row>
    <row r="36" spans="6:12" s="586" customFormat="1" ht="24">
      <c r="F36" s="591">
        <f>F35+1</f>
        <v>12</v>
      </c>
      <c r="G36" s="583" t="s">
        <v>3555</v>
      </c>
      <c r="H36" s="574" t="s">
        <v>3556</v>
      </c>
      <c r="I36" s="584" t="s">
        <v>162</v>
      </c>
      <c r="J36" s="575">
        <f>SUM(J37:J40)</f>
        <v>55.16400000000001</v>
      </c>
      <c r="K36" s="592"/>
      <c r="L36" s="585">
        <f t="shared" si="1"/>
        <v>0</v>
      </c>
    </row>
    <row r="37" spans="6:12" s="586" customFormat="1" ht="12">
      <c r="F37" s="591"/>
      <c r="G37" s="583"/>
      <c r="H37" s="574" t="s">
        <v>3883</v>
      </c>
      <c r="I37" s="584"/>
      <c r="J37" s="575">
        <f>J74</f>
        <v>10.5</v>
      </c>
      <c r="K37" s="592"/>
      <c r="L37" s="585"/>
    </row>
    <row r="38" spans="6:12" s="586" customFormat="1" ht="12">
      <c r="F38" s="591"/>
      <c r="G38" s="583"/>
      <c r="H38" s="574" t="s">
        <v>3884</v>
      </c>
      <c r="I38" s="584"/>
      <c r="J38" s="575">
        <f>J81</f>
        <v>0.8639999999999999</v>
      </c>
      <c r="K38" s="592"/>
      <c r="L38" s="585"/>
    </row>
    <row r="39" spans="6:12" s="586" customFormat="1" ht="12">
      <c r="F39" s="591"/>
      <c r="G39" s="583"/>
      <c r="H39" s="574" t="s">
        <v>3885</v>
      </c>
      <c r="I39" s="584"/>
      <c r="J39" s="575">
        <f>J46</f>
        <v>38.9728623</v>
      </c>
      <c r="K39" s="592"/>
      <c r="L39" s="585"/>
    </row>
    <row r="40" spans="6:12" s="586" customFormat="1" ht="12">
      <c r="F40" s="591"/>
      <c r="G40" s="583"/>
      <c r="H40" s="574" t="s">
        <v>3887</v>
      </c>
      <c r="I40" s="584"/>
      <c r="J40" s="575">
        <f>105*3.14*0.242*0.242/4</f>
        <v>4.8271377</v>
      </c>
      <c r="K40" s="592"/>
      <c r="L40" s="585"/>
    </row>
    <row r="41" spans="6:12" s="586" customFormat="1" ht="12">
      <c r="F41" s="582">
        <f>A36:F36+1</f>
        <v>13</v>
      </c>
      <c r="G41" s="583" t="s">
        <v>3557</v>
      </c>
      <c r="H41" s="574" t="s">
        <v>3558</v>
      </c>
      <c r="I41" s="584" t="s">
        <v>162</v>
      </c>
      <c r="J41" s="575">
        <f>J36</f>
        <v>55.16400000000001</v>
      </c>
      <c r="K41" s="592"/>
      <c r="L41" s="585">
        <f t="shared" si="1"/>
        <v>0</v>
      </c>
    </row>
    <row r="42" spans="6:12" s="586" customFormat="1" ht="24">
      <c r="F42" s="591">
        <f>F41+1</f>
        <v>14</v>
      </c>
      <c r="G42" s="583" t="s">
        <v>3559</v>
      </c>
      <c r="H42" s="574" t="s">
        <v>1802</v>
      </c>
      <c r="I42" s="584" t="s">
        <v>162</v>
      </c>
      <c r="J42" s="575">
        <f>J45</f>
        <v>88.61600000000001</v>
      </c>
      <c r="K42" s="592"/>
      <c r="L42" s="585">
        <f t="shared" si="1"/>
        <v>0</v>
      </c>
    </row>
    <row r="43" spans="6:12" s="586" customFormat="1" ht="12">
      <c r="F43" s="591"/>
      <c r="G43" s="583"/>
      <c r="H43" s="583" t="s">
        <v>3882</v>
      </c>
      <c r="I43" s="584"/>
      <c r="J43" s="575">
        <f>J31</f>
        <v>143.78000000000003</v>
      </c>
      <c r="K43" s="592"/>
      <c r="L43" s="585"/>
    </row>
    <row r="44" spans="6:12" s="586" customFormat="1" ht="12">
      <c r="F44" s="591"/>
      <c r="G44" s="583"/>
      <c r="H44" s="574" t="s">
        <v>3888</v>
      </c>
      <c r="I44" s="584"/>
      <c r="J44" s="575">
        <f>-J36</f>
        <v>-55.16400000000001</v>
      </c>
      <c r="K44" s="592"/>
      <c r="L44" s="585"/>
    </row>
    <row r="45" spans="6:12" s="586" customFormat="1" ht="12">
      <c r="F45" s="582"/>
      <c r="G45" s="583"/>
      <c r="H45" s="574" t="s">
        <v>3889</v>
      </c>
      <c r="I45" s="584"/>
      <c r="J45" s="575">
        <f>J43+J44</f>
        <v>88.61600000000001</v>
      </c>
      <c r="K45" s="592"/>
      <c r="L45" s="585"/>
    </row>
    <row r="46" spans="6:12" s="586" customFormat="1" ht="48">
      <c r="F46" s="582">
        <f>A42:F42+1</f>
        <v>15</v>
      </c>
      <c r="G46" s="583" t="s">
        <v>3560</v>
      </c>
      <c r="H46" s="574" t="s">
        <v>3561</v>
      </c>
      <c r="I46" s="584" t="s">
        <v>162</v>
      </c>
      <c r="J46" s="575">
        <f>SUM(J47:J49)</f>
        <v>38.9728623</v>
      </c>
      <c r="K46" s="592"/>
      <c r="L46" s="585">
        <f t="shared" si="1"/>
        <v>0</v>
      </c>
    </row>
    <row r="47" spans="6:12" s="586" customFormat="1" ht="16.5" customHeight="1">
      <c r="F47" s="582"/>
      <c r="G47" s="583" t="s">
        <v>3870</v>
      </c>
      <c r="H47" s="574" t="s">
        <v>3886</v>
      </c>
      <c r="I47" s="584"/>
      <c r="J47" s="575">
        <f>(95+10)*(0.8*(0.15+0.1+0.3)-3.14*0.242*0.242/4)-10.5</f>
        <v>30.8728623</v>
      </c>
      <c r="K47" s="592"/>
      <c r="L47" s="585"/>
    </row>
    <row r="48" spans="6:12" s="586" customFormat="1" ht="16.5" customHeight="1">
      <c r="F48" s="582"/>
      <c r="G48" s="583" t="s">
        <v>3869</v>
      </c>
      <c r="H48" s="574" t="s">
        <v>3872</v>
      </c>
      <c r="I48" s="584"/>
      <c r="J48" s="575">
        <f>20*0.6*0.3</f>
        <v>3.5999999999999996</v>
      </c>
      <c r="K48" s="592"/>
      <c r="L48" s="585"/>
    </row>
    <row r="49" spans="6:12" s="586" customFormat="1" ht="16.5" customHeight="1">
      <c r="F49" s="582"/>
      <c r="G49" s="583" t="s">
        <v>3894</v>
      </c>
      <c r="H49" s="574" t="s">
        <v>3896</v>
      </c>
      <c r="I49" s="584"/>
      <c r="J49" s="575">
        <f>25*0.6*0.3</f>
        <v>4.5</v>
      </c>
      <c r="K49" s="592"/>
      <c r="L49" s="585"/>
    </row>
    <row r="50" spans="6:12" s="586" customFormat="1" ht="12">
      <c r="F50" s="582">
        <f>A46:F46+1</f>
        <v>16</v>
      </c>
      <c r="G50" s="583" t="s">
        <v>3562</v>
      </c>
      <c r="H50" s="574" t="s">
        <v>3563</v>
      </c>
      <c r="I50" s="584" t="s">
        <v>194</v>
      </c>
      <c r="J50" s="575">
        <f>J51</f>
        <v>77.9457246</v>
      </c>
      <c r="K50" s="592"/>
      <c r="L50" s="585">
        <f t="shared" si="1"/>
        <v>0</v>
      </c>
    </row>
    <row r="51" spans="6:12" s="586" customFormat="1" ht="12">
      <c r="F51" s="582"/>
      <c r="G51" s="583"/>
      <c r="H51" s="574" t="s">
        <v>3875</v>
      </c>
      <c r="I51" s="584"/>
      <c r="J51" s="575">
        <f>J46*2</f>
        <v>77.9457246</v>
      </c>
      <c r="K51" s="592"/>
      <c r="L51" s="585"/>
    </row>
    <row r="52" spans="6:12" s="586" customFormat="1" ht="24">
      <c r="F52" s="591">
        <f>F50+1</f>
        <v>17</v>
      </c>
      <c r="G52" s="583" t="s">
        <v>3571</v>
      </c>
      <c r="H52" s="574" t="s">
        <v>3572</v>
      </c>
      <c r="I52" s="584" t="s">
        <v>162</v>
      </c>
      <c r="J52" s="575">
        <f>SUM(J53:J55)</f>
        <v>48.3941496</v>
      </c>
      <c r="K52" s="592"/>
      <c r="L52" s="585">
        <f>J52*K52</f>
        <v>0</v>
      </c>
    </row>
    <row r="53" spans="6:12" s="586" customFormat="1" ht="14.25" customHeight="1">
      <c r="F53" s="582"/>
      <c r="G53" s="625"/>
      <c r="H53" s="574" t="s">
        <v>3876</v>
      </c>
      <c r="I53" s="627"/>
      <c r="J53" s="575">
        <f>8*7*0.2*2.4</f>
        <v>26.880000000000003</v>
      </c>
      <c r="K53" s="644"/>
      <c r="L53" s="629"/>
    </row>
    <row r="54" spans="6:12" s="586" customFormat="1" ht="17.25" customHeight="1">
      <c r="F54" s="582"/>
      <c r="G54" s="625"/>
      <c r="H54" s="574" t="s">
        <v>3818</v>
      </c>
      <c r="I54" s="627"/>
      <c r="J54" s="575">
        <f>7*(3.14*0.6*0.6*0.15+3.14*1.2*0.12*1.1)*2.3</f>
        <v>10.737669599999998</v>
      </c>
      <c r="K54" s="644"/>
      <c r="L54" s="629"/>
    </row>
    <row r="55" spans="6:12" s="586" customFormat="1" ht="14.25" customHeight="1">
      <c r="F55" s="582"/>
      <c r="G55" s="625"/>
      <c r="H55" s="574" t="s">
        <v>3877</v>
      </c>
      <c r="I55" s="627"/>
      <c r="J55" s="575">
        <f>(94+10)*3.14*0.33*0.04*2.5</f>
        <v>10.776480000000001</v>
      </c>
      <c r="K55" s="644"/>
      <c r="L55" s="629"/>
    </row>
    <row r="56" spans="6:12" s="586" customFormat="1" ht="12">
      <c r="F56" s="591">
        <f>F52+1</f>
        <v>18</v>
      </c>
      <c r="G56" s="583"/>
      <c r="H56" s="574" t="s">
        <v>3916</v>
      </c>
      <c r="I56" s="584" t="s">
        <v>883</v>
      </c>
      <c r="J56" s="575">
        <v>1</v>
      </c>
      <c r="K56" s="592"/>
      <c r="L56" s="585">
        <f aca="true" t="shared" si="3" ref="L56">J56*K56</f>
        <v>0</v>
      </c>
    </row>
    <row r="57" spans="6:12" s="586" customFormat="1" ht="14.25" customHeight="1">
      <c r="F57" s="582"/>
      <c r="G57" s="625"/>
      <c r="H57" s="574"/>
      <c r="I57" s="627"/>
      <c r="J57" s="575"/>
      <c r="K57" s="644"/>
      <c r="L57" s="629"/>
    </row>
    <row r="58" spans="6:12" s="586" customFormat="1" ht="12">
      <c r="F58" s="593"/>
      <c r="G58" s="594"/>
      <c r="H58" s="599" t="s">
        <v>3908</v>
      </c>
      <c r="I58" s="596"/>
      <c r="J58" s="515"/>
      <c r="K58" s="645"/>
      <c r="L58" s="608">
        <f>SUM(L59:L85)</f>
        <v>0</v>
      </c>
    </row>
    <row r="59" spans="6:12" s="586" customFormat="1" ht="24">
      <c r="F59" s="582">
        <f>F52+1</f>
        <v>18</v>
      </c>
      <c r="G59" s="587" t="s">
        <v>3576</v>
      </c>
      <c r="H59" s="626" t="s">
        <v>3577</v>
      </c>
      <c r="I59" s="627" t="s">
        <v>158</v>
      </c>
      <c r="J59" s="575">
        <f>J60</f>
        <v>105</v>
      </c>
      <c r="K59" s="592"/>
      <c r="L59" s="585">
        <f aca="true" t="shared" si="4" ref="L59:L81">J59*K59</f>
        <v>0</v>
      </c>
    </row>
    <row r="60" spans="6:12" s="586" customFormat="1" ht="12">
      <c r="F60" s="582"/>
      <c r="G60" s="587"/>
      <c r="H60" s="588" t="s">
        <v>3878</v>
      </c>
      <c r="I60" s="589"/>
      <c r="J60" s="590">
        <f>95+10</f>
        <v>105</v>
      </c>
      <c r="K60" s="592"/>
      <c r="L60" s="585"/>
    </row>
    <row r="61" spans="6:12" s="586" customFormat="1" ht="24">
      <c r="F61" s="582">
        <f>A59:F59+1</f>
        <v>19</v>
      </c>
      <c r="G61" s="583"/>
      <c r="H61" s="574" t="s">
        <v>3801</v>
      </c>
      <c r="I61" s="584" t="s">
        <v>158</v>
      </c>
      <c r="J61" s="575">
        <f>J62</f>
        <v>105</v>
      </c>
      <c r="K61" s="592"/>
      <c r="L61" s="585">
        <f t="shared" si="4"/>
        <v>0</v>
      </c>
    </row>
    <row r="62" spans="6:12" s="586" customFormat="1" ht="12">
      <c r="F62" s="582"/>
      <c r="G62" s="587"/>
      <c r="H62" s="588" t="s">
        <v>3878</v>
      </c>
      <c r="I62" s="589"/>
      <c r="J62" s="590">
        <f>95+10</f>
        <v>105</v>
      </c>
      <c r="K62" s="592"/>
      <c r="L62" s="585"/>
    </row>
    <row r="63" spans="6:12" s="586" customFormat="1" ht="12">
      <c r="F63" s="582">
        <f>A61:F61+1</f>
        <v>20</v>
      </c>
      <c r="G63" s="583"/>
      <c r="H63" s="574" t="s">
        <v>3907</v>
      </c>
      <c r="I63" s="584" t="s">
        <v>1361</v>
      </c>
      <c r="J63" s="575">
        <v>1</v>
      </c>
      <c r="K63" s="592"/>
      <c r="L63" s="585">
        <f aca="true" t="shared" si="5" ref="L63:L64">J63*K63</f>
        <v>0</v>
      </c>
    </row>
    <row r="64" spans="6:12" s="586" customFormat="1" ht="12">
      <c r="F64" s="582">
        <f aca="true" t="shared" si="6" ref="F64:F74">F63+1</f>
        <v>21</v>
      </c>
      <c r="G64" s="583"/>
      <c r="H64" s="574" t="s">
        <v>3906</v>
      </c>
      <c r="I64" s="584" t="s">
        <v>1361</v>
      </c>
      <c r="J64" s="575">
        <v>1</v>
      </c>
      <c r="K64" s="592"/>
      <c r="L64" s="585">
        <f t="shared" si="5"/>
        <v>0</v>
      </c>
    </row>
    <row r="65" spans="6:12" s="586" customFormat="1" ht="12">
      <c r="F65" s="582">
        <f aca="true" t="shared" si="7" ref="F65:F67">F64+1</f>
        <v>22</v>
      </c>
      <c r="G65" s="583"/>
      <c r="H65" s="574" t="s">
        <v>3909</v>
      </c>
      <c r="I65" s="584" t="s">
        <v>1361</v>
      </c>
      <c r="J65" s="575">
        <v>1</v>
      </c>
      <c r="K65" s="592"/>
      <c r="L65" s="585">
        <f aca="true" t="shared" si="8" ref="L65:L66">J65*K65</f>
        <v>0</v>
      </c>
    </row>
    <row r="66" spans="6:12" s="586" customFormat="1" ht="12">
      <c r="F66" s="582">
        <f t="shared" si="7"/>
        <v>23</v>
      </c>
      <c r="G66" s="583"/>
      <c r="H66" s="574" t="s">
        <v>3910</v>
      </c>
      <c r="I66" s="584" t="s">
        <v>1361</v>
      </c>
      <c r="J66" s="575">
        <v>1</v>
      </c>
      <c r="K66" s="592"/>
      <c r="L66" s="585">
        <f t="shared" si="8"/>
        <v>0</v>
      </c>
    </row>
    <row r="67" spans="6:12" s="586" customFormat="1" ht="24">
      <c r="F67" s="582">
        <f t="shared" si="7"/>
        <v>24</v>
      </c>
      <c r="G67" s="315" t="s">
        <v>3798</v>
      </c>
      <c r="H67" s="626" t="s">
        <v>3799</v>
      </c>
      <c r="I67" s="627" t="s">
        <v>158</v>
      </c>
      <c r="J67" s="575">
        <f>J68</f>
        <v>2.5</v>
      </c>
      <c r="K67" s="592"/>
      <c r="L67" s="585">
        <f aca="true" t="shared" si="9" ref="L67:L70">J67*K67</f>
        <v>0</v>
      </c>
    </row>
    <row r="68" spans="6:12" s="586" customFormat="1" ht="24">
      <c r="F68" s="582">
        <f t="shared" si="6"/>
        <v>25</v>
      </c>
      <c r="G68" s="583"/>
      <c r="H68" s="574" t="s">
        <v>3802</v>
      </c>
      <c r="I68" s="584" t="s">
        <v>158</v>
      </c>
      <c r="J68" s="575">
        <v>2.5</v>
      </c>
      <c r="K68" s="592"/>
      <c r="L68" s="585">
        <f t="shared" si="9"/>
        <v>0</v>
      </c>
    </row>
    <row r="69" spans="6:12" s="586" customFormat="1" ht="12">
      <c r="F69" s="582">
        <f t="shared" si="6"/>
        <v>26</v>
      </c>
      <c r="G69" s="583"/>
      <c r="H69" s="574" t="s">
        <v>3806</v>
      </c>
      <c r="I69" s="584" t="s">
        <v>301</v>
      </c>
      <c r="J69" s="575">
        <v>1</v>
      </c>
      <c r="K69" s="592"/>
      <c r="L69" s="585">
        <f aca="true" t="shared" si="10" ref="L69">J69*K69</f>
        <v>0</v>
      </c>
    </row>
    <row r="70" spans="6:12" s="586" customFormat="1" ht="12">
      <c r="F70" s="582">
        <f t="shared" si="6"/>
        <v>27</v>
      </c>
      <c r="G70" s="583"/>
      <c r="H70" s="574" t="s">
        <v>3803</v>
      </c>
      <c r="I70" s="584" t="s">
        <v>301</v>
      </c>
      <c r="J70" s="575">
        <v>1</v>
      </c>
      <c r="K70" s="592"/>
      <c r="L70" s="585">
        <f t="shared" si="9"/>
        <v>0</v>
      </c>
    </row>
    <row r="71" spans="6:12" s="586" customFormat="1" ht="36">
      <c r="F71" s="582">
        <f t="shared" si="6"/>
        <v>28</v>
      </c>
      <c r="G71" s="583"/>
      <c r="H71" s="574" t="s">
        <v>3804</v>
      </c>
      <c r="I71" s="584" t="s">
        <v>301</v>
      </c>
      <c r="J71" s="575">
        <v>1</v>
      </c>
      <c r="K71" s="592"/>
      <c r="L71" s="585">
        <f aca="true" t="shared" si="11" ref="L71:L72">J71*K71</f>
        <v>0</v>
      </c>
    </row>
    <row r="72" spans="6:12" s="586" customFormat="1" ht="36">
      <c r="F72" s="582">
        <f t="shared" si="6"/>
        <v>29</v>
      </c>
      <c r="G72" s="583"/>
      <c r="H72" s="574" t="s">
        <v>3805</v>
      </c>
      <c r="I72" s="584" t="s">
        <v>301</v>
      </c>
      <c r="J72" s="575">
        <v>1</v>
      </c>
      <c r="K72" s="592"/>
      <c r="L72" s="585">
        <f t="shared" si="11"/>
        <v>0</v>
      </c>
    </row>
    <row r="73" spans="6:12" s="586" customFormat="1" ht="24">
      <c r="F73" s="582">
        <f t="shared" si="6"/>
        <v>30</v>
      </c>
      <c r="G73" s="583" t="s">
        <v>3578</v>
      </c>
      <c r="H73" s="574" t="s">
        <v>3943</v>
      </c>
      <c r="I73" s="584" t="s">
        <v>158</v>
      </c>
      <c r="J73" s="575">
        <f>J61+J67+J88+J94</f>
        <v>177.5</v>
      </c>
      <c r="K73" s="646"/>
      <c r="L73" s="585">
        <f t="shared" si="4"/>
        <v>0</v>
      </c>
    </row>
    <row r="74" spans="6:12" s="586" customFormat="1" ht="24">
      <c r="F74" s="582">
        <f t="shared" si="6"/>
        <v>31</v>
      </c>
      <c r="G74" s="583" t="s">
        <v>3583</v>
      </c>
      <c r="H74" s="574" t="s">
        <v>3796</v>
      </c>
      <c r="I74" s="584" t="s">
        <v>162</v>
      </c>
      <c r="J74" s="575">
        <f>J75</f>
        <v>10.5</v>
      </c>
      <c r="K74" s="592"/>
      <c r="L74" s="585">
        <f t="shared" si="4"/>
        <v>0</v>
      </c>
    </row>
    <row r="75" spans="6:12" s="586" customFormat="1" ht="12">
      <c r="F75" s="582"/>
      <c r="G75" s="583"/>
      <c r="H75" s="574" t="s">
        <v>3879</v>
      </c>
      <c r="I75" s="584"/>
      <c r="J75" s="575">
        <f>(95+10)*(0.6*0.1+0.4*0.1)</f>
        <v>10.5</v>
      </c>
      <c r="K75" s="592"/>
      <c r="L75" s="585"/>
    </row>
    <row r="76" spans="6:12" s="586" customFormat="1" ht="24">
      <c r="F76" s="582">
        <f>A74:F74+1</f>
        <v>32</v>
      </c>
      <c r="G76" s="583" t="s">
        <v>3585</v>
      </c>
      <c r="H76" s="574" t="s">
        <v>3586</v>
      </c>
      <c r="I76" s="584" t="s">
        <v>162</v>
      </c>
      <c r="J76" s="575">
        <f>J77</f>
        <v>4.668552</v>
      </c>
      <c r="K76" s="592"/>
      <c r="L76" s="585">
        <f t="shared" si="4"/>
        <v>0</v>
      </c>
    </row>
    <row r="77" spans="6:12" s="586" customFormat="1" ht="12">
      <c r="F77" s="582"/>
      <c r="G77" s="583"/>
      <c r="H77" s="574" t="s">
        <v>3880</v>
      </c>
      <c r="I77" s="584"/>
      <c r="J77" s="575">
        <f>7*(3.14*0.6*0.6*0.15+3.14*1.2*0.12*1.1)</f>
        <v>4.668552</v>
      </c>
      <c r="K77" s="592"/>
      <c r="L77" s="585"/>
    </row>
    <row r="78" spans="6:12" s="586" customFormat="1" ht="36">
      <c r="F78" s="582">
        <f>A76:F76+1</f>
        <v>33</v>
      </c>
      <c r="G78" s="625" t="s">
        <v>3588</v>
      </c>
      <c r="H78" s="626" t="s">
        <v>3589</v>
      </c>
      <c r="I78" s="627" t="s">
        <v>158</v>
      </c>
      <c r="J78" s="628">
        <f>J59+J67+10</f>
        <v>117.5</v>
      </c>
      <c r="K78" s="644"/>
      <c r="L78" s="629">
        <f t="shared" si="4"/>
        <v>0</v>
      </c>
    </row>
    <row r="79" spans="6:12" s="586" customFormat="1" ht="24">
      <c r="F79" s="582">
        <f>F78+1</f>
        <v>34</v>
      </c>
      <c r="G79" s="625" t="s">
        <v>3590</v>
      </c>
      <c r="H79" s="626" t="s">
        <v>3591</v>
      </c>
      <c r="I79" s="627" t="s">
        <v>158</v>
      </c>
      <c r="J79" s="628">
        <f>J78</f>
        <v>117.5</v>
      </c>
      <c r="K79" s="644"/>
      <c r="L79" s="629">
        <f t="shared" si="4"/>
        <v>0</v>
      </c>
    </row>
    <row r="80" spans="6:12" s="586" customFormat="1" ht="12">
      <c r="F80" s="582">
        <f>F79+1</f>
        <v>35</v>
      </c>
      <c r="G80" s="583" t="s">
        <v>3592</v>
      </c>
      <c r="H80" s="574" t="s">
        <v>3817</v>
      </c>
      <c r="I80" s="584" t="s">
        <v>158</v>
      </c>
      <c r="J80" s="575">
        <f>J59+J67</f>
        <v>107.5</v>
      </c>
      <c r="K80" s="592"/>
      <c r="L80" s="585">
        <f t="shared" si="4"/>
        <v>0</v>
      </c>
    </row>
    <row r="81" spans="6:12" s="586" customFormat="1" ht="24">
      <c r="F81" s="582">
        <f>F80+1</f>
        <v>36</v>
      </c>
      <c r="G81" s="583" t="s">
        <v>3583</v>
      </c>
      <c r="H81" s="574" t="s">
        <v>3593</v>
      </c>
      <c r="I81" s="584" t="s">
        <v>162</v>
      </c>
      <c r="J81" s="575">
        <f>J82</f>
        <v>0.8639999999999999</v>
      </c>
      <c r="K81" s="592"/>
      <c r="L81" s="585">
        <f t="shared" si="4"/>
        <v>0</v>
      </c>
    </row>
    <row r="82" spans="6:12" s="586" customFormat="1" ht="12">
      <c r="F82" s="582"/>
      <c r="G82" s="583"/>
      <c r="H82" s="574" t="s">
        <v>3881</v>
      </c>
      <c r="I82" s="584"/>
      <c r="J82" s="575">
        <f>1.2*1.2*0.1*6</f>
        <v>0.8639999999999999</v>
      </c>
      <c r="K82" s="592"/>
      <c r="L82" s="585"/>
    </row>
    <row r="83" spans="6:12" s="586" customFormat="1" ht="12">
      <c r="F83" s="582">
        <f>A81:F81+1</f>
        <v>37</v>
      </c>
      <c r="G83" s="583"/>
      <c r="H83" s="574" t="s">
        <v>3903</v>
      </c>
      <c r="I83" s="584" t="s">
        <v>1361</v>
      </c>
      <c r="J83" s="575">
        <v>2</v>
      </c>
      <c r="K83" s="592"/>
      <c r="L83" s="585">
        <f aca="true" t="shared" si="12" ref="L83:L85">J83*K83</f>
        <v>0</v>
      </c>
    </row>
    <row r="84" spans="6:12" s="586" customFormat="1" ht="24">
      <c r="F84" s="582">
        <f aca="true" t="shared" si="13" ref="F84:F85">F83+1</f>
        <v>38</v>
      </c>
      <c r="G84" s="583"/>
      <c r="H84" s="574" t="s">
        <v>3904</v>
      </c>
      <c r="I84" s="584" t="s">
        <v>1361</v>
      </c>
      <c r="J84" s="575">
        <v>2</v>
      </c>
      <c r="K84" s="592"/>
      <c r="L84" s="585">
        <f t="shared" si="12"/>
        <v>0</v>
      </c>
    </row>
    <row r="85" spans="6:12" s="586" customFormat="1" ht="24">
      <c r="F85" s="582">
        <f t="shared" si="13"/>
        <v>39</v>
      </c>
      <c r="G85" s="583"/>
      <c r="H85" s="574" t="s">
        <v>3905</v>
      </c>
      <c r="I85" s="584" t="s">
        <v>1361</v>
      </c>
      <c r="J85" s="575">
        <v>2</v>
      </c>
      <c r="K85" s="592"/>
      <c r="L85" s="585">
        <f t="shared" si="12"/>
        <v>0</v>
      </c>
    </row>
    <row r="86" spans="6:12" s="586" customFormat="1" ht="12">
      <c r="F86" s="769"/>
      <c r="G86" s="770"/>
      <c r="H86" s="771"/>
      <c r="I86" s="772"/>
      <c r="J86" s="773"/>
      <c r="K86" s="774"/>
      <c r="L86" s="775"/>
    </row>
    <row r="87" spans="6:12" s="586" customFormat="1" ht="12">
      <c r="F87" s="593"/>
      <c r="G87" s="594"/>
      <c r="H87" s="599" t="s">
        <v>3866</v>
      </c>
      <c r="I87" s="596"/>
      <c r="J87" s="515"/>
      <c r="K87" s="645"/>
      <c r="L87" s="608">
        <f>SUM(L88:L89)</f>
        <v>0</v>
      </c>
    </row>
    <row r="88" spans="6:12" s="586" customFormat="1" ht="12">
      <c r="F88" s="582">
        <f>F85+1</f>
        <v>40</v>
      </c>
      <c r="G88" s="583"/>
      <c r="H88" s="574" t="s">
        <v>3867</v>
      </c>
      <c r="I88" s="584" t="s">
        <v>158</v>
      </c>
      <c r="J88" s="575">
        <v>20</v>
      </c>
      <c r="K88" s="592"/>
      <c r="L88" s="585">
        <f aca="true" t="shared" si="14" ref="L88">J88*K88</f>
        <v>0</v>
      </c>
    </row>
    <row r="89" spans="6:12" s="586" customFormat="1" ht="24">
      <c r="F89" s="582">
        <f>F88+1</f>
        <v>41</v>
      </c>
      <c r="G89" s="583"/>
      <c r="H89" s="574" t="s">
        <v>3868</v>
      </c>
      <c r="I89" s="584" t="s">
        <v>1361</v>
      </c>
      <c r="J89" s="575">
        <v>2</v>
      </c>
      <c r="K89" s="592"/>
      <c r="L89" s="585">
        <f aca="true" t="shared" si="15" ref="L89">J89*K89</f>
        <v>0</v>
      </c>
    </row>
    <row r="90" spans="6:12" s="586" customFormat="1" ht="12">
      <c r="F90" s="769"/>
      <c r="G90" s="770"/>
      <c r="H90" s="771"/>
      <c r="I90" s="772"/>
      <c r="J90" s="773"/>
      <c r="K90" s="774"/>
      <c r="L90" s="775"/>
    </row>
    <row r="91" spans="6:12" s="586" customFormat="1" ht="12">
      <c r="F91" s="593"/>
      <c r="G91" s="594"/>
      <c r="H91" s="599" t="s">
        <v>3891</v>
      </c>
      <c r="I91" s="596"/>
      <c r="J91" s="515"/>
      <c r="K91" s="645"/>
      <c r="L91" s="608">
        <f>SUM(L92:L94)</f>
        <v>0</v>
      </c>
    </row>
    <row r="92" spans="6:12" s="586" customFormat="1" ht="12">
      <c r="F92" s="582">
        <f>F89+1</f>
        <v>42</v>
      </c>
      <c r="G92" s="583"/>
      <c r="H92" s="574" t="s">
        <v>3892</v>
      </c>
      <c r="I92" s="584" t="s">
        <v>162</v>
      </c>
      <c r="J92" s="575">
        <f>25*1*1.2</f>
        <v>30</v>
      </c>
      <c r="K92" s="592"/>
      <c r="L92" s="585">
        <f aca="true" t="shared" si="16" ref="L92:L93">J92*K92</f>
        <v>0</v>
      </c>
    </row>
    <row r="93" spans="6:12" s="586" customFormat="1" ht="12">
      <c r="F93" s="582">
        <f aca="true" t="shared" si="17" ref="F93:F94">F92+1</f>
        <v>43</v>
      </c>
      <c r="G93" s="583"/>
      <c r="H93" s="574" t="s">
        <v>3897</v>
      </c>
      <c r="I93" s="584" t="s">
        <v>158</v>
      </c>
      <c r="J93" s="575">
        <f>25*2</f>
        <v>50</v>
      </c>
      <c r="K93" s="592"/>
      <c r="L93" s="585">
        <f t="shared" si="16"/>
        <v>0</v>
      </c>
    </row>
    <row r="94" spans="6:12" s="586" customFormat="1" ht="24">
      <c r="F94" s="582">
        <f t="shared" si="17"/>
        <v>44</v>
      </c>
      <c r="G94" s="583"/>
      <c r="H94" s="574" t="s">
        <v>3893</v>
      </c>
      <c r="I94" s="584" t="s">
        <v>158</v>
      </c>
      <c r="J94" s="575">
        <f>25*2</f>
        <v>50</v>
      </c>
      <c r="K94" s="592"/>
      <c r="L94" s="585">
        <f aca="true" t="shared" si="18" ref="L94">J94*K94</f>
        <v>0</v>
      </c>
    </row>
    <row r="95" spans="6:12" s="586" customFormat="1" ht="12">
      <c r="F95" s="593"/>
      <c r="G95" s="594"/>
      <c r="H95" s="595"/>
      <c r="I95" s="596"/>
      <c r="J95" s="515"/>
      <c r="K95" s="645"/>
      <c r="L95" s="597"/>
    </row>
    <row r="96" spans="6:12" s="586" customFormat="1" ht="12">
      <c r="F96" s="593"/>
      <c r="G96" s="594"/>
      <c r="H96" s="637" t="s">
        <v>3528</v>
      </c>
      <c r="I96" s="596"/>
      <c r="J96" s="515"/>
      <c r="K96" s="645"/>
      <c r="L96" s="608">
        <f>SUM(L97:L109)</f>
        <v>0</v>
      </c>
    </row>
    <row r="97" spans="6:12" s="586" customFormat="1" ht="22.5">
      <c r="F97" s="582">
        <f>F94+1</f>
        <v>45</v>
      </c>
      <c r="G97" s="116" t="s">
        <v>3597</v>
      </c>
      <c r="H97" s="117" t="s">
        <v>3598</v>
      </c>
      <c r="I97" s="627" t="s">
        <v>301</v>
      </c>
      <c r="J97" s="575">
        <v>7</v>
      </c>
      <c r="K97" s="592"/>
      <c r="L97" s="585">
        <f>J97*K97</f>
        <v>0</v>
      </c>
    </row>
    <row r="98" spans="6:12" s="586" customFormat="1" ht="27">
      <c r="F98" s="582">
        <f aca="true" t="shared" si="19" ref="F98:F109">F97+1</f>
        <v>46</v>
      </c>
      <c r="G98" s="118" t="s">
        <v>3599</v>
      </c>
      <c r="H98" s="109" t="s">
        <v>3899</v>
      </c>
      <c r="I98" s="627" t="s">
        <v>301</v>
      </c>
      <c r="J98" s="575">
        <v>6</v>
      </c>
      <c r="K98" s="592"/>
      <c r="L98" s="585">
        <f aca="true" t="shared" si="20" ref="L98:L109">J98*K98</f>
        <v>0</v>
      </c>
    </row>
    <row r="99" spans="6:12" s="586" customFormat="1" ht="27">
      <c r="F99" s="582">
        <f t="shared" si="19"/>
        <v>47</v>
      </c>
      <c r="G99" s="118" t="s">
        <v>3599</v>
      </c>
      <c r="H99" s="109" t="s">
        <v>3900</v>
      </c>
      <c r="I99" s="627" t="s">
        <v>301</v>
      </c>
      <c r="J99" s="575">
        <v>1</v>
      </c>
      <c r="K99" s="592"/>
      <c r="L99" s="585">
        <f aca="true" t="shared" si="21" ref="L99">J99*K99</f>
        <v>0</v>
      </c>
    </row>
    <row r="100" spans="6:12" s="586" customFormat="1" ht="12">
      <c r="F100" s="582">
        <f t="shared" si="19"/>
        <v>48</v>
      </c>
      <c r="G100" s="116" t="s">
        <v>3607</v>
      </c>
      <c r="H100" s="117" t="s">
        <v>3608</v>
      </c>
      <c r="I100" s="627" t="s">
        <v>301</v>
      </c>
      <c r="J100" s="575">
        <v>7</v>
      </c>
      <c r="K100" s="592"/>
      <c r="L100" s="585">
        <f t="shared" si="20"/>
        <v>0</v>
      </c>
    </row>
    <row r="101" spans="6:12" s="586" customFormat="1" ht="27">
      <c r="F101" s="582">
        <f t="shared" si="19"/>
        <v>49</v>
      </c>
      <c r="G101" s="118" t="s">
        <v>3609</v>
      </c>
      <c r="H101" s="109" t="s">
        <v>3610</v>
      </c>
      <c r="I101" s="627" t="s">
        <v>301</v>
      </c>
      <c r="J101" s="575">
        <v>2</v>
      </c>
      <c r="K101" s="592"/>
      <c r="L101" s="585">
        <f t="shared" si="20"/>
        <v>0</v>
      </c>
    </row>
    <row r="102" spans="6:12" s="767" customFormat="1" ht="13.5">
      <c r="F102" s="582">
        <f t="shared" si="19"/>
        <v>50</v>
      </c>
      <c r="G102" s="107" t="s">
        <v>3611</v>
      </c>
      <c r="H102" s="108" t="s">
        <v>3612</v>
      </c>
      <c r="I102" s="551" t="s">
        <v>301</v>
      </c>
      <c r="J102" s="568">
        <v>5</v>
      </c>
      <c r="K102" s="580"/>
      <c r="L102" s="569">
        <f t="shared" si="20"/>
        <v>0</v>
      </c>
    </row>
    <row r="103" spans="6:12" s="586" customFormat="1" ht="13.5">
      <c r="F103" s="582">
        <f t="shared" si="19"/>
        <v>51</v>
      </c>
      <c r="G103" s="118" t="s">
        <v>3605</v>
      </c>
      <c r="H103" s="109" t="s">
        <v>3606</v>
      </c>
      <c r="I103" s="627" t="s">
        <v>301</v>
      </c>
      <c r="J103" s="575">
        <v>7</v>
      </c>
      <c r="K103" s="592"/>
      <c r="L103" s="585">
        <f t="shared" si="20"/>
        <v>0</v>
      </c>
    </row>
    <row r="104" spans="6:12" s="586" customFormat="1" ht="22.5">
      <c r="F104" s="582">
        <f t="shared" si="19"/>
        <v>52</v>
      </c>
      <c r="G104" s="116" t="s">
        <v>3613</v>
      </c>
      <c r="H104" s="117" t="s">
        <v>3614</v>
      </c>
      <c r="I104" s="627" t="s">
        <v>301</v>
      </c>
      <c r="J104" s="575">
        <f>SUM(J105:J107)</f>
        <v>10</v>
      </c>
      <c r="K104" s="592"/>
      <c r="L104" s="585">
        <f t="shared" si="20"/>
        <v>0</v>
      </c>
    </row>
    <row r="105" spans="6:12" s="586" customFormat="1" ht="13.5">
      <c r="F105" s="582">
        <f t="shared" si="19"/>
        <v>53</v>
      </c>
      <c r="G105" s="118"/>
      <c r="H105" s="109" t="s">
        <v>3901</v>
      </c>
      <c r="I105" s="627" t="s">
        <v>301</v>
      </c>
      <c r="J105" s="575">
        <v>1</v>
      </c>
      <c r="K105" s="592"/>
      <c r="L105" s="585">
        <f t="shared" si="20"/>
        <v>0</v>
      </c>
    </row>
    <row r="106" spans="6:12" s="586" customFormat="1" ht="13.5">
      <c r="F106" s="582">
        <f t="shared" si="19"/>
        <v>54</v>
      </c>
      <c r="G106" s="118"/>
      <c r="H106" s="109" t="s">
        <v>3902</v>
      </c>
      <c r="I106" s="627" t="s">
        <v>301</v>
      </c>
      <c r="J106" s="575">
        <v>3</v>
      </c>
      <c r="K106" s="592"/>
      <c r="L106" s="585">
        <f t="shared" si="20"/>
        <v>0</v>
      </c>
    </row>
    <row r="107" spans="6:12" s="586" customFormat="1" ht="13.5">
      <c r="F107" s="582">
        <f t="shared" si="19"/>
        <v>55</v>
      </c>
      <c r="G107" s="118"/>
      <c r="H107" s="109" t="s">
        <v>3812</v>
      </c>
      <c r="I107" s="627" t="s">
        <v>301</v>
      </c>
      <c r="J107" s="575">
        <v>6</v>
      </c>
      <c r="K107" s="592"/>
      <c r="L107" s="585">
        <f aca="true" t="shared" si="22" ref="L107">J107*K107</f>
        <v>0</v>
      </c>
    </row>
    <row r="108" spans="6:12" s="586" customFormat="1" ht="12">
      <c r="F108" s="582">
        <f t="shared" si="19"/>
        <v>56</v>
      </c>
      <c r="G108" s="116" t="s">
        <v>3619</v>
      </c>
      <c r="H108" s="117" t="s">
        <v>3620</v>
      </c>
      <c r="I108" s="627" t="s">
        <v>301</v>
      </c>
      <c r="J108" s="575">
        <v>7</v>
      </c>
      <c r="K108" s="592"/>
      <c r="L108" s="585">
        <f t="shared" si="20"/>
        <v>0</v>
      </c>
    </row>
    <row r="109" spans="6:12" s="586" customFormat="1" ht="13.5">
      <c r="F109" s="582">
        <f t="shared" si="19"/>
        <v>57</v>
      </c>
      <c r="G109" s="587"/>
      <c r="H109" s="109" t="s">
        <v>3898</v>
      </c>
      <c r="I109" s="627" t="s">
        <v>301</v>
      </c>
      <c r="J109" s="575">
        <v>7</v>
      </c>
      <c r="K109" s="592"/>
      <c r="L109" s="585">
        <f t="shared" si="20"/>
        <v>0</v>
      </c>
    </row>
    <row r="110" spans="6:12" s="586" customFormat="1" ht="12">
      <c r="F110" s="582"/>
      <c r="G110" s="587"/>
      <c r="H110" s="626"/>
      <c r="I110" s="627"/>
      <c r="J110" s="575"/>
      <c r="K110" s="585"/>
      <c r="L110" s="585"/>
    </row>
    <row r="111" spans="6:12" s="586" customFormat="1" ht="12">
      <c r="F111" s="582"/>
      <c r="G111" s="587"/>
      <c r="H111" s="626"/>
      <c r="I111" s="627"/>
      <c r="J111" s="575"/>
      <c r="K111" s="585"/>
      <c r="L111" s="585"/>
    </row>
    <row r="112" spans="6:12" s="586" customFormat="1" ht="12">
      <c r="F112" s="582"/>
      <c r="G112" s="587"/>
      <c r="H112" s="626"/>
      <c r="I112" s="627"/>
      <c r="J112" s="575"/>
      <c r="K112" s="585"/>
      <c r="L112" s="585"/>
    </row>
    <row r="113" spans="6:12" s="586" customFormat="1" ht="12">
      <c r="F113" s="582"/>
      <c r="G113" s="587"/>
      <c r="H113" s="626"/>
      <c r="I113" s="627"/>
      <c r="J113" s="575"/>
      <c r="K113" s="585"/>
      <c r="L113" s="585"/>
    </row>
    <row r="114" spans="6:12" s="586" customFormat="1" ht="12">
      <c r="F114" s="582"/>
      <c r="G114" s="587"/>
      <c r="H114" s="626"/>
      <c r="I114" s="627"/>
      <c r="J114" s="575"/>
      <c r="K114" s="585"/>
      <c r="L114" s="585"/>
    </row>
    <row r="115" spans="6:12" s="586" customFormat="1" ht="12">
      <c r="F115" s="582"/>
      <c r="G115" s="587"/>
      <c r="H115" s="626"/>
      <c r="I115" s="627"/>
      <c r="J115" s="575"/>
      <c r="K115" s="585"/>
      <c r="L115" s="585"/>
    </row>
    <row r="116" spans="6:12" s="586" customFormat="1" ht="12">
      <c r="F116" s="593"/>
      <c r="G116" s="594"/>
      <c r="H116" s="595"/>
      <c r="I116" s="596"/>
      <c r="J116" s="515"/>
      <c r="K116" s="597"/>
      <c r="L116" s="597"/>
    </row>
    <row r="117" spans="6:12" s="586" customFormat="1" ht="12">
      <c r="F117" s="593"/>
      <c r="G117" s="594"/>
      <c r="H117" s="595"/>
      <c r="I117" s="596"/>
      <c r="J117" s="515"/>
      <c r="K117" s="597"/>
      <c r="L117" s="597"/>
    </row>
    <row r="118" spans="6:12" s="586" customFormat="1" ht="12">
      <c r="F118" s="593"/>
      <c r="G118" s="594"/>
      <c r="H118" s="595"/>
      <c r="I118" s="596"/>
      <c r="J118" s="515"/>
      <c r="K118" s="597"/>
      <c r="L118" s="597"/>
    </row>
    <row r="119" spans="6:12" s="586" customFormat="1" ht="12">
      <c r="F119" s="593"/>
      <c r="G119" s="594"/>
      <c r="H119" s="595"/>
      <c r="I119" s="596"/>
      <c r="J119" s="515"/>
      <c r="K119" s="597"/>
      <c r="L119" s="597"/>
    </row>
    <row r="120" spans="6:12" s="586" customFormat="1" ht="12">
      <c r="F120" s="593"/>
      <c r="G120" s="594"/>
      <c r="H120" s="595"/>
      <c r="I120" s="596"/>
      <c r="J120" s="515"/>
      <c r="K120" s="597"/>
      <c r="L120" s="597"/>
    </row>
    <row r="121" spans="6:12" s="586" customFormat="1" ht="12">
      <c r="F121" s="593"/>
      <c r="G121" s="594"/>
      <c r="H121" s="595"/>
      <c r="I121" s="596"/>
      <c r="J121" s="515"/>
      <c r="K121" s="597"/>
      <c r="L121" s="597"/>
    </row>
    <row r="122" spans="6:12" s="586" customFormat="1" ht="12">
      <c r="F122" s="593"/>
      <c r="G122" s="594"/>
      <c r="H122" s="595"/>
      <c r="I122" s="596"/>
      <c r="J122" s="515"/>
      <c r="K122" s="597"/>
      <c r="L122" s="597"/>
    </row>
    <row r="123" spans="6:12" s="586" customFormat="1" ht="12">
      <c r="F123" s="593"/>
      <c r="G123" s="594"/>
      <c r="H123" s="595"/>
      <c r="I123" s="596"/>
      <c r="J123" s="515"/>
      <c r="K123" s="597"/>
      <c r="L123" s="597"/>
    </row>
    <row r="124" spans="6:12" s="586" customFormat="1" ht="12">
      <c r="F124" s="593"/>
      <c r="G124" s="594"/>
      <c r="H124" s="595"/>
      <c r="I124" s="596"/>
      <c r="J124" s="515"/>
      <c r="K124" s="597"/>
      <c r="L124" s="597"/>
    </row>
    <row r="125" spans="6:12" s="586" customFormat="1" ht="12">
      <c r="F125" s="593"/>
      <c r="G125" s="594"/>
      <c r="H125" s="595"/>
      <c r="I125" s="596"/>
      <c r="J125" s="515"/>
      <c r="K125" s="597"/>
      <c r="L125" s="597"/>
    </row>
    <row r="126" spans="6:12" s="586" customFormat="1" ht="12">
      <c r="F126" s="593"/>
      <c r="G126" s="594"/>
      <c r="H126" s="595"/>
      <c r="I126" s="596"/>
      <c r="J126" s="515"/>
      <c r="K126" s="597"/>
      <c r="L126" s="597"/>
    </row>
    <row r="127" spans="6:12" s="586" customFormat="1" ht="12">
      <c r="F127" s="593"/>
      <c r="G127" s="594"/>
      <c r="H127" s="595"/>
      <c r="I127" s="596"/>
      <c r="J127" s="515"/>
      <c r="K127" s="597"/>
      <c r="L127" s="597"/>
    </row>
    <row r="128" spans="6:12" s="586" customFormat="1" ht="12">
      <c r="F128" s="593"/>
      <c r="G128" s="594"/>
      <c r="H128" s="595"/>
      <c r="I128" s="596"/>
      <c r="J128" s="515"/>
      <c r="K128" s="597"/>
      <c r="L128" s="597"/>
    </row>
    <row r="129" spans="6:12" s="586" customFormat="1" ht="12">
      <c r="F129" s="593"/>
      <c r="G129" s="594"/>
      <c r="H129" s="595"/>
      <c r="I129" s="596"/>
      <c r="J129" s="515"/>
      <c r="K129" s="597"/>
      <c r="L129" s="597"/>
    </row>
    <row r="130" spans="6:12" s="586" customFormat="1" ht="12">
      <c r="F130" s="593"/>
      <c r="G130" s="594"/>
      <c r="H130" s="595"/>
      <c r="I130" s="596"/>
      <c r="J130" s="515"/>
      <c r="K130" s="597"/>
      <c r="L130" s="597"/>
    </row>
    <row r="131" spans="6:12" s="586" customFormat="1" ht="12">
      <c r="F131" s="593"/>
      <c r="G131" s="594"/>
      <c r="H131" s="595"/>
      <c r="I131" s="596"/>
      <c r="J131" s="515"/>
      <c r="K131" s="597"/>
      <c r="L131" s="597"/>
    </row>
    <row r="132" spans="6:12" s="586" customFormat="1" ht="12">
      <c r="F132" s="593"/>
      <c r="G132" s="594"/>
      <c r="H132" s="595"/>
      <c r="I132" s="596"/>
      <c r="J132" s="515"/>
      <c r="K132" s="597"/>
      <c r="L132" s="597"/>
    </row>
    <row r="133" spans="6:12" s="586" customFormat="1" ht="12">
      <c r="F133" s="593"/>
      <c r="G133" s="594"/>
      <c r="H133" s="595"/>
      <c r="I133" s="596"/>
      <c r="J133" s="515"/>
      <c r="K133" s="597"/>
      <c r="L133" s="597"/>
    </row>
    <row r="134" spans="6:12" s="586" customFormat="1" ht="12">
      <c r="F134" s="593"/>
      <c r="G134" s="594"/>
      <c r="H134" s="595"/>
      <c r="I134" s="596"/>
      <c r="J134" s="515"/>
      <c r="K134" s="597"/>
      <c r="L134" s="597"/>
    </row>
    <row r="135" spans="6:12" s="586" customFormat="1" ht="12">
      <c r="F135" s="593"/>
      <c r="G135" s="594"/>
      <c r="H135" s="595"/>
      <c r="I135" s="596"/>
      <c r="J135" s="515"/>
      <c r="K135" s="597"/>
      <c r="L135" s="597"/>
    </row>
    <row r="136" spans="6:12" s="586" customFormat="1" ht="12">
      <c r="F136" s="593"/>
      <c r="G136" s="594"/>
      <c r="H136" s="595"/>
      <c r="I136" s="596"/>
      <c r="J136" s="515"/>
      <c r="K136" s="597"/>
      <c r="L136" s="597"/>
    </row>
    <row r="137" spans="6:12" s="586" customFormat="1" ht="12">
      <c r="F137" s="593"/>
      <c r="G137" s="594"/>
      <c r="H137" s="595"/>
      <c r="I137" s="596"/>
      <c r="J137" s="515"/>
      <c r="K137" s="597"/>
      <c r="L137" s="597"/>
    </row>
    <row r="138" spans="6:12" s="586" customFormat="1" ht="12">
      <c r="F138" s="593"/>
      <c r="G138" s="594"/>
      <c r="H138" s="595"/>
      <c r="I138" s="596"/>
      <c r="J138" s="515"/>
      <c r="K138" s="597"/>
      <c r="L138" s="597"/>
    </row>
    <row r="139" spans="6:12" s="586" customFormat="1" ht="12">
      <c r="F139" s="593"/>
      <c r="G139" s="594"/>
      <c r="H139" s="595"/>
      <c r="I139" s="596"/>
      <c r="J139" s="515"/>
      <c r="K139" s="597"/>
      <c r="L139" s="597"/>
    </row>
    <row r="140" spans="6:12" s="586" customFormat="1" ht="12">
      <c r="F140" s="593"/>
      <c r="G140" s="594"/>
      <c r="H140" s="595"/>
      <c r="I140" s="596"/>
      <c r="J140" s="515"/>
      <c r="K140" s="597"/>
      <c r="L140" s="597"/>
    </row>
    <row r="141" spans="6:12" s="586" customFormat="1" ht="12">
      <c r="F141" s="593"/>
      <c r="G141" s="594"/>
      <c r="H141" s="595"/>
      <c r="I141" s="596"/>
      <c r="J141" s="515"/>
      <c r="K141" s="597"/>
      <c r="L141" s="597"/>
    </row>
    <row r="142" spans="6:12" s="586" customFormat="1" ht="12">
      <c r="F142" s="593"/>
      <c r="G142" s="594"/>
      <c r="H142" s="595"/>
      <c r="I142" s="596"/>
      <c r="J142" s="515"/>
      <c r="K142" s="597"/>
      <c r="L142" s="597"/>
    </row>
    <row r="143" spans="6:12" s="586" customFormat="1" ht="12">
      <c r="F143" s="593"/>
      <c r="G143" s="594"/>
      <c r="H143" s="595"/>
      <c r="I143" s="596"/>
      <c r="J143" s="515"/>
      <c r="K143" s="597"/>
      <c r="L143" s="597"/>
    </row>
    <row r="144" spans="6:12" s="586" customFormat="1" ht="12">
      <c r="F144" s="593"/>
      <c r="G144" s="594"/>
      <c r="H144" s="595"/>
      <c r="I144" s="596"/>
      <c r="J144" s="515"/>
      <c r="K144" s="597"/>
      <c r="L144" s="597"/>
    </row>
    <row r="145" spans="6:12" s="586" customFormat="1" ht="12">
      <c r="F145" s="593"/>
      <c r="G145" s="594"/>
      <c r="H145" s="595"/>
      <c r="I145" s="596"/>
      <c r="J145" s="515"/>
      <c r="K145" s="597"/>
      <c r="L145" s="597"/>
    </row>
    <row r="146" spans="6:12" s="586" customFormat="1" ht="12">
      <c r="F146" s="593"/>
      <c r="G146" s="594"/>
      <c r="H146" s="595"/>
      <c r="I146" s="596"/>
      <c r="J146" s="515"/>
      <c r="K146" s="597"/>
      <c r="L146" s="597"/>
    </row>
    <row r="147" spans="6:12" s="586" customFormat="1" ht="12">
      <c r="F147" s="593"/>
      <c r="G147" s="594"/>
      <c r="H147" s="595"/>
      <c r="I147" s="596"/>
      <c r="J147" s="515"/>
      <c r="K147" s="597"/>
      <c r="L147" s="597"/>
    </row>
    <row r="148" spans="6:12" s="586" customFormat="1" ht="12">
      <c r="F148" s="593"/>
      <c r="G148" s="594"/>
      <c r="H148" s="595"/>
      <c r="I148" s="596"/>
      <c r="J148" s="515"/>
      <c r="K148" s="597"/>
      <c r="L148" s="597"/>
    </row>
    <row r="149" spans="6:12" s="586" customFormat="1" ht="12">
      <c r="F149" s="593"/>
      <c r="G149" s="594"/>
      <c r="H149" s="595"/>
      <c r="I149" s="596"/>
      <c r="J149" s="515"/>
      <c r="K149" s="597"/>
      <c r="L149" s="597"/>
    </row>
    <row r="150" spans="6:12" s="586" customFormat="1" ht="12">
      <c r="F150" s="593"/>
      <c r="G150" s="594"/>
      <c r="H150" s="595"/>
      <c r="I150" s="596"/>
      <c r="J150" s="515"/>
      <c r="K150" s="597"/>
      <c r="L150" s="597"/>
    </row>
    <row r="151" spans="6:12" s="586" customFormat="1" ht="12">
      <c r="F151" s="593"/>
      <c r="G151" s="594"/>
      <c r="H151" s="595"/>
      <c r="I151" s="596"/>
      <c r="J151" s="515"/>
      <c r="K151" s="597"/>
      <c r="L151" s="597"/>
    </row>
    <row r="152" spans="6:12" s="586" customFormat="1" ht="12">
      <c r="F152" s="593"/>
      <c r="G152" s="594"/>
      <c r="H152" s="595"/>
      <c r="I152" s="596"/>
      <c r="J152" s="515"/>
      <c r="K152" s="597"/>
      <c r="L152" s="597"/>
    </row>
    <row r="153" spans="6:12" s="586" customFormat="1" ht="12">
      <c r="F153" s="593"/>
      <c r="G153" s="594"/>
      <c r="H153" s="595"/>
      <c r="I153" s="596"/>
      <c r="J153" s="515"/>
      <c r="K153" s="597"/>
      <c r="L153" s="597"/>
    </row>
    <row r="154" spans="6:12" s="586" customFormat="1" ht="12">
      <c r="F154" s="593"/>
      <c r="G154" s="594"/>
      <c r="H154" s="595"/>
      <c r="I154" s="596"/>
      <c r="J154" s="515"/>
      <c r="K154" s="597"/>
      <c r="L154" s="597"/>
    </row>
    <row r="155" spans="6:12" s="586" customFormat="1" ht="12">
      <c r="F155" s="593"/>
      <c r="G155" s="594"/>
      <c r="H155" s="595"/>
      <c r="I155" s="596"/>
      <c r="J155" s="515"/>
      <c r="K155" s="597"/>
      <c r="L155" s="597"/>
    </row>
    <row r="156" spans="6:12" s="586" customFormat="1" ht="12">
      <c r="F156" s="593"/>
      <c r="G156" s="594"/>
      <c r="H156" s="595"/>
      <c r="I156" s="596"/>
      <c r="J156" s="515"/>
      <c r="K156" s="597"/>
      <c r="L156" s="597"/>
    </row>
    <row r="157" spans="6:12" s="586" customFormat="1" ht="12">
      <c r="F157" s="593"/>
      <c r="G157" s="594"/>
      <c r="H157" s="595"/>
      <c r="I157" s="596"/>
      <c r="J157" s="515"/>
      <c r="K157" s="597"/>
      <c r="L157" s="597"/>
    </row>
    <row r="158" spans="6:12" s="586" customFormat="1" ht="12">
      <c r="F158" s="593"/>
      <c r="G158" s="594"/>
      <c r="H158" s="595"/>
      <c r="I158" s="596"/>
      <c r="J158" s="515"/>
      <c r="K158" s="597"/>
      <c r="L158" s="597"/>
    </row>
    <row r="159" spans="6:12" s="586" customFormat="1" ht="12">
      <c r="F159" s="593"/>
      <c r="G159" s="594"/>
      <c r="H159" s="595"/>
      <c r="I159" s="596"/>
      <c r="J159" s="515"/>
      <c r="K159" s="597"/>
      <c r="L159" s="597"/>
    </row>
    <row r="160" spans="6:12" s="586" customFormat="1" ht="12">
      <c r="F160" s="593"/>
      <c r="G160" s="594"/>
      <c r="H160" s="595"/>
      <c r="I160" s="596"/>
      <c r="J160" s="515"/>
      <c r="K160" s="597"/>
      <c r="L160" s="597"/>
    </row>
    <row r="161" spans="6:12" s="586" customFormat="1" ht="12">
      <c r="F161" s="593"/>
      <c r="G161" s="594"/>
      <c r="H161" s="595"/>
      <c r="I161" s="596"/>
      <c r="J161" s="515"/>
      <c r="K161" s="597"/>
      <c r="L161" s="597"/>
    </row>
    <row r="162" spans="6:12" s="586" customFormat="1" ht="12">
      <c r="F162" s="593"/>
      <c r="G162" s="594"/>
      <c r="H162" s="595"/>
      <c r="I162" s="596"/>
      <c r="J162" s="515"/>
      <c r="K162" s="597"/>
      <c r="L162" s="597"/>
    </row>
    <row r="163" spans="6:12" s="586" customFormat="1" ht="12">
      <c r="F163" s="593"/>
      <c r="G163" s="594"/>
      <c r="H163" s="595"/>
      <c r="I163" s="596"/>
      <c r="J163" s="515"/>
      <c r="K163" s="597"/>
      <c r="L163" s="597"/>
    </row>
    <row r="164" spans="6:12" s="586" customFormat="1" ht="12">
      <c r="F164" s="593"/>
      <c r="G164" s="594"/>
      <c r="H164" s="595"/>
      <c r="I164" s="596"/>
      <c r="J164" s="515"/>
      <c r="K164" s="597"/>
      <c r="L164" s="597"/>
    </row>
    <row r="165" spans="6:12" s="586" customFormat="1" ht="12">
      <c r="F165" s="593"/>
      <c r="G165" s="594"/>
      <c r="H165" s="595"/>
      <c r="I165" s="596"/>
      <c r="J165" s="515"/>
      <c r="K165" s="597"/>
      <c r="L165" s="597"/>
    </row>
    <row r="166" spans="6:12" s="586" customFormat="1" ht="12">
      <c r="F166" s="593"/>
      <c r="G166" s="594"/>
      <c r="H166" s="595"/>
      <c r="I166" s="596"/>
      <c r="J166" s="515"/>
      <c r="K166" s="597"/>
      <c r="L166" s="597"/>
    </row>
    <row r="167" spans="6:12" s="586" customFormat="1" ht="12">
      <c r="F167" s="593"/>
      <c r="G167" s="594"/>
      <c r="H167" s="595"/>
      <c r="I167" s="596"/>
      <c r="J167" s="515"/>
      <c r="K167" s="597"/>
      <c r="L167" s="597"/>
    </row>
    <row r="168" spans="6:12" s="586" customFormat="1" ht="12">
      <c r="F168" s="593"/>
      <c r="G168" s="594"/>
      <c r="H168" s="595"/>
      <c r="I168" s="596"/>
      <c r="J168" s="515"/>
      <c r="K168" s="597"/>
      <c r="L168" s="597"/>
    </row>
    <row r="169" spans="6:12" s="586" customFormat="1" ht="12">
      <c r="F169" s="593"/>
      <c r="G169" s="594"/>
      <c r="H169" s="595"/>
      <c r="I169" s="596"/>
      <c r="J169" s="515"/>
      <c r="K169" s="597"/>
      <c r="L169" s="597"/>
    </row>
    <row r="170" spans="6:12" s="586" customFormat="1" ht="12">
      <c r="F170" s="593"/>
      <c r="G170" s="594"/>
      <c r="H170" s="595"/>
      <c r="I170" s="596"/>
      <c r="J170" s="515"/>
      <c r="K170" s="597"/>
      <c r="L170" s="597"/>
    </row>
    <row r="171" spans="6:12" s="586" customFormat="1" ht="12">
      <c r="F171" s="593"/>
      <c r="G171" s="594"/>
      <c r="H171" s="595"/>
      <c r="I171" s="596"/>
      <c r="J171" s="515"/>
      <c r="K171" s="597"/>
      <c r="L171" s="597"/>
    </row>
    <row r="172" spans="6:12" s="586" customFormat="1" ht="12">
      <c r="F172" s="593"/>
      <c r="G172" s="594"/>
      <c r="H172" s="595"/>
      <c r="I172" s="596"/>
      <c r="J172" s="515"/>
      <c r="K172" s="597"/>
      <c r="L172" s="597"/>
    </row>
    <row r="173" spans="6:12" s="586" customFormat="1" ht="12">
      <c r="F173" s="593"/>
      <c r="G173" s="594"/>
      <c r="H173" s="595"/>
      <c r="I173" s="596"/>
      <c r="J173" s="515"/>
      <c r="K173" s="597"/>
      <c r="L173" s="597"/>
    </row>
    <row r="174" spans="6:12" s="586" customFormat="1" ht="12">
      <c r="F174" s="593"/>
      <c r="G174" s="594"/>
      <c r="H174" s="595"/>
      <c r="I174" s="596"/>
      <c r="J174" s="515"/>
      <c r="K174" s="597"/>
      <c r="L174" s="597"/>
    </row>
    <row r="175" spans="6:12" s="586" customFormat="1" ht="12">
      <c r="F175" s="593"/>
      <c r="G175" s="594"/>
      <c r="H175" s="595"/>
      <c r="I175" s="596"/>
      <c r="J175" s="515"/>
      <c r="K175" s="597"/>
      <c r="L175" s="597"/>
    </row>
    <row r="176" spans="6:12" s="586" customFormat="1" ht="12">
      <c r="F176" s="593"/>
      <c r="G176" s="594"/>
      <c r="H176" s="595"/>
      <c r="I176" s="596"/>
      <c r="J176" s="515"/>
      <c r="K176" s="597"/>
      <c r="L176" s="597"/>
    </row>
    <row r="177" spans="6:12" s="586" customFormat="1" ht="12">
      <c r="F177" s="593"/>
      <c r="G177" s="594"/>
      <c r="H177" s="595"/>
      <c r="I177" s="596"/>
      <c r="J177" s="515"/>
      <c r="K177" s="597"/>
      <c r="L177" s="597"/>
    </row>
    <row r="178" spans="6:12" s="586" customFormat="1" ht="12">
      <c r="F178" s="593"/>
      <c r="G178" s="594"/>
      <c r="H178" s="595"/>
      <c r="I178" s="596"/>
      <c r="J178" s="515"/>
      <c r="K178" s="597"/>
      <c r="L178" s="597"/>
    </row>
    <row r="179" spans="6:12" s="586" customFormat="1" ht="12">
      <c r="F179" s="593"/>
      <c r="G179" s="594"/>
      <c r="H179" s="595"/>
      <c r="I179" s="596"/>
      <c r="J179" s="515"/>
      <c r="K179" s="597"/>
      <c r="L179" s="597"/>
    </row>
    <row r="180" spans="6:12" s="586" customFormat="1" ht="12">
      <c r="F180" s="593"/>
      <c r="G180" s="594"/>
      <c r="H180" s="595"/>
      <c r="I180" s="596"/>
      <c r="J180" s="515"/>
      <c r="K180" s="597"/>
      <c r="L180" s="597"/>
    </row>
    <row r="181" spans="6:12" s="586" customFormat="1" ht="12">
      <c r="F181" s="593"/>
      <c r="G181" s="594"/>
      <c r="H181" s="595"/>
      <c r="I181" s="596"/>
      <c r="J181" s="515"/>
      <c r="K181" s="597"/>
      <c r="L181" s="597"/>
    </row>
    <row r="182" spans="6:12" s="586" customFormat="1" ht="12">
      <c r="F182" s="593"/>
      <c r="G182" s="594"/>
      <c r="H182" s="595"/>
      <c r="I182" s="596"/>
      <c r="J182" s="515"/>
      <c r="K182" s="597"/>
      <c r="L182" s="597"/>
    </row>
    <row r="183" spans="6:12" s="586" customFormat="1" ht="12">
      <c r="F183" s="593"/>
      <c r="G183" s="594"/>
      <c r="H183" s="595"/>
      <c r="I183" s="596"/>
      <c r="J183" s="515"/>
      <c r="K183" s="597"/>
      <c r="L183" s="597"/>
    </row>
    <row r="184" spans="6:12" s="586" customFormat="1" ht="12">
      <c r="F184" s="593"/>
      <c r="G184" s="594"/>
      <c r="H184" s="595"/>
      <c r="I184" s="596"/>
      <c r="J184" s="515"/>
      <c r="K184" s="597"/>
      <c r="L184" s="597"/>
    </row>
    <row r="185" spans="6:12" s="586" customFormat="1" ht="12">
      <c r="F185" s="593"/>
      <c r="G185" s="594"/>
      <c r="H185" s="595"/>
      <c r="I185" s="596"/>
      <c r="J185" s="515"/>
      <c r="K185" s="597"/>
      <c r="L185" s="597"/>
    </row>
    <row r="186" spans="6:12" s="586" customFormat="1" ht="12">
      <c r="F186" s="593"/>
      <c r="G186" s="594"/>
      <c r="H186" s="595"/>
      <c r="I186" s="596"/>
      <c r="J186" s="515"/>
      <c r="K186" s="597"/>
      <c r="L186" s="597"/>
    </row>
    <row r="187" spans="6:12" s="586" customFormat="1" ht="12">
      <c r="F187" s="593"/>
      <c r="G187" s="594"/>
      <c r="H187" s="595"/>
      <c r="I187" s="596"/>
      <c r="J187" s="515"/>
      <c r="K187" s="597"/>
      <c r="L187" s="597"/>
    </row>
    <row r="188" spans="6:12" s="586" customFormat="1" ht="12">
      <c r="F188" s="593"/>
      <c r="G188" s="594"/>
      <c r="H188" s="595"/>
      <c r="I188" s="596"/>
      <c r="J188" s="515"/>
      <c r="K188" s="597"/>
      <c r="L188" s="597"/>
    </row>
    <row r="189" spans="6:12" s="586" customFormat="1" ht="12">
      <c r="F189" s="593"/>
      <c r="G189" s="594"/>
      <c r="H189" s="595"/>
      <c r="I189" s="596"/>
      <c r="J189" s="515"/>
      <c r="K189" s="597"/>
      <c r="L189" s="597"/>
    </row>
    <row r="190" spans="6:12" s="586" customFormat="1" ht="12">
      <c r="F190" s="593"/>
      <c r="G190" s="594"/>
      <c r="H190" s="595"/>
      <c r="I190" s="596"/>
      <c r="J190" s="515"/>
      <c r="K190" s="597"/>
      <c r="L190" s="597"/>
    </row>
    <row r="191" spans="6:12" s="586" customFormat="1" ht="12">
      <c r="F191" s="593"/>
      <c r="G191" s="594"/>
      <c r="H191" s="595"/>
      <c r="I191" s="596"/>
      <c r="J191" s="515"/>
      <c r="K191" s="597"/>
      <c r="L191" s="597"/>
    </row>
    <row r="192" spans="6:12" s="586" customFormat="1" ht="12">
      <c r="F192" s="593"/>
      <c r="G192" s="594"/>
      <c r="H192" s="595"/>
      <c r="I192" s="596"/>
      <c r="J192" s="515"/>
      <c r="K192" s="597"/>
      <c r="L192" s="597"/>
    </row>
    <row r="193" spans="6:12" s="586" customFormat="1" ht="12">
      <c r="F193" s="593"/>
      <c r="G193" s="594"/>
      <c r="H193" s="595"/>
      <c r="I193" s="596"/>
      <c r="J193" s="515"/>
      <c r="K193" s="597"/>
      <c r="L193" s="597"/>
    </row>
    <row r="194" spans="6:12" s="586" customFormat="1" ht="12">
      <c r="F194" s="593"/>
      <c r="G194" s="594"/>
      <c r="H194" s="595"/>
      <c r="I194" s="596"/>
      <c r="J194" s="515"/>
      <c r="K194" s="597"/>
      <c r="L194" s="597"/>
    </row>
    <row r="195" spans="6:12" s="586" customFormat="1" ht="12">
      <c r="F195" s="593"/>
      <c r="G195" s="594"/>
      <c r="H195" s="595"/>
      <c r="I195" s="596"/>
      <c r="J195" s="515"/>
      <c r="K195" s="597"/>
      <c r="L195" s="597"/>
    </row>
    <row r="196" spans="6:12" s="586" customFormat="1" ht="12">
      <c r="F196" s="593"/>
      <c r="G196" s="594"/>
      <c r="H196" s="595"/>
      <c r="I196" s="596"/>
      <c r="J196" s="515"/>
      <c r="K196" s="597"/>
      <c r="L196" s="597"/>
    </row>
    <row r="197" spans="6:12" s="586" customFormat="1" ht="12">
      <c r="F197" s="593"/>
      <c r="G197" s="594"/>
      <c r="H197" s="595"/>
      <c r="I197" s="596"/>
      <c r="J197" s="515"/>
      <c r="K197" s="597"/>
      <c r="L197" s="597"/>
    </row>
    <row r="198" spans="6:12" s="586" customFormat="1" ht="12">
      <c r="F198" s="593"/>
      <c r="G198" s="594"/>
      <c r="H198" s="595"/>
      <c r="I198" s="596"/>
      <c r="J198" s="515"/>
      <c r="K198" s="597"/>
      <c r="L198" s="597"/>
    </row>
    <row r="199" spans="6:12" s="586" customFormat="1" ht="12">
      <c r="F199" s="593"/>
      <c r="G199" s="594"/>
      <c r="H199" s="595"/>
      <c r="I199" s="596"/>
      <c r="J199" s="515"/>
      <c r="K199" s="597"/>
      <c r="L199" s="597"/>
    </row>
    <row r="200" spans="6:12" s="586" customFormat="1" ht="12">
      <c r="F200" s="593"/>
      <c r="G200" s="594"/>
      <c r="H200" s="595"/>
      <c r="I200" s="596"/>
      <c r="J200" s="515"/>
      <c r="K200" s="597"/>
      <c r="L200" s="597"/>
    </row>
    <row r="201" spans="6:12" s="586" customFormat="1" ht="12">
      <c r="F201" s="593"/>
      <c r="G201" s="594"/>
      <c r="H201" s="595"/>
      <c r="I201" s="596"/>
      <c r="J201" s="515"/>
      <c r="K201" s="597"/>
      <c r="L201" s="597"/>
    </row>
    <row r="202" spans="6:12" s="586" customFormat="1" ht="12">
      <c r="F202" s="593"/>
      <c r="G202" s="594"/>
      <c r="H202" s="595"/>
      <c r="I202" s="596"/>
      <c r="J202" s="515"/>
      <c r="K202" s="597"/>
      <c r="L202" s="597"/>
    </row>
    <row r="203" spans="6:12" s="586" customFormat="1" ht="12">
      <c r="F203" s="593"/>
      <c r="G203" s="594"/>
      <c r="H203" s="595"/>
      <c r="I203" s="596"/>
      <c r="J203" s="515"/>
      <c r="K203" s="597"/>
      <c r="L203" s="597"/>
    </row>
    <row r="204" spans="6:12" s="586" customFormat="1" ht="12">
      <c r="F204" s="593"/>
      <c r="G204" s="594"/>
      <c r="H204" s="595"/>
      <c r="I204" s="596"/>
      <c r="J204" s="515"/>
      <c r="K204" s="597"/>
      <c r="L204" s="597"/>
    </row>
    <row r="205" spans="6:12" s="586" customFormat="1" ht="12">
      <c r="F205" s="593"/>
      <c r="G205" s="594"/>
      <c r="H205" s="595"/>
      <c r="I205" s="596"/>
      <c r="J205" s="515"/>
      <c r="K205" s="597"/>
      <c r="L205" s="597"/>
    </row>
    <row r="206" spans="6:12" s="586" customFormat="1" ht="12">
      <c r="F206" s="593"/>
      <c r="G206" s="594"/>
      <c r="H206" s="595"/>
      <c r="I206" s="596"/>
      <c r="J206" s="515"/>
      <c r="K206" s="597"/>
      <c r="L206" s="597"/>
    </row>
    <row r="207" spans="6:12" s="586" customFormat="1" ht="12">
      <c r="F207" s="593"/>
      <c r="G207" s="594"/>
      <c r="H207" s="595"/>
      <c r="I207" s="596"/>
      <c r="J207" s="515"/>
      <c r="K207" s="597"/>
      <c r="L207" s="597"/>
    </row>
    <row r="208" spans="6:12" s="586" customFormat="1" ht="12">
      <c r="F208" s="593"/>
      <c r="G208" s="594"/>
      <c r="H208" s="595"/>
      <c r="I208" s="596"/>
      <c r="J208" s="515"/>
      <c r="K208" s="597"/>
      <c r="L208" s="597"/>
    </row>
    <row r="209" spans="6:12" s="586" customFormat="1" ht="12">
      <c r="F209" s="593"/>
      <c r="G209" s="594"/>
      <c r="H209" s="595"/>
      <c r="I209" s="596"/>
      <c r="J209" s="515"/>
      <c r="K209" s="597"/>
      <c r="L209" s="597"/>
    </row>
    <row r="210" spans="6:12" s="586" customFormat="1" ht="12">
      <c r="F210" s="593"/>
      <c r="G210" s="594"/>
      <c r="H210" s="595"/>
      <c r="I210" s="596"/>
      <c r="J210" s="515"/>
      <c r="K210" s="597"/>
      <c r="L210" s="597"/>
    </row>
    <row r="211" spans="6:12" s="586" customFormat="1" ht="12">
      <c r="F211" s="593"/>
      <c r="G211" s="594"/>
      <c r="H211" s="595"/>
      <c r="I211" s="596"/>
      <c r="J211" s="515"/>
      <c r="K211" s="597"/>
      <c r="L211" s="597"/>
    </row>
    <row r="212" spans="6:12" s="586" customFormat="1" ht="12">
      <c r="F212" s="593"/>
      <c r="G212" s="594"/>
      <c r="H212" s="595"/>
      <c r="I212" s="596"/>
      <c r="J212" s="515"/>
      <c r="K212" s="597"/>
      <c r="L212" s="597"/>
    </row>
    <row r="213" spans="6:12" s="586" customFormat="1" ht="12">
      <c r="F213" s="593"/>
      <c r="G213" s="594"/>
      <c r="H213" s="595"/>
      <c r="I213" s="596"/>
      <c r="J213" s="515"/>
      <c r="K213" s="597"/>
      <c r="L213" s="597"/>
    </row>
    <row r="214" spans="6:12" s="586" customFormat="1" ht="12">
      <c r="F214" s="593"/>
      <c r="G214" s="594"/>
      <c r="H214" s="595"/>
      <c r="I214" s="596"/>
      <c r="J214" s="515"/>
      <c r="K214" s="597"/>
      <c r="L214" s="597"/>
    </row>
    <row r="215" spans="6:12" s="586" customFormat="1" ht="12">
      <c r="F215" s="593"/>
      <c r="G215" s="594"/>
      <c r="H215" s="595"/>
      <c r="I215" s="596"/>
      <c r="J215" s="515"/>
      <c r="K215" s="597"/>
      <c r="L215" s="597"/>
    </row>
    <row r="216" spans="6:12" s="586" customFormat="1" ht="12">
      <c r="F216" s="593"/>
      <c r="G216" s="594"/>
      <c r="H216" s="595"/>
      <c r="I216" s="596"/>
      <c r="J216" s="515"/>
      <c r="K216" s="597"/>
      <c r="L216" s="597"/>
    </row>
    <row r="217" spans="6:12" s="586" customFormat="1" ht="12">
      <c r="F217" s="593"/>
      <c r="G217" s="594"/>
      <c r="H217" s="595"/>
      <c r="I217" s="596"/>
      <c r="J217" s="515"/>
      <c r="K217" s="597"/>
      <c r="L217" s="597"/>
    </row>
    <row r="218" spans="6:12" s="586" customFormat="1" ht="12">
      <c r="F218" s="593"/>
      <c r="G218" s="594"/>
      <c r="H218" s="595"/>
      <c r="I218" s="596"/>
      <c r="J218" s="515"/>
      <c r="K218" s="597"/>
      <c r="L218" s="597"/>
    </row>
    <row r="219" spans="6:12" s="586" customFormat="1" ht="12">
      <c r="F219" s="593"/>
      <c r="G219" s="594"/>
      <c r="H219" s="595"/>
      <c r="I219" s="596"/>
      <c r="J219" s="515"/>
      <c r="K219" s="597"/>
      <c r="L219" s="597"/>
    </row>
    <row r="220" spans="6:12" s="586" customFormat="1" ht="12">
      <c r="F220" s="593"/>
      <c r="G220" s="594"/>
      <c r="H220" s="595"/>
      <c r="I220" s="596"/>
      <c r="J220" s="515"/>
      <c r="K220" s="597"/>
      <c r="L220" s="597"/>
    </row>
    <row r="221" spans="6:12" s="586" customFormat="1" ht="12">
      <c r="F221" s="593"/>
      <c r="G221" s="594"/>
      <c r="H221" s="595"/>
      <c r="I221" s="596"/>
      <c r="J221" s="515"/>
      <c r="K221" s="597"/>
      <c r="L221" s="597"/>
    </row>
    <row r="222" spans="6:12" s="586" customFormat="1" ht="12">
      <c r="F222" s="593"/>
      <c r="G222" s="594"/>
      <c r="H222" s="595"/>
      <c r="I222" s="596"/>
      <c r="J222" s="515"/>
      <c r="K222" s="597"/>
      <c r="L222" s="597"/>
    </row>
    <row r="223" spans="6:12" s="586" customFormat="1" ht="12">
      <c r="F223" s="593"/>
      <c r="G223" s="594"/>
      <c r="H223" s="595"/>
      <c r="I223" s="596"/>
      <c r="J223" s="515"/>
      <c r="K223" s="597"/>
      <c r="L223" s="597"/>
    </row>
    <row r="224" spans="6:12" s="586" customFormat="1" ht="12">
      <c r="F224" s="593"/>
      <c r="G224" s="594"/>
      <c r="H224" s="595"/>
      <c r="I224" s="596"/>
      <c r="J224" s="515"/>
      <c r="K224" s="597"/>
      <c r="L224" s="597"/>
    </row>
    <row r="225" spans="6:12" s="586" customFormat="1" ht="12">
      <c r="F225" s="593"/>
      <c r="G225" s="594"/>
      <c r="H225" s="595"/>
      <c r="I225" s="596"/>
      <c r="J225" s="515"/>
      <c r="K225" s="597"/>
      <c r="L225" s="597"/>
    </row>
    <row r="226" spans="6:12" s="586" customFormat="1" ht="12">
      <c r="F226" s="593"/>
      <c r="G226" s="594"/>
      <c r="H226" s="595"/>
      <c r="I226" s="596"/>
      <c r="J226" s="515"/>
      <c r="K226" s="597"/>
      <c r="L226" s="597"/>
    </row>
    <row r="227" spans="6:12" s="586" customFormat="1" ht="12">
      <c r="F227" s="593"/>
      <c r="G227" s="594"/>
      <c r="H227" s="595"/>
      <c r="I227" s="596"/>
      <c r="J227" s="515"/>
      <c r="K227" s="597"/>
      <c r="L227" s="597"/>
    </row>
    <row r="228" spans="6:12" s="586" customFormat="1" ht="12">
      <c r="F228" s="593"/>
      <c r="G228" s="594"/>
      <c r="H228" s="595"/>
      <c r="I228" s="596"/>
      <c r="J228" s="515"/>
      <c r="K228" s="597"/>
      <c r="L228" s="597"/>
    </row>
    <row r="229" spans="6:12" s="586" customFormat="1" ht="12">
      <c r="F229" s="593"/>
      <c r="G229" s="594"/>
      <c r="H229" s="595"/>
      <c r="I229" s="596"/>
      <c r="J229" s="515"/>
      <c r="K229" s="597"/>
      <c r="L229" s="597"/>
    </row>
    <row r="230" spans="6:12" s="586" customFormat="1" ht="12">
      <c r="F230" s="593"/>
      <c r="G230" s="594"/>
      <c r="H230" s="595"/>
      <c r="I230" s="596"/>
      <c r="J230" s="515"/>
      <c r="K230" s="597"/>
      <c r="L230" s="597"/>
    </row>
    <row r="231" spans="6:12" s="586" customFormat="1" ht="12">
      <c r="F231" s="593"/>
      <c r="G231" s="594"/>
      <c r="H231" s="595"/>
      <c r="I231" s="596"/>
      <c r="J231" s="515"/>
      <c r="K231" s="597"/>
      <c r="L231" s="597"/>
    </row>
    <row r="232" spans="6:12" s="586" customFormat="1" ht="12">
      <c r="F232" s="593"/>
      <c r="G232" s="594"/>
      <c r="H232" s="595"/>
      <c r="I232" s="596"/>
      <c r="J232" s="515"/>
      <c r="K232" s="597"/>
      <c r="L232" s="597"/>
    </row>
    <row r="233" spans="6:12" s="586" customFormat="1" ht="12">
      <c r="F233" s="593"/>
      <c r="G233" s="594"/>
      <c r="H233" s="595"/>
      <c r="I233" s="596"/>
      <c r="J233" s="515"/>
      <c r="K233" s="597"/>
      <c r="L233" s="597"/>
    </row>
    <row r="234" spans="6:12" s="586" customFormat="1" ht="12">
      <c r="F234" s="593"/>
      <c r="G234" s="594"/>
      <c r="H234" s="595"/>
      <c r="I234" s="596"/>
      <c r="J234" s="515"/>
      <c r="K234" s="597"/>
      <c r="L234" s="597"/>
    </row>
    <row r="235" spans="6:12" s="586" customFormat="1" ht="12">
      <c r="F235" s="593"/>
      <c r="G235" s="594"/>
      <c r="H235" s="595"/>
      <c r="I235" s="596"/>
      <c r="J235" s="515"/>
      <c r="K235" s="597"/>
      <c r="L235" s="597"/>
    </row>
    <row r="236" spans="6:12" s="586" customFormat="1" ht="12">
      <c r="F236" s="593"/>
      <c r="G236" s="594"/>
      <c r="H236" s="595"/>
      <c r="I236" s="596"/>
      <c r="J236" s="515"/>
      <c r="K236" s="597"/>
      <c r="L236" s="597"/>
    </row>
    <row r="237" spans="6:12" s="586" customFormat="1" ht="12">
      <c r="F237" s="593"/>
      <c r="G237" s="594"/>
      <c r="H237" s="595"/>
      <c r="I237" s="596"/>
      <c r="J237" s="515"/>
      <c r="K237" s="597"/>
      <c r="L237" s="597"/>
    </row>
    <row r="238" spans="6:12" s="586" customFormat="1" ht="12">
      <c r="F238" s="593"/>
      <c r="G238" s="594"/>
      <c r="H238" s="595"/>
      <c r="I238" s="596"/>
      <c r="J238" s="515"/>
      <c r="K238" s="597"/>
      <c r="L238" s="597"/>
    </row>
    <row r="239" spans="6:12" s="586" customFormat="1" ht="12">
      <c r="F239" s="593"/>
      <c r="G239" s="594"/>
      <c r="H239" s="595"/>
      <c r="I239" s="596"/>
      <c r="J239" s="515"/>
      <c r="K239" s="597"/>
      <c r="L239" s="597"/>
    </row>
    <row r="240" spans="6:12" s="586" customFormat="1" ht="12">
      <c r="F240" s="593"/>
      <c r="G240" s="594"/>
      <c r="H240" s="595"/>
      <c r="I240" s="596"/>
      <c r="J240" s="515"/>
      <c r="K240" s="597"/>
      <c r="L240" s="597"/>
    </row>
    <row r="241" spans="6:12" s="586" customFormat="1" ht="12">
      <c r="F241" s="593"/>
      <c r="G241" s="594"/>
      <c r="H241" s="595"/>
      <c r="I241" s="596"/>
      <c r="J241" s="515"/>
      <c r="K241" s="597"/>
      <c r="L241" s="597"/>
    </row>
    <row r="242" spans="6:12" s="586" customFormat="1" ht="12">
      <c r="F242" s="593"/>
      <c r="G242" s="594"/>
      <c r="H242" s="595"/>
      <c r="I242" s="596"/>
      <c r="J242" s="515"/>
      <c r="K242" s="597"/>
      <c r="L242" s="597"/>
    </row>
    <row r="243" spans="6:12" s="586" customFormat="1" ht="12">
      <c r="F243" s="593"/>
      <c r="G243" s="594"/>
      <c r="H243" s="595"/>
      <c r="I243" s="596"/>
      <c r="J243" s="515"/>
      <c r="K243" s="597"/>
      <c r="L243" s="597"/>
    </row>
    <row r="244" spans="6:12" s="586" customFormat="1" ht="12">
      <c r="F244" s="593"/>
      <c r="G244" s="594"/>
      <c r="H244" s="595"/>
      <c r="I244" s="596"/>
      <c r="J244" s="515"/>
      <c r="K244" s="597"/>
      <c r="L244" s="597"/>
    </row>
    <row r="245" spans="6:12" s="586" customFormat="1" ht="12">
      <c r="F245" s="593"/>
      <c r="G245" s="594"/>
      <c r="H245" s="595"/>
      <c r="I245" s="596"/>
      <c r="J245" s="515"/>
      <c r="K245" s="597"/>
      <c r="L245" s="597"/>
    </row>
    <row r="246" spans="6:12" s="586" customFormat="1" ht="12">
      <c r="F246" s="593"/>
      <c r="G246" s="594"/>
      <c r="H246" s="595"/>
      <c r="I246" s="596"/>
      <c r="J246" s="515"/>
      <c r="K246" s="597"/>
      <c r="L246" s="597"/>
    </row>
    <row r="247" spans="6:12" s="586" customFormat="1" ht="12">
      <c r="F247" s="593"/>
      <c r="G247" s="594"/>
      <c r="H247" s="595"/>
      <c r="I247" s="596"/>
      <c r="J247" s="515"/>
      <c r="K247" s="597"/>
      <c r="L247" s="597"/>
    </row>
    <row r="248" spans="6:12" s="586" customFormat="1" ht="12">
      <c r="F248" s="593"/>
      <c r="G248" s="594"/>
      <c r="H248" s="595"/>
      <c r="I248" s="596"/>
      <c r="J248" s="515"/>
      <c r="K248" s="597"/>
      <c r="L248" s="597"/>
    </row>
    <row r="249" spans="6:12" s="586" customFormat="1" ht="12">
      <c r="F249" s="593"/>
      <c r="G249" s="594"/>
      <c r="H249" s="595"/>
      <c r="I249" s="596"/>
      <c r="J249" s="515"/>
      <c r="K249" s="597"/>
      <c r="L249" s="597"/>
    </row>
    <row r="250" spans="6:12" s="586" customFormat="1" ht="12">
      <c r="F250" s="593"/>
      <c r="G250" s="594"/>
      <c r="H250" s="595"/>
      <c r="I250" s="596"/>
      <c r="J250" s="515"/>
      <c r="K250" s="597"/>
      <c r="L250" s="597"/>
    </row>
    <row r="251" spans="6:12" s="586" customFormat="1" ht="12">
      <c r="F251" s="593"/>
      <c r="G251" s="594"/>
      <c r="H251" s="595"/>
      <c r="I251" s="596"/>
      <c r="J251" s="515"/>
      <c r="K251" s="597"/>
      <c r="L251" s="597"/>
    </row>
    <row r="252" spans="6:12" s="586" customFormat="1" ht="12">
      <c r="F252" s="593"/>
      <c r="G252" s="594"/>
      <c r="H252" s="595"/>
      <c r="I252" s="596"/>
      <c r="J252" s="515"/>
      <c r="K252" s="597"/>
      <c r="L252" s="597"/>
    </row>
    <row r="253" spans="6:12" s="586" customFormat="1" ht="12">
      <c r="F253" s="593"/>
      <c r="G253" s="594"/>
      <c r="H253" s="595"/>
      <c r="I253" s="596"/>
      <c r="J253" s="515"/>
      <c r="K253" s="597"/>
      <c r="L253" s="597"/>
    </row>
    <row r="254" spans="6:12" s="586" customFormat="1" ht="12">
      <c r="F254" s="593"/>
      <c r="G254" s="594"/>
      <c r="H254" s="595"/>
      <c r="I254" s="596"/>
      <c r="J254" s="515"/>
      <c r="K254" s="597"/>
      <c r="L254" s="597"/>
    </row>
    <row r="255" spans="6:12" s="586" customFormat="1" ht="12">
      <c r="F255" s="593"/>
      <c r="G255" s="594"/>
      <c r="H255" s="595"/>
      <c r="I255" s="596"/>
      <c r="J255" s="515"/>
      <c r="K255" s="597"/>
      <c r="L255" s="597"/>
    </row>
    <row r="256" spans="6:12" s="586" customFormat="1" ht="12">
      <c r="F256" s="593"/>
      <c r="G256" s="594"/>
      <c r="H256" s="595"/>
      <c r="I256" s="596"/>
      <c r="J256" s="515"/>
      <c r="K256" s="597"/>
      <c r="L256" s="597"/>
    </row>
    <row r="257" spans="6:12" s="586" customFormat="1" ht="12">
      <c r="F257" s="593"/>
      <c r="G257" s="594"/>
      <c r="H257" s="595"/>
      <c r="I257" s="596"/>
      <c r="J257" s="515"/>
      <c r="K257" s="597"/>
      <c r="L257" s="597"/>
    </row>
    <row r="258" spans="6:12" s="586" customFormat="1" ht="12">
      <c r="F258" s="593"/>
      <c r="G258" s="594"/>
      <c r="H258" s="595"/>
      <c r="I258" s="596"/>
      <c r="J258" s="515"/>
      <c r="K258" s="597"/>
      <c r="L258" s="597"/>
    </row>
    <row r="259" spans="6:12" s="586" customFormat="1" ht="12">
      <c r="F259" s="593"/>
      <c r="G259" s="594"/>
      <c r="H259" s="595"/>
      <c r="I259" s="596"/>
      <c r="J259" s="515"/>
      <c r="K259" s="597"/>
      <c r="L259" s="597"/>
    </row>
    <row r="260" spans="6:12" s="586" customFormat="1" ht="12">
      <c r="F260" s="593"/>
      <c r="G260" s="594"/>
      <c r="H260" s="595"/>
      <c r="I260" s="596"/>
      <c r="J260" s="515"/>
      <c r="K260" s="597"/>
      <c r="L260" s="597"/>
    </row>
    <row r="261" spans="6:12" s="586" customFormat="1" ht="12">
      <c r="F261" s="593"/>
      <c r="G261" s="594"/>
      <c r="H261" s="595"/>
      <c r="I261" s="596"/>
      <c r="J261" s="515"/>
      <c r="K261" s="597"/>
      <c r="L261" s="597"/>
    </row>
    <row r="262" spans="6:12" s="586" customFormat="1" ht="12">
      <c r="F262" s="593"/>
      <c r="G262" s="594"/>
      <c r="H262" s="595"/>
      <c r="I262" s="596"/>
      <c r="J262" s="515"/>
      <c r="K262" s="597"/>
      <c r="L262" s="597"/>
    </row>
    <row r="263" spans="6:12" s="586" customFormat="1" ht="12">
      <c r="F263" s="593"/>
      <c r="G263" s="594"/>
      <c r="H263" s="595"/>
      <c r="I263" s="596"/>
      <c r="J263" s="515"/>
      <c r="K263" s="597"/>
      <c r="L263" s="597"/>
    </row>
    <row r="264" spans="6:12" s="586" customFormat="1" ht="12">
      <c r="F264" s="593"/>
      <c r="G264" s="594"/>
      <c r="H264" s="595"/>
      <c r="I264" s="596"/>
      <c r="J264" s="515"/>
      <c r="K264" s="597"/>
      <c r="L264" s="597"/>
    </row>
    <row r="265" spans="6:12" s="586" customFormat="1" ht="12">
      <c r="F265" s="593"/>
      <c r="G265" s="594"/>
      <c r="H265" s="595"/>
      <c r="I265" s="596"/>
      <c r="J265" s="515"/>
      <c r="K265" s="597"/>
      <c r="L265" s="597"/>
    </row>
    <row r="266" spans="6:12" s="586" customFormat="1" ht="12">
      <c r="F266" s="593"/>
      <c r="G266" s="594"/>
      <c r="H266" s="595"/>
      <c r="I266" s="596"/>
      <c r="J266" s="515"/>
      <c r="K266" s="597"/>
      <c r="L266" s="597"/>
    </row>
    <row r="267" spans="6:12" s="586" customFormat="1" ht="12">
      <c r="F267" s="593"/>
      <c r="G267" s="594"/>
      <c r="H267" s="595"/>
      <c r="I267" s="596"/>
      <c r="J267" s="515"/>
      <c r="K267" s="597"/>
      <c r="L267" s="597"/>
    </row>
    <row r="268" spans="6:12" s="586" customFormat="1" ht="12">
      <c r="F268" s="593"/>
      <c r="G268" s="594"/>
      <c r="H268" s="595"/>
      <c r="I268" s="596"/>
      <c r="J268" s="515"/>
      <c r="K268" s="597"/>
      <c r="L268" s="597"/>
    </row>
    <row r="269" spans="6:12" s="586" customFormat="1" ht="12">
      <c r="F269" s="593"/>
      <c r="G269" s="594"/>
      <c r="H269" s="595"/>
      <c r="I269" s="596"/>
      <c r="J269" s="515"/>
      <c r="K269" s="597"/>
      <c r="L269" s="597"/>
    </row>
    <row r="270" spans="6:12" s="586" customFormat="1" ht="12">
      <c r="F270" s="593"/>
      <c r="G270" s="594"/>
      <c r="H270" s="595"/>
      <c r="I270" s="596"/>
      <c r="J270" s="515"/>
      <c r="K270" s="597"/>
      <c r="L270" s="597"/>
    </row>
    <row r="271" spans="6:12" s="586" customFormat="1" ht="12">
      <c r="F271" s="593"/>
      <c r="G271" s="594"/>
      <c r="H271" s="595"/>
      <c r="I271" s="596"/>
      <c r="J271" s="515"/>
      <c r="K271" s="597"/>
      <c r="L271" s="597"/>
    </row>
    <row r="272" spans="6:12" s="586" customFormat="1" ht="12">
      <c r="F272" s="593"/>
      <c r="G272" s="594"/>
      <c r="H272" s="595"/>
      <c r="I272" s="596"/>
      <c r="J272" s="515"/>
      <c r="K272" s="597"/>
      <c r="L272" s="597"/>
    </row>
    <row r="273" spans="6:12" s="586" customFormat="1" ht="12">
      <c r="F273" s="593"/>
      <c r="G273" s="594"/>
      <c r="H273" s="595"/>
      <c r="I273" s="596"/>
      <c r="J273" s="515"/>
      <c r="K273" s="597"/>
      <c r="L273" s="597"/>
    </row>
    <row r="274" spans="6:12" s="586" customFormat="1" ht="12">
      <c r="F274" s="593"/>
      <c r="G274" s="594"/>
      <c r="H274" s="595"/>
      <c r="I274" s="596"/>
      <c r="J274" s="515"/>
      <c r="K274" s="597"/>
      <c r="L274" s="597"/>
    </row>
    <row r="275" spans="6:12" s="586" customFormat="1" ht="12">
      <c r="F275" s="593"/>
      <c r="G275" s="594"/>
      <c r="H275" s="595"/>
      <c r="I275" s="596"/>
      <c r="J275" s="515"/>
      <c r="K275" s="597"/>
      <c r="L275" s="597"/>
    </row>
    <row r="276" spans="6:12" s="586" customFormat="1" ht="12">
      <c r="F276" s="593"/>
      <c r="G276" s="594"/>
      <c r="H276" s="595"/>
      <c r="I276" s="596"/>
      <c r="J276" s="515"/>
      <c r="K276" s="597"/>
      <c r="L276" s="597"/>
    </row>
    <row r="277" spans="6:12" s="586" customFormat="1" ht="12">
      <c r="F277" s="593"/>
      <c r="G277" s="594"/>
      <c r="H277" s="595"/>
      <c r="I277" s="596"/>
      <c r="J277" s="515"/>
      <c r="K277" s="597"/>
      <c r="L277" s="597"/>
    </row>
    <row r="278" spans="6:12" s="586" customFormat="1" ht="12">
      <c r="F278" s="593"/>
      <c r="G278" s="594"/>
      <c r="H278" s="595"/>
      <c r="I278" s="596"/>
      <c r="J278" s="515"/>
      <c r="K278" s="597"/>
      <c r="L278" s="597"/>
    </row>
    <row r="279" spans="6:12" s="586" customFormat="1" ht="12">
      <c r="F279" s="593"/>
      <c r="G279" s="594"/>
      <c r="H279" s="595"/>
      <c r="I279" s="596"/>
      <c r="J279" s="515"/>
      <c r="K279" s="597"/>
      <c r="L279" s="597"/>
    </row>
    <row r="280" spans="6:12" s="586" customFormat="1" ht="12">
      <c r="F280" s="593"/>
      <c r="G280" s="594"/>
      <c r="H280" s="595"/>
      <c r="I280" s="596"/>
      <c r="J280" s="515"/>
      <c r="K280" s="597"/>
      <c r="L280" s="597"/>
    </row>
    <row r="281" spans="6:12" s="586" customFormat="1" ht="12">
      <c r="F281" s="593"/>
      <c r="G281" s="594"/>
      <c r="H281" s="595"/>
      <c r="I281" s="596"/>
      <c r="J281" s="515"/>
      <c r="K281" s="597"/>
      <c r="L281" s="597"/>
    </row>
    <row r="282" spans="6:12" s="586" customFormat="1" ht="12">
      <c r="F282" s="593"/>
      <c r="G282" s="594"/>
      <c r="H282" s="595"/>
      <c r="I282" s="596"/>
      <c r="J282" s="515"/>
      <c r="K282" s="597"/>
      <c r="L282" s="597"/>
    </row>
    <row r="283" spans="6:12" s="586" customFormat="1" ht="12">
      <c r="F283" s="593"/>
      <c r="G283" s="594"/>
      <c r="H283" s="595"/>
      <c r="I283" s="596"/>
      <c r="J283" s="515"/>
      <c r="K283" s="597"/>
      <c r="L283" s="597"/>
    </row>
    <row r="284" spans="6:12" s="586" customFormat="1" ht="12">
      <c r="F284" s="593"/>
      <c r="G284" s="594"/>
      <c r="H284" s="595"/>
      <c r="I284" s="596"/>
      <c r="J284" s="515"/>
      <c r="K284" s="597"/>
      <c r="L284" s="597"/>
    </row>
    <row r="285" spans="6:12" s="586" customFormat="1" ht="12">
      <c r="F285" s="593"/>
      <c r="G285" s="594"/>
      <c r="H285" s="595"/>
      <c r="I285" s="596"/>
      <c r="J285" s="515"/>
      <c r="K285" s="597"/>
      <c r="L285" s="597"/>
    </row>
    <row r="286" spans="6:12" s="586" customFormat="1" ht="12">
      <c r="F286" s="593"/>
      <c r="G286" s="594"/>
      <c r="H286" s="595"/>
      <c r="I286" s="596"/>
      <c r="J286" s="515"/>
      <c r="K286" s="597"/>
      <c r="L286" s="597"/>
    </row>
    <row r="287" spans="6:12" s="586" customFormat="1" ht="12">
      <c r="F287" s="593"/>
      <c r="G287" s="594"/>
      <c r="H287" s="595"/>
      <c r="I287" s="596"/>
      <c r="J287" s="515"/>
      <c r="K287" s="597"/>
      <c r="L287" s="597"/>
    </row>
    <row r="288" spans="6:12" s="586" customFormat="1" ht="12">
      <c r="F288" s="593"/>
      <c r="G288" s="594"/>
      <c r="H288" s="595"/>
      <c r="I288" s="596"/>
      <c r="J288" s="515"/>
      <c r="K288" s="597"/>
      <c r="L288" s="597"/>
    </row>
    <row r="289" spans="6:12" s="586" customFormat="1" ht="12">
      <c r="F289" s="593"/>
      <c r="G289" s="594"/>
      <c r="H289" s="595"/>
      <c r="I289" s="596"/>
      <c r="J289" s="515"/>
      <c r="K289" s="597"/>
      <c r="L289" s="597"/>
    </row>
    <row r="290" spans="6:12" s="586" customFormat="1" ht="12">
      <c r="F290" s="593"/>
      <c r="G290" s="594"/>
      <c r="H290" s="595"/>
      <c r="I290" s="596"/>
      <c r="J290" s="515"/>
      <c r="K290" s="597"/>
      <c r="L290" s="597"/>
    </row>
    <row r="291" spans="6:12" s="586" customFormat="1" ht="12">
      <c r="F291" s="593"/>
      <c r="G291" s="594"/>
      <c r="H291" s="595"/>
      <c r="I291" s="596"/>
      <c r="J291" s="515"/>
      <c r="K291" s="597"/>
      <c r="L291" s="597"/>
    </row>
    <row r="292" spans="6:12" s="586" customFormat="1" ht="12">
      <c r="F292" s="593"/>
      <c r="G292" s="594"/>
      <c r="H292" s="595"/>
      <c r="I292" s="596"/>
      <c r="J292" s="515"/>
      <c r="K292" s="597"/>
      <c r="L292" s="597"/>
    </row>
    <row r="293" spans="6:12" s="586" customFormat="1" ht="12">
      <c r="F293" s="593"/>
      <c r="G293" s="594"/>
      <c r="H293" s="595"/>
      <c r="I293" s="596"/>
      <c r="J293" s="515"/>
      <c r="K293" s="597"/>
      <c r="L293" s="597"/>
    </row>
    <row r="294" spans="6:12" s="586" customFormat="1" ht="12">
      <c r="F294" s="593"/>
      <c r="G294" s="594"/>
      <c r="H294" s="595"/>
      <c r="I294" s="596"/>
      <c r="J294" s="515"/>
      <c r="K294" s="597"/>
      <c r="L294" s="597"/>
    </row>
    <row r="295" spans="6:12" s="586" customFormat="1" ht="12">
      <c r="F295" s="593"/>
      <c r="G295" s="594"/>
      <c r="H295" s="595"/>
      <c r="I295" s="596"/>
      <c r="J295" s="515"/>
      <c r="K295" s="597"/>
      <c r="L295" s="597"/>
    </row>
    <row r="296" spans="6:12" s="586" customFormat="1" ht="12">
      <c r="F296" s="593"/>
      <c r="G296" s="594"/>
      <c r="H296" s="595"/>
      <c r="I296" s="596"/>
      <c r="J296" s="515"/>
      <c r="K296" s="597"/>
      <c r="L296" s="597"/>
    </row>
    <row r="297" spans="6:12" s="586" customFormat="1" ht="12">
      <c r="F297" s="593"/>
      <c r="G297" s="594"/>
      <c r="H297" s="595"/>
      <c r="I297" s="596"/>
      <c r="J297" s="515"/>
      <c r="K297" s="597"/>
      <c r="L297" s="597"/>
    </row>
    <row r="298" spans="6:12" s="586" customFormat="1" ht="12">
      <c r="F298" s="593"/>
      <c r="G298" s="594"/>
      <c r="H298" s="595"/>
      <c r="I298" s="596"/>
      <c r="J298" s="515"/>
      <c r="K298" s="597"/>
      <c r="L298" s="597"/>
    </row>
    <row r="299" spans="6:12" s="586" customFormat="1" ht="12">
      <c r="F299" s="593"/>
      <c r="G299" s="594"/>
      <c r="H299" s="595"/>
      <c r="I299" s="596"/>
      <c r="J299" s="515"/>
      <c r="K299" s="597"/>
      <c r="L299" s="597"/>
    </row>
    <row r="300" spans="6:12" s="586" customFormat="1" ht="12">
      <c r="F300" s="593"/>
      <c r="G300" s="594"/>
      <c r="H300" s="595"/>
      <c r="I300" s="596"/>
      <c r="J300" s="515"/>
      <c r="K300" s="597"/>
      <c r="L300" s="597"/>
    </row>
    <row r="301" spans="6:12" s="586" customFormat="1" ht="12">
      <c r="F301" s="593"/>
      <c r="G301" s="594"/>
      <c r="H301" s="595"/>
      <c r="I301" s="596"/>
      <c r="J301" s="515"/>
      <c r="K301" s="597"/>
      <c r="L301" s="597"/>
    </row>
    <row r="302" spans="6:12" s="586" customFormat="1" ht="12">
      <c r="F302" s="593"/>
      <c r="G302" s="594"/>
      <c r="H302" s="595"/>
      <c r="I302" s="596"/>
      <c r="J302" s="515"/>
      <c r="K302" s="597"/>
      <c r="L302" s="597"/>
    </row>
    <row r="303" spans="6:12" s="586" customFormat="1" ht="12">
      <c r="F303" s="593"/>
      <c r="G303" s="594"/>
      <c r="H303" s="595"/>
      <c r="I303" s="596"/>
      <c r="J303" s="515"/>
      <c r="K303" s="597"/>
      <c r="L303" s="597"/>
    </row>
    <row r="304" spans="6:12" s="586" customFormat="1" ht="12">
      <c r="F304" s="593"/>
      <c r="G304" s="594"/>
      <c r="H304" s="595"/>
      <c r="I304" s="596"/>
      <c r="J304" s="515"/>
      <c r="K304" s="597"/>
      <c r="L304" s="597"/>
    </row>
    <row r="305" spans="6:12" s="586" customFormat="1" ht="12">
      <c r="F305" s="593"/>
      <c r="G305" s="594"/>
      <c r="H305" s="595"/>
      <c r="I305" s="596"/>
      <c r="J305" s="515"/>
      <c r="K305" s="597"/>
      <c r="L305" s="597"/>
    </row>
    <row r="306" spans="6:12" s="586" customFormat="1" ht="12">
      <c r="F306" s="593"/>
      <c r="G306" s="594"/>
      <c r="H306" s="595"/>
      <c r="I306" s="596"/>
      <c r="J306" s="515"/>
      <c r="K306" s="597"/>
      <c r="L306" s="597"/>
    </row>
    <row r="307" spans="6:12" s="586" customFormat="1" ht="12">
      <c r="F307" s="593"/>
      <c r="G307" s="594"/>
      <c r="H307" s="595"/>
      <c r="I307" s="596"/>
      <c r="J307" s="515"/>
      <c r="K307" s="597"/>
      <c r="L307" s="597"/>
    </row>
    <row r="308" spans="6:12" s="586" customFormat="1" ht="12">
      <c r="F308" s="593"/>
      <c r="G308" s="594"/>
      <c r="H308" s="595"/>
      <c r="I308" s="596"/>
      <c r="J308" s="515"/>
      <c r="K308" s="597"/>
      <c r="L308" s="597"/>
    </row>
    <row r="309" spans="6:12" s="586" customFormat="1" ht="12">
      <c r="F309" s="593"/>
      <c r="G309" s="594"/>
      <c r="H309" s="595"/>
      <c r="I309" s="596"/>
      <c r="J309" s="515"/>
      <c r="K309" s="597"/>
      <c r="L309" s="597"/>
    </row>
    <row r="310" spans="6:12" s="586" customFormat="1" ht="12">
      <c r="F310" s="593"/>
      <c r="G310" s="594"/>
      <c r="H310" s="595"/>
      <c r="I310" s="596"/>
      <c r="J310" s="515"/>
      <c r="K310" s="597"/>
      <c r="L310" s="597"/>
    </row>
    <row r="311" spans="6:12" s="586" customFormat="1" ht="12">
      <c r="F311" s="593"/>
      <c r="G311" s="594"/>
      <c r="H311" s="595"/>
      <c r="I311" s="596"/>
      <c r="J311" s="515"/>
      <c r="K311" s="597"/>
      <c r="L311" s="597"/>
    </row>
    <row r="312" spans="6:12" s="586" customFormat="1" ht="12">
      <c r="F312" s="593"/>
      <c r="G312" s="594"/>
      <c r="H312" s="595"/>
      <c r="I312" s="596"/>
      <c r="J312" s="515"/>
      <c r="K312" s="597"/>
      <c r="L312" s="597"/>
    </row>
    <row r="313" spans="6:12" s="586" customFormat="1" ht="12">
      <c r="F313" s="593"/>
      <c r="G313" s="594"/>
      <c r="H313" s="595"/>
      <c r="I313" s="596"/>
      <c r="J313" s="515"/>
      <c r="K313" s="597"/>
      <c r="L313" s="597"/>
    </row>
    <row r="314" spans="6:12" s="586" customFormat="1" ht="12">
      <c r="F314" s="593"/>
      <c r="G314" s="594"/>
      <c r="H314" s="595"/>
      <c r="I314" s="596"/>
      <c r="J314" s="515"/>
      <c r="K314" s="597"/>
      <c r="L314" s="597"/>
    </row>
    <row r="315" spans="6:12" s="586" customFormat="1" ht="12">
      <c r="F315" s="593"/>
      <c r="G315" s="594"/>
      <c r="H315" s="595"/>
      <c r="I315" s="596"/>
      <c r="J315" s="515"/>
      <c r="K315" s="597"/>
      <c r="L315" s="597"/>
    </row>
    <row r="316" spans="6:12" s="586" customFormat="1" ht="12">
      <c r="F316" s="593"/>
      <c r="G316" s="594"/>
      <c r="H316" s="595"/>
      <c r="I316" s="596"/>
      <c r="J316" s="515"/>
      <c r="K316" s="597"/>
      <c r="L316" s="597"/>
    </row>
    <row r="317" spans="6:12" s="586" customFormat="1" ht="12">
      <c r="F317" s="593"/>
      <c r="G317" s="594"/>
      <c r="H317" s="595"/>
      <c r="I317" s="596"/>
      <c r="J317" s="515"/>
      <c r="K317" s="597"/>
      <c r="L317" s="597"/>
    </row>
    <row r="318" spans="6:12" s="586" customFormat="1" ht="12">
      <c r="F318" s="593"/>
      <c r="G318" s="594"/>
      <c r="H318" s="595"/>
      <c r="I318" s="596"/>
      <c r="J318" s="515"/>
      <c r="K318" s="597"/>
      <c r="L318" s="597"/>
    </row>
    <row r="319" spans="6:12" s="586" customFormat="1" ht="12">
      <c r="F319" s="593"/>
      <c r="G319" s="594"/>
      <c r="H319" s="595"/>
      <c r="I319" s="596"/>
      <c r="J319" s="515"/>
      <c r="K319" s="597"/>
      <c r="L319" s="597"/>
    </row>
    <row r="320" spans="6:12" s="586" customFormat="1" ht="12">
      <c r="F320" s="593"/>
      <c r="G320" s="594"/>
      <c r="H320" s="595"/>
      <c r="I320" s="596"/>
      <c r="J320" s="515"/>
      <c r="K320" s="597"/>
      <c r="L320" s="597"/>
    </row>
    <row r="321" spans="6:12" s="586" customFormat="1" ht="12">
      <c r="F321" s="593"/>
      <c r="G321" s="594"/>
      <c r="H321" s="595"/>
      <c r="I321" s="596"/>
      <c r="J321" s="515"/>
      <c r="K321" s="597"/>
      <c r="L321" s="597"/>
    </row>
    <row r="322" spans="6:12" s="586" customFormat="1" ht="12">
      <c r="F322" s="593"/>
      <c r="G322" s="594"/>
      <c r="H322" s="595"/>
      <c r="I322" s="596"/>
      <c r="J322" s="515"/>
      <c r="K322" s="597"/>
      <c r="L322" s="597"/>
    </row>
    <row r="323" spans="6:12" s="586" customFormat="1" ht="12">
      <c r="F323" s="593"/>
      <c r="G323" s="594"/>
      <c r="H323" s="595"/>
      <c r="I323" s="596"/>
      <c r="J323" s="515"/>
      <c r="K323" s="597"/>
      <c r="L323" s="597"/>
    </row>
    <row r="324" spans="6:12" s="586" customFormat="1" ht="12">
      <c r="F324" s="593"/>
      <c r="G324" s="594"/>
      <c r="H324" s="595"/>
      <c r="I324" s="596"/>
      <c r="J324" s="515"/>
      <c r="K324" s="597"/>
      <c r="L324" s="597"/>
    </row>
    <row r="325" spans="6:12" s="586" customFormat="1" ht="12">
      <c r="F325" s="593"/>
      <c r="G325" s="594"/>
      <c r="H325" s="595"/>
      <c r="I325" s="596"/>
      <c r="J325" s="515"/>
      <c r="K325" s="597"/>
      <c r="L325" s="597"/>
    </row>
    <row r="326" spans="6:12" s="586" customFormat="1" ht="12">
      <c r="F326" s="593"/>
      <c r="G326" s="594"/>
      <c r="H326" s="595"/>
      <c r="I326" s="596"/>
      <c r="J326" s="515"/>
      <c r="K326" s="597"/>
      <c r="L326" s="597"/>
    </row>
    <row r="327" spans="6:12" s="586" customFormat="1" ht="12">
      <c r="F327" s="593"/>
      <c r="G327" s="594"/>
      <c r="H327" s="595"/>
      <c r="I327" s="596"/>
      <c r="J327" s="515"/>
      <c r="K327" s="597"/>
      <c r="L327" s="597"/>
    </row>
    <row r="328" spans="6:12" s="586" customFormat="1" ht="12">
      <c r="F328" s="593"/>
      <c r="G328" s="594"/>
      <c r="H328" s="595"/>
      <c r="I328" s="596"/>
      <c r="J328" s="515"/>
      <c r="K328" s="597"/>
      <c r="L328" s="597"/>
    </row>
    <row r="329" spans="6:12" s="586" customFormat="1" ht="12">
      <c r="F329" s="593"/>
      <c r="G329" s="594"/>
      <c r="H329" s="595"/>
      <c r="I329" s="596"/>
      <c r="J329" s="515"/>
      <c r="K329" s="597"/>
      <c r="L329" s="597"/>
    </row>
    <row r="330" spans="6:12" s="586" customFormat="1" ht="12">
      <c r="F330" s="593"/>
      <c r="G330" s="594"/>
      <c r="H330" s="595"/>
      <c r="I330" s="596"/>
      <c r="J330" s="515"/>
      <c r="K330" s="597"/>
      <c r="L330" s="597"/>
    </row>
    <row r="331" spans="6:12" s="586" customFormat="1" ht="12">
      <c r="F331" s="593"/>
      <c r="G331" s="594"/>
      <c r="H331" s="595"/>
      <c r="I331" s="596"/>
      <c r="J331" s="515"/>
      <c r="K331" s="597"/>
      <c r="L331" s="597"/>
    </row>
    <row r="332" spans="6:12" s="586" customFormat="1" ht="12">
      <c r="F332" s="593"/>
      <c r="G332" s="594"/>
      <c r="H332" s="595"/>
      <c r="I332" s="596"/>
      <c r="J332" s="515"/>
      <c r="K332" s="597"/>
      <c r="L332" s="597"/>
    </row>
    <row r="333" spans="6:12" s="586" customFormat="1" ht="12">
      <c r="F333" s="593"/>
      <c r="G333" s="594"/>
      <c r="H333" s="595"/>
      <c r="I333" s="596"/>
      <c r="J333" s="515"/>
      <c r="K333" s="597"/>
      <c r="L333" s="597"/>
    </row>
    <row r="334" spans="6:12" s="586" customFormat="1" ht="12">
      <c r="F334" s="593"/>
      <c r="G334" s="594"/>
      <c r="H334" s="595"/>
      <c r="I334" s="596"/>
      <c r="J334" s="515"/>
      <c r="K334" s="597"/>
      <c r="L334" s="597"/>
    </row>
    <row r="335" spans="6:12" s="586" customFormat="1" ht="12">
      <c r="F335" s="593"/>
      <c r="G335" s="594"/>
      <c r="H335" s="595"/>
      <c r="I335" s="596"/>
      <c r="J335" s="515"/>
      <c r="K335" s="597"/>
      <c r="L335" s="597"/>
    </row>
    <row r="336" spans="6:12" s="586" customFormat="1" ht="12">
      <c r="F336" s="593"/>
      <c r="G336" s="594"/>
      <c r="H336" s="595"/>
      <c r="I336" s="596"/>
      <c r="J336" s="515"/>
      <c r="K336" s="597"/>
      <c r="L336" s="597"/>
    </row>
    <row r="337" spans="6:12" s="586" customFormat="1" ht="12">
      <c r="F337" s="593"/>
      <c r="G337" s="594"/>
      <c r="H337" s="595"/>
      <c r="I337" s="596"/>
      <c r="J337" s="515"/>
      <c r="K337" s="597"/>
      <c r="L337" s="597"/>
    </row>
    <row r="338" spans="6:12" s="586" customFormat="1" ht="12">
      <c r="F338" s="593"/>
      <c r="G338" s="594"/>
      <c r="H338" s="595"/>
      <c r="I338" s="596"/>
      <c r="J338" s="515"/>
      <c r="K338" s="597"/>
      <c r="L338" s="597"/>
    </row>
    <row r="339" spans="6:12" s="586" customFormat="1" ht="12">
      <c r="F339" s="593"/>
      <c r="G339" s="594"/>
      <c r="H339" s="595"/>
      <c r="I339" s="596"/>
      <c r="J339" s="515"/>
      <c r="K339" s="597"/>
      <c r="L339" s="597"/>
    </row>
    <row r="340" spans="6:12" s="586" customFormat="1" ht="12">
      <c r="F340" s="593"/>
      <c r="G340" s="594"/>
      <c r="H340" s="595"/>
      <c r="I340" s="596"/>
      <c r="J340" s="515"/>
      <c r="K340" s="597"/>
      <c r="L340" s="597"/>
    </row>
    <row r="341" spans="6:12" s="586" customFormat="1" ht="12">
      <c r="F341" s="593"/>
      <c r="G341" s="594"/>
      <c r="H341" s="595"/>
      <c r="I341" s="596"/>
      <c r="J341" s="515"/>
      <c r="K341" s="597"/>
      <c r="L341" s="597"/>
    </row>
    <row r="342" spans="6:12" s="586" customFormat="1" ht="12">
      <c r="F342" s="593"/>
      <c r="G342" s="594"/>
      <c r="H342" s="595"/>
      <c r="I342" s="596"/>
      <c r="J342" s="515"/>
      <c r="K342" s="597"/>
      <c r="L342" s="597"/>
    </row>
    <row r="343" spans="6:12" s="586" customFormat="1" ht="12">
      <c r="F343" s="593"/>
      <c r="G343" s="594"/>
      <c r="H343" s="595"/>
      <c r="I343" s="596"/>
      <c r="J343" s="515"/>
      <c r="K343" s="597"/>
      <c r="L343" s="597"/>
    </row>
    <row r="344" spans="6:12" s="586" customFormat="1" ht="12">
      <c r="F344" s="593"/>
      <c r="G344" s="594"/>
      <c r="H344" s="595"/>
      <c r="I344" s="596"/>
      <c r="J344" s="515"/>
      <c r="K344" s="597"/>
      <c r="L344" s="597"/>
    </row>
    <row r="345" spans="6:12" s="586" customFormat="1" ht="12">
      <c r="F345" s="593"/>
      <c r="G345" s="594"/>
      <c r="H345" s="595"/>
      <c r="I345" s="596"/>
      <c r="J345" s="515"/>
      <c r="K345" s="597"/>
      <c r="L345" s="597"/>
    </row>
    <row r="346" spans="6:12" s="586" customFormat="1" ht="12">
      <c r="F346" s="593"/>
      <c r="G346" s="594"/>
      <c r="H346" s="595"/>
      <c r="I346" s="596"/>
      <c r="J346" s="515"/>
      <c r="K346" s="597"/>
      <c r="L346" s="597"/>
    </row>
    <row r="347" spans="6:12" s="586" customFormat="1" ht="12">
      <c r="F347" s="593"/>
      <c r="G347" s="594"/>
      <c r="H347" s="595"/>
      <c r="I347" s="596"/>
      <c r="J347" s="515"/>
      <c r="K347" s="597"/>
      <c r="L347" s="597"/>
    </row>
    <row r="348" spans="6:12" s="586" customFormat="1" ht="12">
      <c r="F348" s="593"/>
      <c r="G348" s="594"/>
      <c r="H348" s="595"/>
      <c r="I348" s="596"/>
      <c r="J348" s="515"/>
      <c r="K348" s="597"/>
      <c r="L348" s="597"/>
    </row>
    <row r="349" spans="6:12" s="586" customFormat="1" ht="12">
      <c r="F349" s="593"/>
      <c r="G349" s="594"/>
      <c r="H349" s="595"/>
      <c r="I349" s="596"/>
      <c r="J349" s="515"/>
      <c r="K349" s="597"/>
      <c r="L349" s="597"/>
    </row>
    <row r="350" spans="6:12" s="586" customFormat="1" ht="12">
      <c r="F350" s="593"/>
      <c r="G350" s="594"/>
      <c r="H350" s="595"/>
      <c r="I350" s="596"/>
      <c r="J350" s="515"/>
      <c r="K350" s="597"/>
      <c r="L350" s="597"/>
    </row>
    <row r="351" spans="6:12" s="586" customFormat="1" ht="12">
      <c r="F351" s="593"/>
      <c r="G351" s="594"/>
      <c r="H351" s="595"/>
      <c r="I351" s="596"/>
      <c r="J351" s="515"/>
      <c r="K351" s="597"/>
      <c r="L351" s="597"/>
    </row>
    <row r="352" spans="6:12" s="586" customFormat="1" ht="12">
      <c r="F352" s="593"/>
      <c r="G352" s="594"/>
      <c r="H352" s="595"/>
      <c r="I352" s="596"/>
      <c r="J352" s="515"/>
      <c r="K352" s="597"/>
      <c r="L352" s="597"/>
    </row>
    <row r="353" spans="6:12" s="586" customFormat="1" ht="12">
      <c r="F353" s="593"/>
      <c r="G353" s="594"/>
      <c r="H353" s="595"/>
      <c r="I353" s="596"/>
      <c r="J353" s="515"/>
      <c r="K353" s="597"/>
      <c r="L353" s="597"/>
    </row>
    <row r="354" spans="6:12" s="586" customFormat="1" ht="12">
      <c r="F354" s="593"/>
      <c r="G354" s="594"/>
      <c r="H354" s="595"/>
      <c r="I354" s="596"/>
      <c r="J354" s="515"/>
      <c r="K354" s="597"/>
      <c r="L354" s="597"/>
    </row>
    <row r="355" spans="6:12" s="586" customFormat="1" ht="12">
      <c r="F355" s="593"/>
      <c r="G355" s="594"/>
      <c r="H355" s="595"/>
      <c r="I355" s="596"/>
      <c r="J355" s="515"/>
      <c r="K355" s="597"/>
      <c r="L355" s="597"/>
    </row>
    <row r="356" spans="6:12" s="586" customFormat="1" ht="12">
      <c r="F356" s="593"/>
      <c r="G356" s="594"/>
      <c r="H356" s="595"/>
      <c r="I356" s="596"/>
      <c r="J356" s="515"/>
      <c r="K356" s="597"/>
      <c r="L356" s="597"/>
    </row>
    <row r="357" spans="6:12" s="586" customFormat="1" ht="12">
      <c r="F357" s="593"/>
      <c r="G357" s="594"/>
      <c r="H357" s="595"/>
      <c r="I357" s="596"/>
      <c r="J357" s="515"/>
      <c r="K357" s="597"/>
      <c r="L357" s="597"/>
    </row>
    <row r="358" spans="6:12" s="586" customFormat="1" ht="12">
      <c r="F358" s="593"/>
      <c r="G358" s="594"/>
      <c r="H358" s="595"/>
      <c r="I358" s="596"/>
      <c r="J358" s="515"/>
      <c r="K358" s="597"/>
      <c r="L358" s="597"/>
    </row>
    <row r="359" spans="6:12" s="586" customFormat="1" ht="12">
      <c r="F359" s="593"/>
      <c r="G359" s="594"/>
      <c r="H359" s="595"/>
      <c r="I359" s="596"/>
      <c r="J359" s="515"/>
      <c r="K359" s="597"/>
      <c r="L359" s="597"/>
    </row>
    <row r="360" spans="6:12" s="586" customFormat="1" ht="12">
      <c r="F360" s="593"/>
      <c r="G360" s="594"/>
      <c r="H360" s="595"/>
      <c r="I360" s="596"/>
      <c r="J360" s="515"/>
      <c r="K360" s="597"/>
      <c r="L360" s="597"/>
    </row>
    <row r="361" spans="6:12" s="586" customFormat="1" ht="12">
      <c r="F361" s="593"/>
      <c r="G361" s="594"/>
      <c r="H361" s="595"/>
      <c r="I361" s="596"/>
      <c r="J361" s="515"/>
      <c r="K361" s="597"/>
      <c r="L361" s="597"/>
    </row>
    <row r="362" spans="6:12" s="586" customFormat="1" ht="12">
      <c r="F362" s="593"/>
      <c r="G362" s="594"/>
      <c r="H362" s="595"/>
      <c r="I362" s="596"/>
      <c r="J362" s="515"/>
      <c r="K362" s="597"/>
      <c r="L362" s="597"/>
    </row>
    <row r="363" spans="6:12" s="586" customFormat="1" ht="12">
      <c r="F363" s="593"/>
      <c r="G363" s="594"/>
      <c r="H363" s="595"/>
      <c r="I363" s="596"/>
      <c r="J363" s="515"/>
      <c r="K363" s="597"/>
      <c r="L363" s="597"/>
    </row>
    <row r="364" spans="6:12" s="586" customFormat="1" ht="12">
      <c r="F364" s="593"/>
      <c r="G364" s="594"/>
      <c r="H364" s="595"/>
      <c r="I364" s="596"/>
      <c r="J364" s="515"/>
      <c r="K364" s="597"/>
      <c r="L364" s="597"/>
    </row>
    <row r="365" spans="6:12" s="586" customFormat="1" ht="12">
      <c r="F365" s="593"/>
      <c r="G365" s="594"/>
      <c r="H365" s="595"/>
      <c r="I365" s="596"/>
      <c r="J365" s="515"/>
      <c r="K365" s="597"/>
      <c r="L365" s="597"/>
    </row>
    <row r="366" spans="6:12" s="586" customFormat="1" ht="12">
      <c r="F366" s="593"/>
      <c r="G366" s="594"/>
      <c r="H366" s="595"/>
      <c r="I366" s="596"/>
      <c r="J366" s="515"/>
      <c r="K366" s="597"/>
      <c r="L366" s="597"/>
    </row>
  </sheetData>
  <sheetProtection password="CABD" sheet="1" objects="1" scenarios="1"/>
  <mergeCells count="4">
    <mergeCell ref="G2:L2"/>
    <mergeCell ref="G4:L4"/>
    <mergeCell ref="M11:R11"/>
    <mergeCell ref="G3:H3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BM326"/>
  <sheetViews>
    <sheetView showGridLines="0" workbookViewId="0" topLeftCell="A86">
      <selection activeCell="L100" sqref="L100"/>
    </sheetView>
  </sheetViews>
  <sheetFormatPr defaultColWidth="9.140625" defaultRowHeight="12"/>
  <cols>
    <col min="1" max="1" width="8.28125" style="78" customWidth="1"/>
    <col min="2" max="2" width="1.1484375" style="78" customWidth="1"/>
    <col min="3" max="3" width="5.00390625" style="78" customWidth="1"/>
    <col min="4" max="4" width="4.28125" style="78" customWidth="1"/>
    <col min="5" max="5" width="17.140625" style="78" customWidth="1"/>
    <col min="6" max="6" width="50.8515625" style="78" customWidth="1"/>
    <col min="7" max="7" width="7.421875" style="78" customWidth="1"/>
    <col min="8" max="8" width="14.00390625" style="78" customWidth="1"/>
    <col min="9" max="9" width="15.8515625" style="78" customWidth="1"/>
    <col min="10" max="11" width="22.28125" style="78" customWidth="1"/>
    <col min="12" max="12" width="32.00390625" style="78" customWidth="1"/>
    <col min="13" max="13" width="10.8515625" style="78" hidden="1" customWidth="1"/>
    <col min="14" max="14" width="9.28125" style="78" hidden="1" customWidth="1"/>
    <col min="15" max="20" width="14.140625" style="78" hidden="1" customWidth="1"/>
    <col min="21" max="21" width="16.28125" style="78" hidden="1" customWidth="1"/>
    <col min="22" max="22" width="12.28125" style="78" customWidth="1"/>
    <col min="23" max="23" width="16.28125" style="78" customWidth="1"/>
    <col min="24" max="24" width="12.28125" style="78" customWidth="1"/>
    <col min="25" max="25" width="15.00390625" style="78" customWidth="1"/>
    <col min="26" max="26" width="11.00390625" style="78" customWidth="1"/>
    <col min="27" max="27" width="15.00390625" style="78" customWidth="1"/>
    <col min="28" max="28" width="16.28125" style="78" customWidth="1"/>
    <col min="29" max="29" width="11.00390625" style="78" customWidth="1"/>
    <col min="30" max="30" width="15.00390625" style="78" customWidth="1"/>
    <col min="31" max="31" width="16.28125" style="78" customWidth="1"/>
    <col min="32" max="43" width="9.28125" style="78" customWidth="1"/>
    <col min="44" max="65" width="9.28125" style="78" hidden="1" customWidth="1"/>
    <col min="66" max="16384" width="9.28125" style="78" customWidth="1"/>
  </cols>
  <sheetData>
    <row r="1" ht="12" hidden="1"/>
    <row r="2" spans="12:46" ht="36.95" customHeight="1" hidden="1">
      <c r="L2" s="834" t="s">
        <v>5</v>
      </c>
      <c r="M2" s="835"/>
      <c r="N2" s="835"/>
      <c r="O2" s="835"/>
      <c r="P2" s="835"/>
      <c r="Q2" s="835"/>
      <c r="R2" s="835"/>
      <c r="S2" s="835"/>
      <c r="T2" s="835"/>
      <c r="U2" s="835"/>
      <c r="V2" s="835"/>
      <c r="AT2" s="214" t="s">
        <v>86</v>
      </c>
    </row>
    <row r="3" spans="2:46" ht="6.95" customHeight="1" hidden="1">
      <c r="B3" s="215"/>
      <c r="C3" s="216"/>
      <c r="D3" s="216"/>
      <c r="E3" s="216"/>
      <c r="F3" s="216"/>
      <c r="G3" s="216"/>
      <c r="H3" s="216"/>
      <c r="I3" s="216"/>
      <c r="J3" s="216"/>
      <c r="K3" s="216"/>
      <c r="L3" s="218"/>
      <c r="AT3" s="214" t="s">
        <v>83</v>
      </c>
    </row>
    <row r="4" spans="2:46" ht="24.95" customHeight="1" hidden="1">
      <c r="B4" s="218"/>
      <c r="D4" s="219" t="s">
        <v>94</v>
      </c>
      <c r="L4" s="218"/>
      <c r="M4" s="220" t="s">
        <v>10</v>
      </c>
      <c r="AT4" s="214" t="s">
        <v>3</v>
      </c>
    </row>
    <row r="5" spans="2:12" ht="6.95" customHeight="1" hidden="1">
      <c r="B5" s="218"/>
      <c r="L5" s="218"/>
    </row>
    <row r="6" spans="2:12" ht="12" customHeight="1" hidden="1">
      <c r="B6" s="218"/>
      <c r="D6" s="221" t="s">
        <v>14</v>
      </c>
      <c r="L6" s="218"/>
    </row>
    <row r="7" spans="2:12" ht="16.5" customHeight="1" hidden="1">
      <c r="B7" s="218"/>
      <c r="E7" s="832" t="str">
        <f>'Rekapitulace stavby'!K6</f>
        <v>Středisko Okrouhlík - nástavba a stavební úpravy</v>
      </c>
      <c r="F7" s="833"/>
      <c r="G7" s="833"/>
      <c r="H7" s="833"/>
      <c r="L7" s="218"/>
    </row>
    <row r="8" spans="2:12" ht="12" customHeight="1" hidden="1">
      <c r="B8" s="218"/>
      <c r="D8" s="221" t="s">
        <v>95</v>
      </c>
      <c r="L8" s="218"/>
    </row>
    <row r="9" spans="1:31" s="225" customFormat="1" ht="16.5" customHeight="1" hidden="1">
      <c r="A9" s="222"/>
      <c r="B9" s="223"/>
      <c r="C9" s="222"/>
      <c r="D9" s="222"/>
      <c r="E9" s="832" t="s">
        <v>96</v>
      </c>
      <c r="F9" s="831"/>
      <c r="G9" s="831"/>
      <c r="H9" s="831"/>
      <c r="I9" s="222"/>
      <c r="J9" s="222"/>
      <c r="K9" s="222"/>
      <c r="L9" s="245"/>
      <c r="S9" s="222"/>
      <c r="T9" s="222"/>
      <c r="U9" s="222"/>
      <c r="V9" s="222"/>
      <c r="W9" s="222"/>
      <c r="X9" s="222"/>
      <c r="Y9" s="222"/>
      <c r="Z9" s="222"/>
      <c r="AA9" s="222"/>
      <c r="AB9" s="222"/>
      <c r="AC9" s="222"/>
      <c r="AD9" s="222"/>
      <c r="AE9" s="222"/>
    </row>
    <row r="10" spans="1:31" s="225" customFormat="1" ht="12" customHeight="1" hidden="1">
      <c r="A10" s="222"/>
      <c r="B10" s="223"/>
      <c r="C10" s="222"/>
      <c r="D10" s="221" t="s">
        <v>1346</v>
      </c>
      <c r="E10" s="222"/>
      <c r="F10" s="222"/>
      <c r="G10" s="222"/>
      <c r="H10" s="222"/>
      <c r="I10" s="222"/>
      <c r="J10" s="222"/>
      <c r="K10" s="222"/>
      <c r="L10" s="245"/>
      <c r="S10" s="222"/>
      <c r="T10" s="222"/>
      <c r="U10" s="222"/>
      <c r="V10" s="222"/>
      <c r="W10" s="222"/>
      <c r="X10" s="222"/>
      <c r="Y10" s="222"/>
      <c r="Z10" s="222"/>
      <c r="AA10" s="222"/>
      <c r="AB10" s="222"/>
      <c r="AC10" s="222"/>
      <c r="AD10" s="222"/>
      <c r="AE10" s="222"/>
    </row>
    <row r="11" spans="1:31" s="225" customFormat="1" ht="16.5" customHeight="1" hidden="1">
      <c r="A11" s="222"/>
      <c r="B11" s="223"/>
      <c r="C11" s="222"/>
      <c r="D11" s="222"/>
      <c r="E11" s="830" t="s">
        <v>1347</v>
      </c>
      <c r="F11" s="831"/>
      <c r="G11" s="831"/>
      <c r="H11" s="831"/>
      <c r="I11" s="222"/>
      <c r="J11" s="222"/>
      <c r="K11" s="222"/>
      <c r="L11" s="245"/>
      <c r="S11" s="222"/>
      <c r="T11" s="222"/>
      <c r="U11" s="222"/>
      <c r="V11" s="222"/>
      <c r="W11" s="222"/>
      <c r="X11" s="222"/>
      <c r="Y11" s="222"/>
      <c r="Z11" s="222"/>
      <c r="AA11" s="222"/>
      <c r="AB11" s="222"/>
      <c r="AC11" s="222"/>
      <c r="AD11" s="222"/>
      <c r="AE11" s="222"/>
    </row>
    <row r="12" spans="1:31" s="225" customFormat="1" ht="12" hidden="1">
      <c r="A12" s="222"/>
      <c r="B12" s="223"/>
      <c r="C12" s="222"/>
      <c r="D12" s="222"/>
      <c r="E12" s="222"/>
      <c r="F12" s="222"/>
      <c r="G12" s="222"/>
      <c r="H12" s="222"/>
      <c r="I12" s="222"/>
      <c r="J12" s="222"/>
      <c r="K12" s="222"/>
      <c r="L12" s="245"/>
      <c r="S12" s="222"/>
      <c r="T12" s="222"/>
      <c r="U12" s="222"/>
      <c r="V12" s="222"/>
      <c r="W12" s="222"/>
      <c r="X12" s="222"/>
      <c r="Y12" s="222"/>
      <c r="Z12" s="222"/>
      <c r="AA12" s="222"/>
      <c r="AB12" s="222"/>
      <c r="AC12" s="222"/>
      <c r="AD12" s="222"/>
      <c r="AE12" s="222"/>
    </row>
    <row r="13" spans="1:31" s="225" customFormat="1" ht="12" customHeight="1" hidden="1">
      <c r="A13" s="222"/>
      <c r="B13" s="223"/>
      <c r="C13" s="222"/>
      <c r="D13" s="221" t="s">
        <v>16</v>
      </c>
      <c r="E13" s="222"/>
      <c r="F13" s="226" t="s">
        <v>1</v>
      </c>
      <c r="G13" s="222"/>
      <c r="H13" s="222"/>
      <c r="I13" s="221" t="s">
        <v>17</v>
      </c>
      <c r="J13" s="226" t="s">
        <v>1</v>
      </c>
      <c r="K13" s="222"/>
      <c r="L13" s="245"/>
      <c r="S13" s="222"/>
      <c r="T13" s="222"/>
      <c r="U13" s="222"/>
      <c r="V13" s="222"/>
      <c r="W13" s="222"/>
      <c r="X13" s="222"/>
      <c r="Y13" s="222"/>
      <c r="Z13" s="222"/>
      <c r="AA13" s="222"/>
      <c r="AB13" s="222"/>
      <c r="AC13" s="222"/>
      <c r="AD13" s="222"/>
      <c r="AE13" s="222"/>
    </row>
    <row r="14" spans="1:31" s="225" customFormat="1" ht="12" customHeight="1" hidden="1">
      <c r="A14" s="222"/>
      <c r="B14" s="223"/>
      <c r="C14" s="222"/>
      <c r="D14" s="221" t="s">
        <v>18</v>
      </c>
      <c r="E14" s="222"/>
      <c r="F14" s="226" t="s">
        <v>19</v>
      </c>
      <c r="G14" s="222"/>
      <c r="H14" s="222"/>
      <c r="I14" s="221" t="s">
        <v>20</v>
      </c>
      <c r="J14" s="227" t="str">
        <f>'Rekapitulace stavby'!AN8</f>
        <v>8. 10. 2021</v>
      </c>
      <c r="K14" s="222"/>
      <c r="L14" s="245"/>
      <c r="S14" s="222"/>
      <c r="T14" s="222"/>
      <c r="U14" s="222"/>
      <c r="V14" s="222"/>
      <c r="W14" s="222"/>
      <c r="X14" s="222"/>
      <c r="Y14" s="222"/>
      <c r="Z14" s="222"/>
      <c r="AA14" s="222"/>
      <c r="AB14" s="222"/>
      <c r="AC14" s="222"/>
      <c r="AD14" s="222"/>
      <c r="AE14" s="222"/>
    </row>
    <row r="15" spans="1:31" s="225" customFormat="1" ht="10.9" customHeight="1" hidden="1">
      <c r="A15" s="222"/>
      <c r="B15" s="223"/>
      <c r="C15" s="222"/>
      <c r="D15" s="222"/>
      <c r="E15" s="222"/>
      <c r="F15" s="222"/>
      <c r="G15" s="222"/>
      <c r="H15" s="222"/>
      <c r="I15" s="222"/>
      <c r="J15" s="222"/>
      <c r="K15" s="222"/>
      <c r="L15" s="245"/>
      <c r="S15" s="222"/>
      <c r="T15" s="222"/>
      <c r="U15" s="222"/>
      <c r="V15" s="222"/>
      <c r="W15" s="222"/>
      <c r="X15" s="222"/>
      <c r="Y15" s="222"/>
      <c r="Z15" s="222"/>
      <c r="AA15" s="222"/>
      <c r="AB15" s="222"/>
      <c r="AC15" s="222"/>
      <c r="AD15" s="222"/>
      <c r="AE15" s="222"/>
    </row>
    <row r="16" spans="1:31" s="225" customFormat="1" ht="12" customHeight="1" hidden="1">
      <c r="A16" s="222"/>
      <c r="B16" s="223"/>
      <c r="C16" s="222"/>
      <c r="D16" s="221" t="s">
        <v>22</v>
      </c>
      <c r="E16" s="222"/>
      <c r="F16" s="222"/>
      <c r="G16" s="222"/>
      <c r="H16" s="222"/>
      <c r="I16" s="221" t="s">
        <v>23</v>
      </c>
      <c r="J16" s="226" t="s">
        <v>24</v>
      </c>
      <c r="K16" s="222"/>
      <c r="L16" s="245"/>
      <c r="S16" s="222"/>
      <c r="T16" s="222"/>
      <c r="U16" s="222"/>
      <c r="V16" s="222"/>
      <c r="W16" s="222"/>
      <c r="X16" s="222"/>
      <c r="Y16" s="222"/>
      <c r="Z16" s="222"/>
      <c r="AA16" s="222"/>
      <c r="AB16" s="222"/>
      <c r="AC16" s="222"/>
      <c r="AD16" s="222"/>
      <c r="AE16" s="222"/>
    </row>
    <row r="17" spans="1:31" s="225" customFormat="1" ht="18" customHeight="1" hidden="1">
      <c r="A17" s="222"/>
      <c r="B17" s="223"/>
      <c r="C17" s="222"/>
      <c r="D17" s="222"/>
      <c r="E17" s="226" t="s">
        <v>25</v>
      </c>
      <c r="F17" s="222"/>
      <c r="G17" s="222"/>
      <c r="H17" s="222"/>
      <c r="I17" s="221" t="s">
        <v>26</v>
      </c>
      <c r="J17" s="226" t="s">
        <v>27</v>
      </c>
      <c r="K17" s="222"/>
      <c r="L17" s="245"/>
      <c r="S17" s="222"/>
      <c r="T17" s="222"/>
      <c r="U17" s="222"/>
      <c r="V17" s="222"/>
      <c r="W17" s="222"/>
      <c r="X17" s="222"/>
      <c r="Y17" s="222"/>
      <c r="Z17" s="222"/>
      <c r="AA17" s="222"/>
      <c r="AB17" s="222"/>
      <c r="AC17" s="222"/>
      <c r="AD17" s="222"/>
      <c r="AE17" s="222"/>
    </row>
    <row r="18" spans="1:31" s="225" customFormat="1" ht="6.95" customHeight="1" hidden="1">
      <c r="A18" s="222"/>
      <c r="B18" s="223"/>
      <c r="C18" s="222"/>
      <c r="D18" s="222"/>
      <c r="E18" s="222"/>
      <c r="F18" s="222"/>
      <c r="G18" s="222"/>
      <c r="H18" s="222"/>
      <c r="I18" s="222"/>
      <c r="J18" s="222"/>
      <c r="K18" s="222"/>
      <c r="L18" s="245"/>
      <c r="S18" s="222"/>
      <c r="T18" s="222"/>
      <c r="U18" s="222"/>
      <c r="V18" s="222"/>
      <c r="W18" s="222"/>
      <c r="X18" s="222"/>
      <c r="Y18" s="222"/>
      <c r="Z18" s="222"/>
      <c r="AA18" s="222"/>
      <c r="AB18" s="222"/>
      <c r="AC18" s="222"/>
      <c r="AD18" s="222"/>
      <c r="AE18" s="222"/>
    </row>
    <row r="19" spans="1:31" s="225" customFormat="1" ht="12" customHeight="1" hidden="1">
      <c r="A19" s="222"/>
      <c r="B19" s="223"/>
      <c r="C19" s="222"/>
      <c r="D19" s="221" t="s">
        <v>28</v>
      </c>
      <c r="E19" s="222"/>
      <c r="F19" s="222"/>
      <c r="G19" s="222"/>
      <c r="H19" s="222"/>
      <c r="I19" s="221" t="s">
        <v>23</v>
      </c>
      <c r="J19" s="226" t="str">
        <f>'Rekapitulace stavby'!AN13</f>
        <v/>
      </c>
      <c r="K19" s="222"/>
      <c r="L19" s="245"/>
      <c r="S19" s="222"/>
      <c r="T19" s="222"/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  <c r="AE19" s="222"/>
    </row>
    <row r="20" spans="1:31" s="225" customFormat="1" ht="18" customHeight="1" hidden="1">
      <c r="A20" s="222"/>
      <c r="B20" s="223"/>
      <c r="C20" s="222"/>
      <c r="D20" s="222"/>
      <c r="E20" s="836" t="str">
        <f>'Rekapitulace stavby'!E14</f>
        <v xml:space="preserve"> </v>
      </c>
      <c r="F20" s="836"/>
      <c r="G20" s="836"/>
      <c r="H20" s="836"/>
      <c r="I20" s="221" t="s">
        <v>26</v>
      </c>
      <c r="J20" s="226" t="str">
        <f>'Rekapitulace stavby'!AN14</f>
        <v/>
      </c>
      <c r="K20" s="222"/>
      <c r="L20" s="245"/>
      <c r="S20" s="222"/>
      <c r="T20" s="222"/>
      <c r="U20" s="222"/>
      <c r="V20" s="222"/>
      <c r="W20" s="222"/>
      <c r="X20" s="222"/>
      <c r="Y20" s="222"/>
      <c r="Z20" s="222"/>
      <c r="AA20" s="222"/>
      <c r="AB20" s="222"/>
      <c r="AC20" s="222"/>
      <c r="AD20" s="222"/>
      <c r="AE20" s="222"/>
    </row>
    <row r="21" spans="1:31" s="225" customFormat="1" ht="6.95" customHeight="1" hidden="1">
      <c r="A21" s="222"/>
      <c r="B21" s="223"/>
      <c r="C21" s="222"/>
      <c r="D21" s="222"/>
      <c r="E21" s="222"/>
      <c r="F21" s="222"/>
      <c r="G21" s="222"/>
      <c r="H21" s="222"/>
      <c r="I21" s="222"/>
      <c r="J21" s="222"/>
      <c r="K21" s="222"/>
      <c r="L21" s="245"/>
      <c r="S21" s="222"/>
      <c r="T21" s="222"/>
      <c r="U21" s="222"/>
      <c r="V21" s="222"/>
      <c r="W21" s="222"/>
      <c r="X21" s="222"/>
      <c r="Y21" s="222"/>
      <c r="Z21" s="222"/>
      <c r="AA21" s="222"/>
      <c r="AB21" s="222"/>
      <c r="AC21" s="222"/>
      <c r="AD21" s="222"/>
      <c r="AE21" s="222"/>
    </row>
    <row r="22" spans="1:31" s="225" customFormat="1" ht="12" customHeight="1" hidden="1">
      <c r="A22" s="222"/>
      <c r="B22" s="223"/>
      <c r="C22" s="222"/>
      <c r="D22" s="221" t="s">
        <v>30</v>
      </c>
      <c r="E22" s="222"/>
      <c r="F22" s="222"/>
      <c r="G22" s="222"/>
      <c r="H22" s="222"/>
      <c r="I22" s="221" t="s">
        <v>23</v>
      </c>
      <c r="J22" s="226" t="s">
        <v>31</v>
      </c>
      <c r="K22" s="222"/>
      <c r="L22" s="245"/>
      <c r="S22" s="222"/>
      <c r="T22" s="222"/>
      <c r="U22" s="222"/>
      <c r="V22" s="222"/>
      <c r="W22" s="222"/>
      <c r="X22" s="222"/>
      <c r="Y22" s="222"/>
      <c r="Z22" s="222"/>
      <c r="AA22" s="222"/>
      <c r="AB22" s="222"/>
      <c r="AC22" s="222"/>
      <c r="AD22" s="222"/>
      <c r="AE22" s="222"/>
    </row>
    <row r="23" spans="1:31" s="225" customFormat="1" ht="18" customHeight="1" hidden="1">
      <c r="A23" s="222"/>
      <c r="B23" s="223"/>
      <c r="C23" s="222"/>
      <c r="D23" s="222"/>
      <c r="E23" s="226" t="s">
        <v>32</v>
      </c>
      <c r="F23" s="222"/>
      <c r="G23" s="222"/>
      <c r="H23" s="222"/>
      <c r="I23" s="221" t="s">
        <v>26</v>
      </c>
      <c r="J23" s="226" t="s">
        <v>33</v>
      </c>
      <c r="K23" s="222"/>
      <c r="L23" s="245"/>
      <c r="S23" s="222"/>
      <c r="T23" s="222"/>
      <c r="U23" s="222"/>
      <c r="V23" s="222"/>
      <c r="W23" s="222"/>
      <c r="X23" s="222"/>
      <c r="Y23" s="222"/>
      <c r="Z23" s="222"/>
      <c r="AA23" s="222"/>
      <c r="AB23" s="222"/>
      <c r="AC23" s="222"/>
      <c r="AD23" s="222"/>
      <c r="AE23" s="222"/>
    </row>
    <row r="24" spans="1:31" s="225" customFormat="1" ht="6.95" customHeight="1" hidden="1">
      <c r="A24" s="222"/>
      <c r="B24" s="223"/>
      <c r="C24" s="222"/>
      <c r="D24" s="222"/>
      <c r="E24" s="222"/>
      <c r="F24" s="222"/>
      <c r="G24" s="222"/>
      <c r="H24" s="222"/>
      <c r="I24" s="222"/>
      <c r="J24" s="222"/>
      <c r="K24" s="222"/>
      <c r="L24" s="245"/>
      <c r="S24" s="222"/>
      <c r="T24" s="222"/>
      <c r="U24" s="222"/>
      <c r="V24" s="222"/>
      <c r="W24" s="222"/>
      <c r="X24" s="222"/>
      <c r="Y24" s="222"/>
      <c r="Z24" s="222"/>
      <c r="AA24" s="222"/>
      <c r="AB24" s="222"/>
      <c r="AC24" s="222"/>
      <c r="AD24" s="222"/>
      <c r="AE24" s="222"/>
    </row>
    <row r="25" spans="1:31" s="225" customFormat="1" ht="12" customHeight="1" hidden="1">
      <c r="A25" s="222"/>
      <c r="B25" s="223"/>
      <c r="C25" s="222"/>
      <c r="D25" s="221" t="s">
        <v>35</v>
      </c>
      <c r="E25" s="222"/>
      <c r="F25" s="222"/>
      <c r="G25" s="222"/>
      <c r="H25" s="222"/>
      <c r="I25" s="221" t="s">
        <v>23</v>
      </c>
      <c r="J25" s="226" t="str">
        <f>IF('Rekapitulace stavby'!AN19="","",'Rekapitulace stavby'!AN19)</f>
        <v/>
      </c>
      <c r="K25" s="222"/>
      <c r="L25" s="245"/>
      <c r="S25" s="222"/>
      <c r="T25" s="222"/>
      <c r="U25" s="222"/>
      <c r="V25" s="222"/>
      <c r="W25" s="222"/>
      <c r="X25" s="222"/>
      <c r="Y25" s="222"/>
      <c r="Z25" s="222"/>
      <c r="AA25" s="222"/>
      <c r="AB25" s="222"/>
      <c r="AC25" s="222"/>
      <c r="AD25" s="222"/>
      <c r="AE25" s="222"/>
    </row>
    <row r="26" spans="1:31" s="225" customFormat="1" ht="18" customHeight="1" hidden="1">
      <c r="A26" s="222"/>
      <c r="B26" s="223"/>
      <c r="C26" s="222"/>
      <c r="D26" s="222"/>
      <c r="E26" s="226" t="str">
        <f>IF('Rekapitulace stavby'!E20="","",'Rekapitulace stavby'!E20)</f>
        <v xml:space="preserve"> </v>
      </c>
      <c r="F26" s="222"/>
      <c r="G26" s="222"/>
      <c r="H26" s="222"/>
      <c r="I26" s="221" t="s">
        <v>26</v>
      </c>
      <c r="J26" s="226" t="str">
        <f>IF('Rekapitulace stavby'!AN20="","",'Rekapitulace stavby'!AN20)</f>
        <v/>
      </c>
      <c r="K26" s="222"/>
      <c r="L26" s="245"/>
      <c r="S26" s="222"/>
      <c r="T26" s="222"/>
      <c r="U26" s="222"/>
      <c r="V26" s="222"/>
      <c r="W26" s="222"/>
      <c r="X26" s="222"/>
      <c r="Y26" s="222"/>
      <c r="Z26" s="222"/>
      <c r="AA26" s="222"/>
      <c r="AB26" s="222"/>
      <c r="AC26" s="222"/>
      <c r="AD26" s="222"/>
      <c r="AE26" s="222"/>
    </row>
    <row r="27" spans="1:31" s="225" customFormat="1" ht="6.95" customHeight="1" hidden="1">
      <c r="A27" s="222"/>
      <c r="B27" s="223"/>
      <c r="C27" s="222"/>
      <c r="D27" s="222"/>
      <c r="E27" s="222"/>
      <c r="F27" s="222"/>
      <c r="G27" s="222"/>
      <c r="H27" s="222"/>
      <c r="I27" s="222"/>
      <c r="J27" s="222"/>
      <c r="K27" s="222"/>
      <c r="L27" s="245"/>
      <c r="S27" s="222"/>
      <c r="T27" s="222"/>
      <c r="U27" s="222"/>
      <c r="V27" s="222"/>
      <c r="W27" s="222"/>
      <c r="X27" s="222"/>
      <c r="Y27" s="222"/>
      <c r="Z27" s="222"/>
      <c r="AA27" s="222"/>
      <c r="AB27" s="222"/>
      <c r="AC27" s="222"/>
      <c r="AD27" s="222"/>
      <c r="AE27" s="222"/>
    </row>
    <row r="28" spans="1:31" s="225" customFormat="1" ht="12" customHeight="1" hidden="1">
      <c r="A28" s="222"/>
      <c r="B28" s="223"/>
      <c r="C28" s="222"/>
      <c r="D28" s="221" t="s">
        <v>36</v>
      </c>
      <c r="E28" s="222"/>
      <c r="F28" s="222"/>
      <c r="G28" s="222"/>
      <c r="H28" s="222"/>
      <c r="I28" s="222"/>
      <c r="J28" s="222"/>
      <c r="K28" s="222"/>
      <c r="L28" s="245"/>
      <c r="S28" s="222"/>
      <c r="T28" s="222"/>
      <c r="U28" s="222"/>
      <c r="V28" s="222"/>
      <c r="W28" s="222"/>
      <c r="X28" s="222"/>
      <c r="Y28" s="222"/>
      <c r="Z28" s="222"/>
      <c r="AA28" s="222"/>
      <c r="AB28" s="222"/>
      <c r="AC28" s="222"/>
      <c r="AD28" s="222"/>
      <c r="AE28" s="222"/>
    </row>
    <row r="29" spans="1:31" s="230" customFormat="1" ht="16.5" customHeight="1" hidden="1">
      <c r="A29" s="228"/>
      <c r="B29" s="229"/>
      <c r="C29" s="228"/>
      <c r="D29" s="228"/>
      <c r="E29" s="837" t="s">
        <v>1</v>
      </c>
      <c r="F29" s="837"/>
      <c r="G29" s="837"/>
      <c r="H29" s="837"/>
      <c r="I29" s="228"/>
      <c r="J29" s="228"/>
      <c r="K29" s="228"/>
      <c r="L29" s="224"/>
      <c r="S29" s="228"/>
      <c r="T29" s="228"/>
      <c r="U29" s="228"/>
      <c r="V29" s="228"/>
      <c r="W29" s="228"/>
      <c r="X29" s="228"/>
      <c r="Y29" s="228"/>
      <c r="Z29" s="228"/>
      <c r="AA29" s="228"/>
      <c r="AB29" s="228"/>
      <c r="AC29" s="228"/>
      <c r="AD29" s="228"/>
      <c r="AE29" s="228"/>
    </row>
    <row r="30" spans="1:31" s="225" customFormat="1" ht="6.95" customHeight="1" hidden="1">
      <c r="A30" s="222"/>
      <c r="B30" s="223"/>
      <c r="C30" s="222"/>
      <c r="D30" s="222"/>
      <c r="E30" s="222"/>
      <c r="F30" s="222"/>
      <c r="G30" s="222"/>
      <c r="H30" s="222"/>
      <c r="I30" s="222"/>
      <c r="J30" s="222"/>
      <c r="K30" s="222"/>
      <c r="L30" s="245"/>
      <c r="S30" s="222"/>
      <c r="T30" s="222"/>
      <c r="U30" s="222"/>
      <c r="V30" s="222"/>
      <c r="W30" s="222"/>
      <c r="X30" s="222"/>
      <c r="Y30" s="222"/>
      <c r="Z30" s="222"/>
      <c r="AA30" s="222"/>
      <c r="AB30" s="222"/>
      <c r="AC30" s="222"/>
      <c r="AD30" s="222"/>
      <c r="AE30" s="222"/>
    </row>
    <row r="31" spans="1:31" s="225" customFormat="1" ht="6.95" customHeight="1" hidden="1">
      <c r="A31" s="222"/>
      <c r="B31" s="223"/>
      <c r="C31" s="222"/>
      <c r="D31" s="231"/>
      <c r="E31" s="231"/>
      <c r="F31" s="231"/>
      <c r="G31" s="231"/>
      <c r="H31" s="231"/>
      <c r="I31" s="231"/>
      <c r="J31" s="231"/>
      <c r="K31" s="231"/>
      <c r="L31" s="245"/>
      <c r="S31" s="222"/>
      <c r="T31" s="222"/>
      <c r="U31" s="222"/>
      <c r="V31" s="222"/>
      <c r="W31" s="222"/>
      <c r="X31" s="222"/>
      <c r="Y31" s="222"/>
      <c r="Z31" s="222"/>
      <c r="AA31" s="222"/>
      <c r="AB31" s="222"/>
      <c r="AC31" s="222"/>
      <c r="AD31" s="222"/>
      <c r="AE31" s="222"/>
    </row>
    <row r="32" spans="1:31" s="225" customFormat="1" ht="25.35" customHeight="1" hidden="1">
      <c r="A32" s="222"/>
      <c r="B32" s="223"/>
      <c r="C32" s="222"/>
      <c r="D32" s="232" t="s">
        <v>37</v>
      </c>
      <c r="E32" s="222"/>
      <c r="F32" s="222"/>
      <c r="G32" s="222"/>
      <c r="H32" s="222"/>
      <c r="I32" s="222"/>
      <c r="J32" s="233">
        <f>ROUND(J137,2)</f>
        <v>0</v>
      </c>
      <c r="K32" s="222"/>
      <c r="L32" s="245"/>
      <c r="S32" s="222"/>
      <c r="T32" s="222"/>
      <c r="U32" s="222"/>
      <c r="V32" s="222"/>
      <c r="W32" s="222"/>
      <c r="X32" s="222"/>
      <c r="Y32" s="222"/>
      <c r="Z32" s="222"/>
      <c r="AA32" s="222"/>
      <c r="AB32" s="222"/>
      <c r="AC32" s="222"/>
      <c r="AD32" s="222"/>
      <c r="AE32" s="222"/>
    </row>
    <row r="33" spans="1:31" s="225" customFormat="1" ht="6.95" customHeight="1" hidden="1">
      <c r="A33" s="222"/>
      <c r="B33" s="223"/>
      <c r="C33" s="222"/>
      <c r="D33" s="231"/>
      <c r="E33" s="231"/>
      <c r="F33" s="231"/>
      <c r="G33" s="231"/>
      <c r="H33" s="231"/>
      <c r="I33" s="231"/>
      <c r="J33" s="231"/>
      <c r="K33" s="231"/>
      <c r="L33" s="245"/>
      <c r="S33" s="222"/>
      <c r="T33" s="222"/>
      <c r="U33" s="222"/>
      <c r="V33" s="222"/>
      <c r="W33" s="222"/>
      <c r="X33" s="222"/>
      <c r="Y33" s="222"/>
      <c r="Z33" s="222"/>
      <c r="AA33" s="222"/>
      <c r="AB33" s="222"/>
      <c r="AC33" s="222"/>
      <c r="AD33" s="222"/>
      <c r="AE33" s="222"/>
    </row>
    <row r="34" spans="1:31" s="225" customFormat="1" ht="14.45" customHeight="1" hidden="1">
      <c r="A34" s="222"/>
      <c r="B34" s="223"/>
      <c r="C34" s="222"/>
      <c r="D34" s="222"/>
      <c r="E34" s="222"/>
      <c r="F34" s="234" t="s">
        <v>39</v>
      </c>
      <c r="G34" s="222"/>
      <c r="H34" s="222"/>
      <c r="I34" s="234" t="s">
        <v>38</v>
      </c>
      <c r="J34" s="234" t="s">
        <v>40</v>
      </c>
      <c r="K34" s="222"/>
      <c r="L34" s="245"/>
      <c r="S34" s="222"/>
      <c r="T34" s="222"/>
      <c r="U34" s="222"/>
      <c r="V34" s="222"/>
      <c r="W34" s="222"/>
      <c r="X34" s="222"/>
      <c r="Y34" s="222"/>
      <c r="Z34" s="222"/>
      <c r="AA34" s="222"/>
      <c r="AB34" s="222"/>
      <c r="AC34" s="222"/>
      <c r="AD34" s="222"/>
      <c r="AE34" s="222"/>
    </row>
    <row r="35" spans="1:31" s="225" customFormat="1" ht="14.45" customHeight="1" hidden="1">
      <c r="A35" s="222"/>
      <c r="B35" s="223"/>
      <c r="C35" s="222"/>
      <c r="D35" s="235" t="s">
        <v>41</v>
      </c>
      <c r="E35" s="221" t="s">
        <v>42</v>
      </c>
      <c r="F35" s="236">
        <f>ROUND((SUM(BE137:BE238)),2)</f>
        <v>0</v>
      </c>
      <c r="G35" s="222"/>
      <c r="H35" s="222"/>
      <c r="I35" s="237">
        <v>0.21</v>
      </c>
      <c r="J35" s="236">
        <f>ROUND(((SUM(BE137:BE238))*I35),2)</f>
        <v>0</v>
      </c>
      <c r="K35" s="222"/>
      <c r="L35" s="245"/>
      <c r="S35" s="222"/>
      <c r="T35" s="222"/>
      <c r="U35" s="222"/>
      <c r="V35" s="222"/>
      <c r="W35" s="222"/>
      <c r="X35" s="222"/>
      <c r="Y35" s="222"/>
      <c r="Z35" s="222"/>
      <c r="AA35" s="222"/>
      <c r="AB35" s="222"/>
      <c r="AC35" s="222"/>
      <c r="AD35" s="222"/>
      <c r="AE35" s="222"/>
    </row>
    <row r="36" spans="1:31" s="225" customFormat="1" ht="14.45" customHeight="1" hidden="1">
      <c r="A36" s="222"/>
      <c r="B36" s="223"/>
      <c r="C36" s="222"/>
      <c r="D36" s="222"/>
      <c r="E36" s="221" t="s">
        <v>43</v>
      </c>
      <c r="F36" s="236">
        <f>ROUND((SUM(BF137:BF238)),2)</f>
        <v>0</v>
      </c>
      <c r="G36" s="222"/>
      <c r="H36" s="222"/>
      <c r="I36" s="237">
        <v>0.15</v>
      </c>
      <c r="J36" s="236">
        <f>ROUND(((SUM(BF137:BF238))*I36),2)</f>
        <v>0</v>
      </c>
      <c r="K36" s="222"/>
      <c r="L36" s="245"/>
      <c r="S36" s="222"/>
      <c r="T36" s="222"/>
      <c r="U36" s="222"/>
      <c r="V36" s="222"/>
      <c r="W36" s="222"/>
      <c r="X36" s="222"/>
      <c r="Y36" s="222"/>
      <c r="Z36" s="222"/>
      <c r="AA36" s="222"/>
      <c r="AB36" s="222"/>
      <c r="AC36" s="222"/>
      <c r="AD36" s="222"/>
      <c r="AE36" s="222"/>
    </row>
    <row r="37" spans="1:31" s="225" customFormat="1" ht="14.45" customHeight="1" hidden="1">
      <c r="A37" s="222"/>
      <c r="B37" s="223"/>
      <c r="C37" s="222"/>
      <c r="D37" s="222"/>
      <c r="E37" s="221" t="s">
        <v>44</v>
      </c>
      <c r="F37" s="236">
        <f>ROUND((SUM(BG137:BG238)),2)</f>
        <v>0</v>
      </c>
      <c r="G37" s="222"/>
      <c r="H37" s="222"/>
      <c r="I37" s="237">
        <v>0.21</v>
      </c>
      <c r="J37" s="236">
        <f>0</f>
        <v>0</v>
      </c>
      <c r="K37" s="222"/>
      <c r="L37" s="245"/>
      <c r="S37" s="222"/>
      <c r="T37" s="222"/>
      <c r="U37" s="222"/>
      <c r="V37" s="222"/>
      <c r="W37" s="222"/>
      <c r="X37" s="222"/>
      <c r="Y37" s="222"/>
      <c r="Z37" s="222"/>
      <c r="AA37" s="222"/>
      <c r="AB37" s="222"/>
      <c r="AC37" s="222"/>
      <c r="AD37" s="222"/>
      <c r="AE37" s="222"/>
    </row>
    <row r="38" spans="1:31" s="225" customFormat="1" ht="14.45" customHeight="1" hidden="1">
      <c r="A38" s="222"/>
      <c r="B38" s="223"/>
      <c r="C38" s="222"/>
      <c r="D38" s="222"/>
      <c r="E38" s="221" t="s">
        <v>45</v>
      </c>
      <c r="F38" s="236">
        <f>ROUND((SUM(BH137:BH238)),2)</f>
        <v>0</v>
      </c>
      <c r="G38" s="222"/>
      <c r="H38" s="222"/>
      <c r="I38" s="237">
        <v>0.15</v>
      </c>
      <c r="J38" s="236">
        <f>0</f>
        <v>0</v>
      </c>
      <c r="K38" s="222"/>
      <c r="L38" s="245"/>
      <c r="S38" s="222"/>
      <c r="T38" s="222"/>
      <c r="U38" s="222"/>
      <c r="V38" s="222"/>
      <c r="W38" s="222"/>
      <c r="X38" s="222"/>
      <c r="Y38" s="222"/>
      <c r="Z38" s="222"/>
      <c r="AA38" s="222"/>
      <c r="AB38" s="222"/>
      <c r="AC38" s="222"/>
      <c r="AD38" s="222"/>
      <c r="AE38" s="222"/>
    </row>
    <row r="39" spans="1:31" s="225" customFormat="1" ht="14.45" customHeight="1" hidden="1">
      <c r="A39" s="222"/>
      <c r="B39" s="223"/>
      <c r="C39" s="222"/>
      <c r="D39" s="222"/>
      <c r="E39" s="221" t="s">
        <v>46</v>
      </c>
      <c r="F39" s="236">
        <f>ROUND((SUM(BI137:BI238)),2)</f>
        <v>0</v>
      </c>
      <c r="G39" s="222"/>
      <c r="H39" s="222"/>
      <c r="I39" s="237">
        <v>0</v>
      </c>
      <c r="J39" s="236">
        <f>0</f>
        <v>0</v>
      </c>
      <c r="K39" s="222"/>
      <c r="L39" s="245"/>
      <c r="S39" s="222"/>
      <c r="T39" s="222"/>
      <c r="U39" s="222"/>
      <c r="V39" s="222"/>
      <c r="W39" s="222"/>
      <c r="X39" s="222"/>
      <c r="Y39" s="222"/>
      <c r="Z39" s="222"/>
      <c r="AA39" s="222"/>
      <c r="AB39" s="222"/>
      <c r="AC39" s="222"/>
      <c r="AD39" s="222"/>
      <c r="AE39" s="222"/>
    </row>
    <row r="40" spans="1:31" s="225" customFormat="1" ht="6.95" customHeight="1" hidden="1">
      <c r="A40" s="222"/>
      <c r="B40" s="223"/>
      <c r="C40" s="222"/>
      <c r="D40" s="222"/>
      <c r="E40" s="222"/>
      <c r="F40" s="222"/>
      <c r="G40" s="222"/>
      <c r="H40" s="222"/>
      <c r="I40" s="222"/>
      <c r="J40" s="222"/>
      <c r="K40" s="222"/>
      <c r="L40" s="245"/>
      <c r="S40" s="222"/>
      <c r="T40" s="222"/>
      <c r="U40" s="222"/>
      <c r="V40" s="222"/>
      <c r="W40" s="222"/>
      <c r="X40" s="222"/>
      <c r="Y40" s="222"/>
      <c r="Z40" s="222"/>
      <c r="AA40" s="222"/>
      <c r="AB40" s="222"/>
      <c r="AC40" s="222"/>
      <c r="AD40" s="222"/>
      <c r="AE40" s="222"/>
    </row>
    <row r="41" spans="1:31" s="225" customFormat="1" ht="25.35" customHeight="1" hidden="1">
      <c r="A41" s="222"/>
      <c r="B41" s="223"/>
      <c r="C41" s="238"/>
      <c r="D41" s="239" t="s">
        <v>47</v>
      </c>
      <c r="E41" s="240"/>
      <c r="F41" s="240"/>
      <c r="G41" s="241" t="s">
        <v>48</v>
      </c>
      <c r="H41" s="242" t="s">
        <v>49</v>
      </c>
      <c r="I41" s="240"/>
      <c r="J41" s="243">
        <f>SUM(J32:J39)</f>
        <v>0</v>
      </c>
      <c r="K41" s="244"/>
      <c r="L41" s="245"/>
      <c r="S41" s="222"/>
      <c r="T41" s="222"/>
      <c r="U41" s="222"/>
      <c r="V41" s="222"/>
      <c r="W41" s="222"/>
      <c r="X41" s="222"/>
      <c r="Y41" s="222"/>
      <c r="Z41" s="222"/>
      <c r="AA41" s="222"/>
      <c r="AB41" s="222"/>
      <c r="AC41" s="222"/>
      <c r="AD41" s="222"/>
      <c r="AE41" s="222"/>
    </row>
    <row r="42" spans="1:31" s="225" customFormat="1" ht="14.45" customHeight="1" hidden="1">
      <c r="A42" s="222"/>
      <c r="B42" s="223"/>
      <c r="C42" s="222"/>
      <c r="D42" s="222"/>
      <c r="E42" s="222"/>
      <c r="F42" s="222"/>
      <c r="G42" s="222"/>
      <c r="H42" s="222"/>
      <c r="I42" s="222"/>
      <c r="J42" s="222"/>
      <c r="K42" s="222"/>
      <c r="L42" s="245"/>
      <c r="S42" s="222"/>
      <c r="T42" s="222"/>
      <c r="U42" s="222"/>
      <c r="V42" s="222"/>
      <c r="W42" s="222"/>
      <c r="X42" s="222"/>
      <c r="Y42" s="222"/>
      <c r="Z42" s="222"/>
      <c r="AA42" s="222"/>
      <c r="AB42" s="222"/>
      <c r="AC42" s="222"/>
      <c r="AD42" s="222"/>
      <c r="AE42" s="222"/>
    </row>
    <row r="43" spans="2:12" ht="14.45" customHeight="1" hidden="1">
      <c r="B43" s="218"/>
      <c r="L43" s="218"/>
    </row>
    <row r="44" spans="2:12" ht="14.45" customHeight="1" hidden="1">
      <c r="B44" s="218"/>
      <c r="L44" s="218"/>
    </row>
    <row r="45" spans="2:12" ht="14.45" customHeight="1" hidden="1">
      <c r="B45" s="218"/>
      <c r="L45" s="218"/>
    </row>
    <row r="46" spans="2:12" ht="14.45" customHeight="1" hidden="1">
      <c r="B46" s="218"/>
      <c r="L46" s="218"/>
    </row>
    <row r="47" spans="2:12" ht="14.45" customHeight="1" hidden="1">
      <c r="B47" s="218"/>
      <c r="L47" s="218"/>
    </row>
    <row r="48" spans="2:12" ht="14.45" customHeight="1" hidden="1">
      <c r="B48" s="218"/>
      <c r="L48" s="218"/>
    </row>
    <row r="49" spans="2:12" ht="14.45" customHeight="1" hidden="1">
      <c r="B49" s="218"/>
      <c r="L49" s="218"/>
    </row>
    <row r="50" spans="2:12" s="225" customFormat="1" ht="14.45" customHeight="1" hidden="1">
      <c r="B50" s="245"/>
      <c r="D50" s="246" t="s">
        <v>50</v>
      </c>
      <c r="E50" s="247"/>
      <c r="F50" s="247"/>
      <c r="G50" s="246" t="s">
        <v>51</v>
      </c>
      <c r="H50" s="247"/>
      <c r="I50" s="247"/>
      <c r="J50" s="247"/>
      <c r="K50" s="247"/>
      <c r="L50" s="245"/>
    </row>
    <row r="51" spans="2:12" ht="12" hidden="1">
      <c r="B51" s="218"/>
      <c r="L51" s="218"/>
    </row>
    <row r="52" spans="2:12" ht="12" hidden="1">
      <c r="B52" s="218"/>
      <c r="L52" s="218"/>
    </row>
    <row r="53" spans="2:12" ht="12" hidden="1">
      <c r="B53" s="218"/>
      <c r="L53" s="218"/>
    </row>
    <row r="54" spans="2:12" ht="12" hidden="1">
      <c r="B54" s="218"/>
      <c r="L54" s="218"/>
    </row>
    <row r="55" spans="2:12" ht="12" hidden="1">
      <c r="B55" s="218"/>
      <c r="L55" s="218"/>
    </row>
    <row r="56" spans="2:12" ht="12" hidden="1">
      <c r="B56" s="218"/>
      <c r="L56" s="218"/>
    </row>
    <row r="57" spans="2:12" ht="12" hidden="1">
      <c r="B57" s="218"/>
      <c r="L57" s="218"/>
    </row>
    <row r="58" spans="2:12" ht="12" hidden="1">
      <c r="B58" s="218"/>
      <c r="L58" s="218"/>
    </row>
    <row r="59" spans="2:12" ht="12" hidden="1">
      <c r="B59" s="218"/>
      <c r="L59" s="218"/>
    </row>
    <row r="60" spans="2:12" ht="12" hidden="1">
      <c r="B60" s="218"/>
      <c r="L60" s="218"/>
    </row>
    <row r="61" spans="1:31" s="225" customFormat="1" ht="12.75" hidden="1">
      <c r="A61" s="222"/>
      <c r="B61" s="223"/>
      <c r="C61" s="222"/>
      <c r="D61" s="248" t="s">
        <v>52</v>
      </c>
      <c r="E61" s="249"/>
      <c r="F61" s="250" t="s">
        <v>53</v>
      </c>
      <c r="G61" s="248" t="s">
        <v>52</v>
      </c>
      <c r="H61" s="249"/>
      <c r="I61" s="249"/>
      <c r="J61" s="251" t="s">
        <v>53</v>
      </c>
      <c r="K61" s="249"/>
      <c r="L61" s="245"/>
      <c r="S61" s="222"/>
      <c r="T61" s="222"/>
      <c r="U61" s="222"/>
      <c r="V61" s="222"/>
      <c r="W61" s="222"/>
      <c r="X61" s="222"/>
      <c r="Y61" s="222"/>
      <c r="Z61" s="222"/>
      <c r="AA61" s="222"/>
      <c r="AB61" s="222"/>
      <c r="AC61" s="222"/>
      <c r="AD61" s="222"/>
      <c r="AE61" s="222"/>
    </row>
    <row r="62" spans="2:12" ht="12" hidden="1">
      <c r="B62" s="218"/>
      <c r="L62" s="218"/>
    </row>
    <row r="63" spans="2:12" ht="12" hidden="1">
      <c r="B63" s="218"/>
      <c r="L63" s="218"/>
    </row>
    <row r="64" spans="2:12" ht="12" hidden="1">
      <c r="B64" s="218"/>
      <c r="L64" s="218"/>
    </row>
    <row r="65" spans="1:31" s="225" customFormat="1" ht="12.75" hidden="1">
      <c r="A65" s="222"/>
      <c r="B65" s="223"/>
      <c r="C65" s="222"/>
      <c r="D65" s="246" t="s">
        <v>54</v>
      </c>
      <c r="E65" s="252"/>
      <c r="F65" s="252"/>
      <c r="G65" s="246" t="s">
        <v>55</v>
      </c>
      <c r="H65" s="252"/>
      <c r="I65" s="252"/>
      <c r="J65" s="252"/>
      <c r="K65" s="252"/>
      <c r="L65" s="245"/>
      <c r="S65" s="222"/>
      <c r="T65" s="222"/>
      <c r="U65" s="222"/>
      <c r="V65" s="222"/>
      <c r="W65" s="222"/>
      <c r="X65" s="222"/>
      <c r="Y65" s="222"/>
      <c r="Z65" s="222"/>
      <c r="AA65" s="222"/>
      <c r="AB65" s="222"/>
      <c r="AC65" s="222"/>
      <c r="AD65" s="222"/>
      <c r="AE65" s="222"/>
    </row>
    <row r="66" spans="2:12" ht="12" hidden="1">
      <c r="B66" s="218"/>
      <c r="L66" s="218"/>
    </row>
    <row r="67" spans="2:12" ht="12" hidden="1">
      <c r="B67" s="218"/>
      <c r="L67" s="218"/>
    </row>
    <row r="68" spans="2:12" ht="12" hidden="1">
      <c r="B68" s="218"/>
      <c r="L68" s="218"/>
    </row>
    <row r="69" spans="2:12" ht="12" hidden="1">
      <c r="B69" s="218"/>
      <c r="L69" s="218"/>
    </row>
    <row r="70" spans="2:12" ht="12" hidden="1">
      <c r="B70" s="218"/>
      <c r="L70" s="218"/>
    </row>
    <row r="71" spans="2:12" ht="12" hidden="1">
      <c r="B71" s="218"/>
      <c r="L71" s="218"/>
    </row>
    <row r="72" spans="2:12" ht="12" hidden="1">
      <c r="B72" s="218"/>
      <c r="L72" s="218"/>
    </row>
    <row r="73" spans="2:12" ht="12" hidden="1">
      <c r="B73" s="218"/>
      <c r="L73" s="218"/>
    </row>
    <row r="74" spans="2:12" ht="12" hidden="1">
      <c r="B74" s="218"/>
      <c r="L74" s="218"/>
    </row>
    <row r="75" spans="2:12" ht="12" hidden="1">
      <c r="B75" s="218"/>
      <c r="L75" s="218"/>
    </row>
    <row r="76" spans="1:31" s="225" customFormat="1" ht="12.75" hidden="1">
      <c r="A76" s="222"/>
      <c r="B76" s="223"/>
      <c r="C76" s="222"/>
      <c r="D76" s="248" t="s">
        <v>52</v>
      </c>
      <c r="E76" s="249"/>
      <c r="F76" s="250" t="s">
        <v>53</v>
      </c>
      <c r="G76" s="248" t="s">
        <v>52</v>
      </c>
      <c r="H76" s="249"/>
      <c r="I76" s="249"/>
      <c r="J76" s="251" t="s">
        <v>53</v>
      </c>
      <c r="K76" s="249"/>
      <c r="L76" s="245"/>
      <c r="S76" s="222"/>
      <c r="T76" s="222"/>
      <c r="U76" s="222"/>
      <c r="V76" s="222"/>
      <c r="W76" s="222"/>
      <c r="X76" s="222"/>
      <c r="Y76" s="222"/>
      <c r="Z76" s="222"/>
      <c r="AA76" s="222"/>
      <c r="AB76" s="222"/>
      <c r="AC76" s="222"/>
      <c r="AD76" s="222"/>
      <c r="AE76" s="222"/>
    </row>
    <row r="77" spans="1:31" s="225" customFormat="1" ht="14.45" customHeight="1" hidden="1">
      <c r="A77" s="222"/>
      <c r="B77" s="253"/>
      <c r="C77" s="254"/>
      <c r="D77" s="254"/>
      <c r="E77" s="254"/>
      <c r="F77" s="254"/>
      <c r="G77" s="254"/>
      <c r="H77" s="254"/>
      <c r="I77" s="254"/>
      <c r="J77" s="254"/>
      <c r="K77" s="254"/>
      <c r="L77" s="245"/>
      <c r="S77" s="222"/>
      <c r="T77" s="222"/>
      <c r="U77" s="222"/>
      <c r="V77" s="222"/>
      <c r="W77" s="222"/>
      <c r="X77" s="222"/>
      <c r="Y77" s="222"/>
      <c r="Z77" s="222"/>
      <c r="AA77" s="222"/>
      <c r="AB77" s="222"/>
      <c r="AC77" s="222"/>
      <c r="AD77" s="222"/>
      <c r="AE77" s="222"/>
    </row>
    <row r="78" ht="12" hidden="1"/>
    <row r="79" ht="12" hidden="1"/>
    <row r="81" spans="1:31" s="225" customFormat="1" ht="6.95" customHeight="1">
      <c r="A81" s="222"/>
      <c r="B81" s="255"/>
      <c r="C81" s="256"/>
      <c r="D81" s="256"/>
      <c r="E81" s="256"/>
      <c r="F81" s="256"/>
      <c r="G81" s="256"/>
      <c r="H81" s="256"/>
      <c r="I81" s="256"/>
      <c r="J81" s="256"/>
      <c r="K81" s="256"/>
      <c r="L81" s="245"/>
      <c r="S81" s="222"/>
      <c r="T81" s="222"/>
      <c r="U81" s="222"/>
      <c r="V81" s="222"/>
      <c r="W81" s="222"/>
      <c r="X81" s="222"/>
      <c r="Y81" s="222"/>
      <c r="Z81" s="222"/>
      <c r="AA81" s="222"/>
      <c r="AB81" s="222"/>
      <c r="AC81" s="222"/>
      <c r="AD81" s="222"/>
      <c r="AE81" s="222"/>
    </row>
    <row r="82" spans="1:31" s="225" customFormat="1" ht="24.95" customHeight="1">
      <c r="A82" s="222"/>
      <c r="B82" s="223"/>
      <c r="C82" s="219" t="s">
        <v>97</v>
      </c>
      <c r="D82" s="222"/>
      <c r="E82" s="222"/>
      <c r="F82" s="222"/>
      <c r="G82" s="222"/>
      <c r="H82" s="222"/>
      <c r="I82" s="222"/>
      <c r="J82" s="222"/>
      <c r="K82" s="222"/>
      <c r="L82" s="245"/>
      <c r="S82" s="222"/>
      <c r="T82" s="222"/>
      <c r="U82" s="222"/>
      <c r="V82" s="222"/>
      <c r="W82" s="222"/>
      <c r="X82" s="222"/>
      <c r="Y82" s="222"/>
      <c r="Z82" s="222"/>
      <c r="AA82" s="222"/>
      <c r="AB82" s="222"/>
      <c r="AC82" s="222"/>
      <c r="AD82" s="222"/>
      <c r="AE82" s="222"/>
    </row>
    <row r="83" spans="1:31" s="225" customFormat="1" ht="6.95" customHeight="1">
      <c r="A83" s="222"/>
      <c r="B83" s="223"/>
      <c r="C83" s="222"/>
      <c r="D83" s="222"/>
      <c r="E83" s="222"/>
      <c r="F83" s="222"/>
      <c r="G83" s="222"/>
      <c r="H83" s="222"/>
      <c r="I83" s="222"/>
      <c r="J83" s="222"/>
      <c r="K83" s="222"/>
      <c r="L83" s="245"/>
      <c r="S83" s="222"/>
      <c r="T83" s="222"/>
      <c r="U83" s="222"/>
      <c r="V83" s="222"/>
      <c r="W83" s="222"/>
      <c r="X83" s="222"/>
      <c r="Y83" s="222"/>
      <c r="Z83" s="222"/>
      <c r="AA83" s="222"/>
      <c r="AB83" s="222"/>
      <c r="AC83" s="222"/>
      <c r="AD83" s="222"/>
      <c r="AE83" s="222"/>
    </row>
    <row r="84" spans="1:31" s="225" customFormat="1" ht="12" customHeight="1">
      <c r="A84" s="222"/>
      <c r="B84" s="223"/>
      <c r="C84" s="221" t="s">
        <v>14</v>
      </c>
      <c r="D84" s="222"/>
      <c r="E84" s="222"/>
      <c r="F84" s="222"/>
      <c r="G84" s="222"/>
      <c r="H84" s="222"/>
      <c r="I84" s="222"/>
      <c r="J84" s="222"/>
      <c r="K84" s="222"/>
      <c r="L84" s="245"/>
      <c r="S84" s="222"/>
      <c r="T84" s="222"/>
      <c r="U84" s="222"/>
      <c r="V84" s="222"/>
      <c r="W84" s="222"/>
      <c r="X84" s="222"/>
      <c r="Y84" s="222"/>
      <c r="Z84" s="222"/>
      <c r="AA84" s="222"/>
      <c r="AB84" s="222"/>
      <c r="AC84" s="222"/>
      <c r="AD84" s="222"/>
      <c r="AE84" s="222"/>
    </row>
    <row r="85" spans="1:31" s="225" customFormat="1" ht="16.5" customHeight="1">
      <c r="A85" s="222"/>
      <c r="B85" s="223"/>
      <c r="C85" s="222"/>
      <c r="D85" s="222"/>
      <c r="E85" s="832" t="str">
        <f>E7</f>
        <v>Středisko Okrouhlík - nástavba a stavební úpravy</v>
      </c>
      <c r="F85" s="833"/>
      <c r="G85" s="833"/>
      <c r="H85" s="833"/>
      <c r="I85" s="222"/>
      <c r="J85" s="222"/>
      <c r="K85" s="222"/>
      <c r="L85" s="245"/>
      <c r="S85" s="222"/>
      <c r="T85" s="222"/>
      <c r="U85" s="222"/>
      <c r="V85" s="222"/>
      <c r="W85" s="222"/>
      <c r="X85" s="222"/>
      <c r="Y85" s="222"/>
      <c r="Z85" s="222"/>
      <c r="AA85" s="222"/>
      <c r="AB85" s="222"/>
      <c r="AC85" s="222"/>
      <c r="AD85" s="222"/>
      <c r="AE85" s="222"/>
    </row>
    <row r="86" spans="2:12" ht="12" customHeight="1">
      <c r="B86" s="218"/>
      <c r="C86" s="221" t="s">
        <v>95</v>
      </c>
      <c r="L86" s="218"/>
    </row>
    <row r="87" spans="1:31" s="225" customFormat="1" ht="16.5" customHeight="1">
      <c r="A87" s="222"/>
      <c r="B87" s="223"/>
      <c r="C87" s="222"/>
      <c r="D87" s="222"/>
      <c r="E87" s="832" t="s">
        <v>3843</v>
      </c>
      <c r="F87" s="831"/>
      <c r="G87" s="831"/>
      <c r="H87" s="831"/>
      <c r="I87" s="222"/>
      <c r="J87" s="222"/>
      <c r="K87" s="222"/>
      <c r="L87" s="245"/>
      <c r="S87" s="222"/>
      <c r="T87" s="222"/>
      <c r="U87" s="222"/>
      <c r="V87" s="222"/>
      <c r="W87" s="222"/>
      <c r="X87" s="222"/>
      <c r="Y87" s="222"/>
      <c r="Z87" s="222"/>
      <c r="AA87" s="222"/>
      <c r="AB87" s="222"/>
      <c r="AC87" s="222"/>
      <c r="AD87" s="222"/>
      <c r="AE87" s="222"/>
    </row>
    <row r="88" spans="1:31" s="225" customFormat="1" ht="12" customHeight="1">
      <c r="A88" s="222"/>
      <c r="B88" s="223"/>
      <c r="C88" s="221" t="s">
        <v>1346</v>
      </c>
      <c r="D88" s="222"/>
      <c r="E88" s="222"/>
      <c r="F88" s="222"/>
      <c r="G88" s="222"/>
      <c r="H88" s="222"/>
      <c r="I88" s="222"/>
      <c r="J88" s="222"/>
      <c r="K88" s="222"/>
      <c r="L88" s="245"/>
      <c r="S88" s="222"/>
      <c r="T88" s="222"/>
      <c r="U88" s="222"/>
      <c r="V88" s="222"/>
      <c r="W88" s="222"/>
      <c r="X88" s="222"/>
      <c r="Y88" s="222"/>
      <c r="Z88" s="222"/>
      <c r="AA88" s="222"/>
      <c r="AB88" s="222"/>
      <c r="AC88" s="222"/>
      <c r="AD88" s="222"/>
      <c r="AE88" s="222"/>
    </row>
    <row r="89" spans="1:31" s="225" customFormat="1" ht="16.5" customHeight="1">
      <c r="A89" s="222"/>
      <c r="B89" s="223"/>
      <c r="C89" s="222"/>
      <c r="D89" s="222"/>
      <c r="E89" s="830" t="str">
        <f>E11</f>
        <v>01-01 - ELE</v>
      </c>
      <c r="F89" s="831"/>
      <c r="G89" s="831"/>
      <c r="H89" s="831"/>
      <c r="I89" s="222"/>
      <c r="J89" s="222"/>
      <c r="K89" s="222"/>
      <c r="L89" s="245"/>
      <c r="S89" s="222"/>
      <c r="T89" s="222"/>
      <c r="U89" s="222"/>
      <c r="V89" s="222"/>
      <c r="W89" s="222"/>
      <c r="X89" s="222"/>
      <c r="Y89" s="222"/>
      <c r="Z89" s="222"/>
      <c r="AA89" s="222"/>
      <c r="AB89" s="222"/>
      <c r="AC89" s="222"/>
      <c r="AD89" s="222"/>
      <c r="AE89" s="222"/>
    </row>
    <row r="90" spans="1:31" s="225" customFormat="1" ht="6.95" customHeight="1">
      <c r="A90" s="222"/>
      <c r="B90" s="223"/>
      <c r="C90" s="222"/>
      <c r="D90" s="222"/>
      <c r="E90" s="222"/>
      <c r="F90" s="222"/>
      <c r="G90" s="222"/>
      <c r="H90" s="222"/>
      <c r="I90" s="222"/>
      <c r="J90" s="222"/>
      <c r="K90" s="222"/>
      <c r="L90" s="245"/>
      <c r="S90" s="222"/>
      <c r="T90" s="222"/>
      <c r="U90" s="222"/>
      <c r="V90" s="222"/>
      <c r="W90" s="222"/>
      <c r="X90" s="222"/>
      <c r="Y90" s="222"/>
      <c r="Z90" s="222"/>
      <c r="AA90" s="222"/>
      <c r="AB90" s="222"/>
      <c r="AC90" s="222"/>
      <c r="AD90" s="222"/>
      <c r="AE90" s="222"/>
    </row>
    <row r="91" spans="1:31" s="225" customFormat="1" ht="12" customHeight="1">
      <c r="A91" s="222"/>
      <c r="B91" s="223"/>
      <c r="C91" s="221" t="s">
        <v>18</v>
      </c>
      <c r="D91" s="222"/>
      <c r="E91" s="222"/>
      <c r="F91" s="226" t="str">
        <f>F14</f>
        <v>st.p. 1443, k.ú. Staré Benátky</v>
      </c>
      <c r="G91" s="222"/>
      <c r="H91" s="222"/>
      <c r="I91" s="221" t="s">
        <v>20</v>
      </c>
      <c r="J91" s="227" t="str">
        <f>IF(J14="","",J14)</f>
        <v>8. 10. 2021</v>
      </c>
      <c r="K91" s="222"/>
      <c r="L91" s="245"/>
      <c r="S91" s="222"/>
      <c r="T91" s="222"/>
      <c r="U91" s="222"/>
      <c r="V91" s="222"/>
      <c r="W91" s="222"/>
      <c r="X91" s="222"/>
      <c r="Y91" s="222"/>
      <c r="Z91" s="222"/>
      <c r="AA91" s="222"/>
      <c r="AB91" s="222"/>
      <c r="AC91" s="222"/>
      <c r="AD91" s="222"/>
      <c r="AE91" s="222"/>
    </row>
    <row r="92" spans="1:31" s="225" customFormat="1" ht="6.95" customHeight="1">
      <c r="A92" s="222"/>
      <c r="B92" s="223"/>
      <c r="C92" s="222"/>
      <c r="D92" s="222"/>
      <c r="E92" s="222"/>
      <c r="F92" s="222"/>
      <c r="G92" s="222"/>
      <c r="H92" s="222"/>
      <c r="I92" s="222"/>
      <c r="J92" s="222"/>
      <c r="K92" s="222"/>
      <c r="L92" s="245"/>
      <c r="S92" s="222"/>
      <c r="T92" s="222"/>
      <c r="U92" s="222"/>
      <c r="V92" s="222"/>
      <c r="W92" s="222"/>
      <c r="X92" s="222"/>
      <c r="Y92" s="222"/>
      <c r="Z92" s="222"/>
      <c r="AA92" s="222"/>
      <c r="AB92" s="222"/>
      <c r="AC92" s="222"/>
      <c r="AD92" s="222"/>
      <c r="AE92" s="222"/>
    </row>
    <row r="93" spans="1:31" s="225" customFormat="1" ht="54.4" customHeight="1">
      <c r="A93" s="222"/>
      <c r="B93" s="223"/>
      <c r="C93" s="221" t="s">
        <v>22</v>
      </c>
      <c r="D93" s="222"/>
      <c r="E93" s="222"/>
      <c r="F93" s="226" t="str">
        <f>E17</f>
        <v>VaK Mladá Boleslav, Čechova 1151, Mladá Boleslav</v>
      </c>
      <c r="G93" s="222"/>
      <c r="H93" s="222"/>
      <c r="I93" s="221" t="s">
        <v>30</v>
      </c>
      <c r="J93" s="257" t="str">
        <f>E23</f>
        <v>ŽÁROVKA PROJEKTANTI,Křižíkova 788/2,Hradec Králové</v>
      </c>
      <c r="K93" s="222"/>
      <c r="L93" s="245"/>
      <c r="S93" s="222"/>
      <c r="T93" s="222"/>
      <c r="U93" s="222"/>
      <c r="V93" s="222"/>
      <c r="W93" s="222"/>
      <c r="X93" s="222"/>
      <c r="Y93" s="222"/>
      <c r="Z93" s="222"/>
      <c r="AA93" s="222"/>
      <c r="AB93" s="222"/>
      <c r="AC93" s="222"/>
      <c r="AD93" s="222"/>
      <c r="AE93" s="222"/>
    </row>
    <row r="94" spans="1:31" s="225" customFormat="1" ht="15.2" customHeight="1">
      <c r="A94" s="222"/>
      <c r="B94" s="223"/>
      <c r="C94" s="221" t="s">
        <v>28</v>
      </c>
      <c r="D94" s="222"/>
      <c r="E94" s="222"/>
      <c r="F94" s="226" t="str">
        <f>IF(E20="","",E20)</f>
        <v xml:space="preserve"> </v>
      </c>
      <c r="G94" s="222"/>
      <c r="H94" s="222"/>
      <c r="I94" s="221" t="s">
        <v>35</v>
      </c>
      <c r="J94" s="257" t="str">
        <f>E26</f>
        <v xml:space="preserve"> </v>
      </c>
      <c r="K94" s="222"/>
      <c r="L94" s="245"/>
      <c r="S94" s="222"/>
      <c r="T94" s="222"/>
      <c r="U94" s="222"/>
      <c r="V94" s="222"/>
      <c r="W94" s="222"/>
      <c r="X94" s="222"/>
      <c r="Y94" s="222"/>
      <c r="Z94" s="222"/>
      <c r="AA94" s="222"/>
      <c r="AB94" s="222"/>
      <c r="AC94" s="222"/>
      <c r="AD94" s="222"/>
      <c r="AE94" s="222"/>
    </row>
    <row r="95" spans="1:31" s="225" customFormat="1" ht="10.35" customHeight="1">
      <c r="A95" s="222"/>
      <c r="B95" s="223"/>
      <c r="C95" s="222"/>
      <c r="D95" s="222"/>
      <c r="E95" s="222"/>
      <c r="F95" s="222"/>
      <c r="G95" s="222"/>
      <c r="H95" s="222"/>
      <c r="I95" s="222"/>
      <c r="J95" s="222"/>
      <c r="K95" s="222"/>
      <c r="L95" s="245"/>
      <c r="S95" s="222"/>
      <c r="T95" s="222"/>
      <c r="U95" s="222"/>
      <c r="V95" s="222"/>
      <c r="W95" s="222"/>
      <c r="X95" s="222"/>
      <c r="Y95" s="222"/>
      <c r="Z95" s="222"/>
      <c r="AA95" s="222"/>
      <c r="AB95" s="222"/>
      <c r="AC95" s="222"/>
      <c r="AD95" s="222"/>
      <c r="AE95" s="222"/>
    </row>
    <row r="96" spans="1:31" s="263" customFormat="1" ht="29.25" customHeight="1">
      <c r="A96" s="258"/>
      <c r="B96" s="259"/>
      <c r="C96" s="260" t="s">
        <v>98</v>
      </c>
      <c r="D96" s="258"/>
      <c r="E96" s="258"/>
      <c r="F96" s="258"/>
      <c r="G96" s="258"/>
      <c r="H96" s="258"/>
      <c r="I96" s="258"/>
      <c r="J96" s="261" t="s">
        <v>99</v>
      </c>
      <c r="K96" s="258"/>
      <c r="L96" s="647"/>
      <c r="S96" s="258"/>
      <c r="T96" s="258"/>
      <c r="U96" s="258"/>
      <c r="V96" s="258"/>
      <c r="W96" s="258"/>
      <c r="X96" s="258"/>
      <c r="Y96" s="258"/>
      <c r="Z96" s="258"/>
      <c r="AA96" s="258"/>
      <c r="AB96" s="258"/>
      <c r="AC96" s="258"/>
      <c r="AD96" s="258"/>
      <c r="AE96" s="258"/>
    </row>
    <row r="97" spans="1:31" s="225" customFormat="1" ht="10.35" customHeight="1">
      <c r="A97" s="222"/>
      <c r="B97" s="223"/>
      <c r="C97" s="222"/>
      <c r="D97" s="222"/>
      <c r="E97" s="222"/>
      <c r="F97" s="222"/>
      <c r="G97" s="222"/>
      <c r="H97" s="222"/>
      <c r="I97" s="222"/>
      <c r="J97" s="222"/>
      <c r="K97" s="222"/>
      <c r="L97" s="245"/>
      <c r="S97" s="222"/>
      <c r="T97" s="222"/>
      <c r="U97" s="222"/>
      <c r="V97" s="222"/>
      <c r="W97" s="222"/>
      <c r="X97" s="222"/>
      <c r="Y97" s="222"/>
      <c r="Z97" s="222"/>
      <c r="AA97" s="222"/>
      <c r="AB97" s="222"/>
      <c r="AC97" s="222"/>
      <c r="AD97" s="222"/>
      <c r="AE97" s="222"/>
    </row>
    <row r="98" spans="1:47" s="225" customFormat="1" ht="22.9" customHeight="1">
      <c r="A98" s="222"/>
      <c r="B98" s="223"/>
      <c r="C98" s="264" t="s">
        <v>100</v>
      </c>
      <c r="D98" s="222"/>
      <c r="E98" s="222"/>
      <c r="F98" s="222"/>
      <c r="G98" s="222"/>
      <c r="H98" s="222"/>
      <c r="I98" s="222"/>
      <c r="J98" s="233">
        <f>J99+J100+J110</f>
        <v>0</v>
      </c>
      <c r="K98" s="222"/>
      <c r="L98" s="245"/>
      <c r="S98" s="222"/>
      <c r="T98" s="222"/>
      <c r="U98" s="222"/>
      <c r="V98" s="222"/>
      <c r="W98" s="222"/>
      <c r="X98" s="222"/>
      <c r="Y98" s="222"/>
      <c r="Z98" s="222"/>
      <c r="AA98" s="222"/>
      <c r="AB98" s="222"/>
      <c r="AC98" s="222"/>
      <c r="AD98" s="222"/>
      <c r="AE98" s="222"/>
      <c r="AU98" s="214" t="s">
        <v>101</v>
      </c>
    </row>
    <row r="99" spans="2:12" s="266" customFormat="1" ht="24.95" customHeight="1">
      <c r="B99" s="265"/>
      <c r="D99" s="267" t="s">
        <v>1348</v>
      </c>
      <c r="E99" s="268"/>
      <c r="F99" s="268"/>
      <c r="G99" s="268"/>
      <c r="H99" s="268"/>
      <c r="I99" s="268"/>
      <c r="J99" s="269">
        <f>J138</f>
        <v>0</v>
      </c>
      <c r="L99" s="265"/>
    </row>
    <row r="100" spans="2:12" s="266" customFormat="1" ht="24.95" customHeight="1">
      <c r="B100" s="265"/>
      <c r="D100" s="267" t="s">
        <v>1349</v>
      </c>
      <c r="E100" s="268"/>
      <c r="F100" s="268"/>
      <c r="G100" s="268"/>
      <c r="H100" s="268"/>
      <c r="I100" s="268"/>
      <c r="J100" s="269">
        <f>SUM(J101:J108)</f>
        <v>0</v>
      </c>
      <c r="L100" s="265"/>
    </row>
    <row r="101" spans="2:12" s="272" customFormat="1" ht="19.9" customHeight="1">
      <c r="B101" s="271"/>
      <c r="D101" s="273" t="s">
        <v>1350</v>
      </c>
      <c r="E101" s="274"/>
      <c r="F101" s="274"/>
      <c r="G101" s="274"/>
      <c r="H101" s="274"/>
      <c r="I101" s="274"/>
      <c r="J101" s="275">
        <f>J145</f>
        <v>0</v>
      </c>
      <c r="L101" s="271"/>
    </row>
    <row r="102" spans="2:12" s="272" customFormat="1" ht="19.9" customHeight="1">
      <c r="B102" s="271"/>
      <c r="D102" s="273" t="s">
        <v>1351</v>
      </c>
      <c r="E102" s="274"/>
      <c r="F102" s="274"/>
      <c r="G102" s="274"/>
      <c r="H102" s="274"/>
      <c r="I102" s="274"/>
      <c r="J102" s="275">
        <f>J156</f>
        <v>0</v>
      </c>
      <c r="L102" s="271"/>
    </row>
    <row r="103" spans="2:12" s="272" customFormat="1" ht="19.9" customHeight="1">
      <c r="B103" s="271"/>
      <c r="D103" s="273" t="s">
        <v>1352</v>
      </c>
      <c r="E103" s="274"/>
      <c r="F103" s="274"/>
      <c r="G103" s="274"/>
      <c r="H103" s="274"/>
      <c r="I103" s="274"/>
      <c r="J103" s="275">
        <f>J165</f>
        <v>0</v>
      </c>
      <c r="L103" s="271"/>
    </row>
    <row r="104" spans="2:12" s="272" customFormat="1" ht="19.9" customHeight="1">
      <c r="B104" s="271"/>
      <c r="D104" s="273" t="s">
        <v>1353</v>
      </c>
      <c r="E104" s="274"/>
      <c r="F104" s="274"/>
      <c r="G104" s="274"/>
      <c r="H104" s="274"/>
      <c r="I104" s="274"/>
      <c r="J104" s="275">
        <f>J177</f>
        <v>0</v>
      </c>
      <c r="L104" s="271"/>
    </row>
    <row r="105" spans="2:12" s="272" customFormat="1" ht="19.9" customHeight="1">
      <c r="B105" s="271"/>
      <c r="D105" s="273" t="s">
        <v>1354</v>
      </c>
      <c r="E105" s="274"/>
      <c r="F105" s="274"/>
      <c r="G105" s="274"/>
      <c r="H105" s="274"/>
      <c r="I105" s="274"/>
      <c r="J105" s="275">
        <f>J181</f>
        <v>0</v>
      </c>
      <c r="L105" s="271"/>
    </row>
    <row r="106" spans="2:12" s="272" customFormat="1" ht="19.9" customHeight="1">
      <c r="B106" s="271"/>
      <c r="D106" s="273" t="s">
        <v>1355</v>
      </c>
      <c r="E106" s="274"/>
      <c r="F106" s="274"/>
      <c r="G106" s="274"/>
      <c r="H106" s="274"/>
      <c r="I106" s="274"/>
      <c r="J106" s="275">
        <f>J206</f>
        <v>0</v>
      </c>
      <c r="L106" s="271"/>
    </row>
    <row r="107" spans="2:12" s="272" customFormat="1" ht="19.9" customHeight="1">
      <c r="B107" s="271"/>
      <c r="D107" s="273" t="s">
        <v>1356</v>
      </c>
      <c r="E107" s="274"/>
      <c r="F107" s="274"/>
      <c r="G107" s="274"/>
      <c r="H107" s="274"/>
      <c r="I107" s="274"/>
      <c r="J107" s="275">
        <f>J211</f>
        <v>0</v>
      </c>
      <c r="L107" s="271"/>
    </row>
    <row r="108" spans="2:12" s="272" customFormat="1" ht="19.9" customHeight="1">
      <c r="B108" s="271"/>
      <c r="D108" s="273" t="s">
        <v>3790</v>
      </c>
      <c r="E108" s="274"/>
      <c r="F108" s="274"/>
      <c r="G108" s="274"/>
      <c r="H108" s="274"/>
      <c r="I108" s="274"/>
      <c r="J108" s="275">
        <f>J239</f>
        <v>0</v>
      </c>
      <c r="L108" s="271"/>
    </row>
    <row r="109" spans="2:12" s="272" customFormat="1" ht="19.9" customHeight="1">
      <c r="B109" s="271"/>
      <c r="D109" s="273"/>
      <c r="E109" s="274"/>
      <c r="F109" s="274"/>
      <c r="G109" s="274"/>
      <c r="H109" s="274"/>
      <c r="I109" s="274"/>
      <c r="J109" s="275"/>
      <c r="L109" s="271"/>
    </row>
    <row r="110" spans="2:12" s="266" customFormat="1" ht="24.95" customHeight="1">
      <c r="B110" s="265"/>
      <c r="D110" s="648" t="s">
        <v>91</v>
      </c>
      <c r="E110" s="268"/>
      <c r="F110" s="268"/>
      <c r="G110" s="268"/>
      <c r="H110" s="268"/>
      <c r="I110" s="268"/>
      <c r="J110" s="269">
        <f>SUM(J111:J117)</f>
        <v>0</v>
      </c>
      <c r="L110" s="265"/>
    </row>
    <row r="111" spans="2:12" s="272" customFormat="1" ht="19.9" customHeight="1">
      <c r="B111" s="271"/>
      <c r="D111" s="273" t="s">
        <v>2448</v>
      </c>
      <c r="E111" s="274"/>
      <c r="F111" s="274"/>
      <c r="G111" s="274"/>
      <c r="H111" s="274"/>
      <c r="I111" s="274"/>
      <c r="J111" s="275">
        <f>J252</f>
        <v>0</v>
      </c>
      <c r="L111" s="271"/>
    </row>
    <row r="112" spans="2:12" s="272" customFormat="1" ht="19.9" customHeight="1">
      <c r="B112" s="271"/>
      <c r="D112" s="273" t="s">
        <v>2449</v>
      </c>
      <c r="E112" s="274"/>
      <c r="F112" s="274"/>
      <c r="G112" s="274"/>
      <c r="H112" s="274"/>
      <c r="I112" s="274"/>
      <c r="J112" s="275">
        <f>J259</f>
        <v>0</v>
      </c>
      <c r="L112" s="271"/>
    </row>
    <row r="113" spans="2:12" s="272" customFormat="1" ht="19.9" customHeight="1">
      <c r="B113" s="271"/>
      <c r="D113" s="273" t="s">
        <v>2450</v>
      </c>
      <c r="E113" s="274"/>
      <c r="F113" s="274"/>
      <c r="G113" s="274"/>
      <c r="H113" s="274"/>
      <c r="I113" s="274"/>
      <c r="J113" s="275">
        <f>J268</f>
        <v>0</v>
      </c>
      <c r="L113" s="271"/>
    </row>
    <row r="114" spans="2:12" s="272" customFormat="1" ht="19.9" customHeight="1">
      <c r="B114" s="271"/>
      <c r="D114" s="273" t="s">
        <v>2451</v>
      </c>
      <c r="E114" s="274"/>
      <c r="F114" s="274"/>
      <c r="G114" s="274"/>
      <c r="H114" s="274"/>
      <c r="I114" s="274"/>
      <c r="J114" s="275">
        <f>J272</f>
        <v>0</v>
      </c>
      <c r="L114" s="271"/>
    </row>
    <row r="115" spans="2:12" s="272" customFormat="1" ht="19.9" customHeight="1">
      <c r="B115" s="271"/>
      <c r="D115" s="273" t="s">
        <v>2452</v>
      </c>
      <c r="E115" s="274"/>
      <c r="F115" s="274"/>
      <c r="G115" s="274"/>
      <c r="H115" s="274"/>
      <c r="I115" s="274"/>
      <c r="J115" s="275">
        <f>J292</f>
        <v>0</v>
      </c>
      <c r="L115" s="271"/>
    </row>
    <row r="116" spans="2:12" s="272" customFormat="1" ht="19.9" customHeight="1">
      <c r="B116" s="271"/>
      <c r="D116" s="273" t="s">
        <v>3954</v>
      </c>
      <c r="E116" s="274"/>
      <c r="F116" s="274"/>
      <c r="G116" s="274"/>
      <c r="H116" s="274"/>
      <c r="I116" s="274"/>
      <c r="J116" s="275">
        <f>J297</f>
        <v>0</v>
      </c>
      <c r="L116" s="271"/>
    </row>
    <row r="117" spans="2:12" s="272" customFormat="1" ht="19.9" customHeight="1">
      <c r="B117" s="271"/>
      <c r="D117" s="273" t="s">
        <v>3778</v>
      </c>
      <c r="E117" s="274"/>
      <c r="F117" s="274"/>
      <c r="G117" s="274"/>
      <c r="H117" s="274"/>
      <c r="I117" s="274"/>
      <c r="J117" s="275">
        <f>J317</f>
        <v>0</v>
      </c>
      <c r="L117" s="271"/>
    </row>
    <row r="121" spans="1:31" s="225" customFormat="1" ht="6.95" customHeight="1">
      <c r="A121" s="222"/>
      <c r="B121" s="255"/>
      <c r="C121" s="256"/>
      <c r="D121" s="256"/>
      <c r="E121" s="256"/>
      <c r="F121" s="256"/>
      <c r="G121" s="256"/>
      <c r="H121" s="256"/>
      <c r="I121" s="256"/>
      <c r="J121" s="256"/>
      <c r="K121" s="256"/>
      <c r="L121" s="245"/>
      <c r="S121" s="222"/>
      <c r="T121" s="222"/>
      <c r="U121" s="222"/>
      <c r="V121" s="222"/>
      <c r="W121" s="222"/>
      <c r="X121" s="222"/>
      <c r="Y121" s="222"/>
      <c r="Z121" s="222"/>
      <c r="AA121" s="222"/>
      <c r="AB121" s="222"/>
      <c r="AC121" s="222"/>
      <c r="AD121" s="222"/>
      <c r="AE121" s="222"/>
    </row>
    <row r="122" spans="1:31" s="225" customFormat="1" ht="24.95" customHeight="1">
      <c r="A122" s="222"/>
      <c r="B122" s="223"/>
      <c r="C122" s="219" t="s">
        <v>131</v>
      </c>
      <c r="D122" s="222"/>
      <c r="E122" s="222"/>
      <c r="F122" s="222"/>
      <c r="G122" s="222"/>
      <c r="H122" s="222"/>
      <c r="I122" s="222"/>
      <c r="J122" s="222"/>
      <c r="K122" s="222"/>
      <c r="L122" s="245"/>
      <c r="S122" s="222"/>
      <c r="T122" s="222"/>
      <c r="U122" s="222"/>
      <c r="V122" s="222"/>
      <c r="W122" s="222"/>
      <c r="X122" s="222"/>
      <c r="Y122" s="222"/>
      <c r="Z122" s="222"/>
      <c r="AA122" s="222"/>
      <c r="AB122" s="222"/>
      <c r="AC122" s="222"/>
      <c r="AD122" s="222"/>
      <c r="AE122" s="222"/>
    </row>
    <row r="123" spans="1:31" s="225" customFormat="1" ht="6.95" customHeight="1">
      <c r="A123" s="222"/>
      <c r="B123" s="223"/>
      <c r="C123" s="222"/>
      <c r="D123" s="222"/>
      <c r="E123" s="222"/>
      <c r="F123" s="222"/>
      <c r="G123" s="222"/>
      <c r="H123" s="222"/>
      <c r="I123" s="222"/>
      <c r="J123" s="222"/>
      <c r="K123" s="222"/>
      <c r="L123" s="245"/>
      <c r="S123" s="222"/>
      <c r="T123" s="222"/>
      <c r="U123" s="222"/>
      <c r="V123" s="222"/>
      <c r="W123" s="222"/>
      <c r="X123" s="222"/>
      <c r="Y123" s="222"/>
      <c r="Z123" s="222"/>
      <c r="AA123" s="222"/>
      <c r="AB123" s="222"/>
      <c r="AC123" s="222"/>
      <c r="AD123" s="222"/>
      <c r="AE123" s="222"/>
    </row>
    <row r="124" spans="1:31" s="225" customFormat="1" ht="12" customHeight="1">
      <c r="A124" s="222"/>
      <c r="B124" s="223"/>
      <c r="C124" s="221" t="s">
        <v>14</v>
      </c>
      <c r="D124" s="222"/>
      <c r="E124" s="222"/>
      <c r="F124" s="222"/>
      <c r="G124" s="222"/>
      <c r="H124" s="222"/>
      <c r="I124" s="222"/>
      <c r="J124" s="222"/>
      <c r="K124" s="222"/>
      <c r="L124" s="245"/>
      <c r="S124" s="222"/>
      <c r="T124" s="222"/>
      <c r="U124" s="222"/>
      <c r="V124" s="222"/>
      <c r="W124" s="222"/>
      <c r="X124" s="222"/>
      <c r="Y124" s="222"/>
      <c r="Z124" s="222"/>
      <c r="AA124" s="222"/>
      <c r="AB124" s="222"/>
      <c r="AC124" s="222"/>
      <c r="AD124" s="222"/>
      <c r="AE124" s="222"/>
    </row>
    <row r="125" spans="1:31" s="225" customFormat="1" ht="16.5" customHeight="1">
      <c r="A125" s="222"/>
      <c r="B125" s="223"/>
      <c r="C125" s="222"/>
      <c r="D125" s="222"/>
      <c r="E125" s="832" t="str">
        <f>E7</f>
        <v>Středisko Okrouhlík - nástavba a stavební úpravy</v>
      </c>
      <c r="F125" s="833"/>
      <c r="G125" s="833"/>
      <c r="H125" s="833"/>
      <c r="I125" s="222"/>
      <c r="J125" s="222"/>
      <c r="K125" s="222"/>
      <c r="L125" s="245"/>
      <c r="S125" s="222"/>
      <c r="T125" s="222"/>
      <c r="U125" s="222"/>
      <c r="V125" s="222"/>
      <c r="W125" s="222"/>
      <c r="X125" s="222"/>
      <c r="Y125" s="222"/>
      <c r="Z125" s="222"/>
      <c r="AA125" s="222"/>
      <c r="AB125" s="222"/>
      <c r="AC125" s="222"/>
      <c r="AD125" s="222"/>
      <c r="AE125" s="222"/>
    </row>
    <row r="126" spans="2:12" ht="12" customHeight="1">
      <c r="B126" s="218"/>
      <c r="C126" s="221" t="s">
        <v>95</v>
      </c>
      <c r="L126" s="218"/>
    </row>
    <row r="127" spans="1:31" s="225" customFormat="1" ht="16.5" customHeight="1">
      <c r="A127" s="222"/>
      <c r="B127" s="223"/>
      <c r="C127" s="222"/>
      <c r="D127" s="222"/>
      <c r="E127" s="832" t="s">
        <v>96</v>
      </c>
      <c r="F127" s="831"/>
      <c r="G127" s="831"/>
      <c r="H127" s="831"/>
      <c r="I127" s="222"/>
      <c r="J127" s="222"/>
      <c r="K127" s="222"/>
      <c r="L127" s="245"/>
      <c r="S127" s="222"/>
      <c r="T127" s="222"/>
      <c r="U127" s="222"/>
      <c r="V127" s="222"/>
      <c r="W127" s="222"/>
      <c r="X127" s="222"/>
      <c r="Y127" s="222"/>
      <c r="Z127" s="222"/>
      <c r="AA127" s="222"/>
      <c r="AB127" s="222"/>
      <c r="AC127" s="222"/>
      <c r="AD127" s="222"/>
      <c r="AE127" s="222"/>
    </row>
    <row r="128" spans="1:31" s="225" customFormat="1" ht="12" customHeight="1">
      <c r="A128" s="222"/>
      <c r="B128" s="223"/>
      <c r="C128" s="221" t="s">
        <v>1346</v>
      </c>
      <c r="D128" s="222"/>
      <c r="E128" s="222"/>
      <c r="F128" s="222"/>
      <c r="G128" s="222"/>
      <c r="H128" s="222"/>
      <c r="I128" s="222"/>
      <c r="J128" s="222"/>
      <c r="K128" s="222"/>
      <c r="L128" s="245"/>
      <c r="S128" s="222"/>
      <c r="T128" s="222"/>
      <c r="U128" s="222"/>
      <c r="V128" s="222"/>
      <c r="W128" s="222"/>
      <c r="X128" s="222"/>
      <c r="Y128" s="222"/>
      <c r="Z128" s="222"/>
      <c r="AA128" s="222"/>
      <c r="AB128" s="222"/>
      <c r="AC128" s="222"/>
      <c r="AD128" s="222"/>
      <c r="AE128" s="222"/>
    </row>
    <row r="129" spans="1:31" s="225" customFormat="1" ht="16.5" customHeight="1">
      <c r="A129" s="222"/>
      <c r="B129" s="223"/>
      <c r="C129" s="222"/>
      <c r="D129" s="222"/>
      <c r="E129" s="830" t="s">
        <v>3850</v>
      </c>
      <c r="F129" s="831"/>
      <c r="G129" s="831"/>
      <c r="H129" s="831"/>
      <c r="I129" s="222"/>
      <c r="J129" s="222"/>
      <c r="K129" s="222"/>
      <c r="L129" s="245"/>
      <c r="S129" s="222"/>
      <c r="T129" s="222"/>
      <c r="U129" s="222"/>
      <c r="V129" s="222"/>
      <c r="W129" s="222"/>
      <c r="X129" s="222"/>
      <c r="Y129" s="222"/>
      <c r="Z129" s="222"/>
      <c r="AA129" s="222"/>
      <c r="AB129" s="222"/>
      <c r="AC129" s="222"/>
      <c r="AD129" s="222"/>
      <c r="AE129" s="222"/>
    </row>
    <row r="130" spans="1:31" s="225" customFormat="1" ht="6.95" customHeight="1">
      <c r="A130" s="222"/>
      <c r="B130" s="223"/>
      <c r="C130" s="222"/>
      <c r="D130" s="222"/>
      <c r="E130" s="222"/>
      <c r="F130" s="222"/>
      <c r="G130" s="222"/>
      <c r="H130" s="222"/>
      <c r="I130" s="222"/>
      <c r="J130" s="222"/>
      <c r="K130" s="222"/>
      <c r="L130" s="245"/>
      <c r="S130" s="222"/>
      <c r="T130" s="222"/>
      <c r="U130" s="222"/>
      <c r="V130" s="222"/>
      <c r="W130" s="222"/>
      <c r="X130" s="222"/>
      <c r="Y130" s="222"/>
      <c r="Z130" s="222"/>
      <c r="AA130" s="222"/>
      <c r="AB130" s="222"/>
      <c r="AC130" s="222"/>
      <c r="AD130" s="222"/>
      <c r="AE130" s="222"/>
    </row>
    <row r="131" spans="1:31" s="225" customFormat="1" ht="12" customHeight="1">
      <c r="A131" s="222"/>
      <c r="B131" s="223"/>
      <c r="C131" s="221" t="s">
        <v>18</v>
      </c>
      <c r="D131" s="222"/>
      <c r="E131" s="222"/>
      <c r="F131" s="226" t="str">
        <f>F14</f>
        <v>st.p. 1443, k.ú. Staré Benátky</v>
      </c>
      <c r="G131" s="222"/>
      <c r="H131" s="222"/>
      <c r="I131" s="221" t="s">
        <v>20</v>
      </c>
      <c r="J131" s="227" t="str">
        <f>IF(J14="","",J14)</f>
        <v>8. 10. 2021</v>
      </c>
      <c r="K131" s="222"/>
      <c r="L131" s="245"/>
      <c r="S131" s="222"/>
      <c r="T131" s="222"/>
      <c r="U131" s="222"/>
      <c r="V131" s="222"/>
      <c r="W131" s="222"/>
      <c r="X131" s="222"/>
      <c r="Y131" s="222"/>
      <c r="Z131" s="222"/>
      <c r="AA131" s="222"/>
      <c r="AB131" s="222"/>
      <c r="AC131" s="222"/>
      <c r="AD131" s="222"/>
      <c r="AE131" s="222"/>
    </row>
    <row r="132" spans="1:31" s="225" customFormat="1" ht="6.95" customHeight="1">
      <c r="A132" s="222"/>
      <c r="B132" s="223"/>
      <c r="C132" s="222"/>
      <c r="D132" s="222"/>
      <c r="E132" s="222"/>
      <c r="F132" s="222"/>
      <c r="G132" s="222"/>
      <c r="H132" s="222"/>
      <c r="I132" s="222"/>
      <c r="J132" s="222"/>
      <c r="K132" s="222"/>
      <c r="L132" s="245"/>
      <c r="S132" s="222"/>
      <c r="T132" s="222"/>
      <c r="U132" s="222"/>
      <c r="V132" s="222"/>
      <c r="W132" s="222"/>
      <c r="X132" s="222"/>
      <c r="Y132" s="222"/>
      <c r="Z132" s="222"/>
      <c r="AA132" s="222"/>
      <c r="AB132" s="222"/>
      <c r="AC132" s="222"/>
      <c r="AD132" s="222"/>
      <c r="AE132" s="222"/>
    </row>
    <row r="133" spans="1:31" s="225" customFormat="1" ht="22.5" customHeight="1">
      <c r="A133" s="222"/>
      <c r="B133" s="223"/>
      <c r="C133" s="221" t="s">
        <v>22</v>
      </c>
      <c r="D133" s="222"/>
      <c r="E133" s="222"/>
      <c r="F133" s="226" t="str">
        <f>E17</f>
        <v>VaK Mladá Boleslav, Čechova 1151, Mladá Boleslav</v>
      </c>
      <c r="G133" s="222"/>
      <c r="H133" s="222"/>
      <c r="I133" s="221" t="s">
        <v>30</v>
      </c>
      <c r="J133" s="257" t="str">
        <f>E23</f>
        <v>ŽÁROVKA PROJEKTANTI,Křižíkova 788/2,Hradec Králové</v>
      </c>
      <c r="K133" s="222"/>
      <c r="L133" s="245"/>
      <c r="S133" s="222"/>
      <c r="T133" s="222"/>
      <c r="U133" s="222"/>
      <c r="V133" s="222"/>
      <c r="W133" s="222"/>
      <c r="X133" s="222"/>
      <c r="Y133" s="222"/>
      <c r="Z133" s="222"/>
      <c r="AA133" s="222"/>
      <c r="AB133" s="222"/>
      <c r="AC133" s="222"/>
      <c r="AD133" s="222"/>
      <c r="AE133" s="222"/>
    </row>
    <row r="134" spans="1:31" s="225" customFormat="1" ht="15.2" customHeight="1">
      <c r="A134" s="222"/>
      <c r="B134" s="223"/>
      <c r="C134" s="221" t="s">
        <v>28</v>
      </c>
      <c r="D134" s="222"/>
      <c r="E134" s="222"/>
      <c r="F134" s="226" t="str">
        <f>IF(E20="","",E20)</f>
        <v xml:space="preserve"> </v>
      </c>
      <c r="G134" s="222"/>
      <c r="H134" s="222"/>
      <c r="I134" s="221" t="s">
        <v>35</v>
      </c>
      <c r="J134" s="257" t="str">
        <f>E26</f>
        <v xml:space="preserve"> </v>
      </c>
      <c r="K134" s="222"/>
      <c r="L134" s="245"/>
      <c r="S134" s="222"/>
      <c r="T134" s="222"/>
      <c r="U134" s="222"/>
      <c r="V134" s="222"/>
      <c r="W134" s="222"/>
      <c r="X134" s="222"/>
      <c r="Y134" s="222"/>
      <c r="Z134" s="222"/>
      <c r="AA134" s="222"/>
      <c r="AB134" s="222"/>
      <c r="AC134" s="222"/>
      <c r="AD134" s="222"/>
      <c r="AE134" s="222"/>
    </row>
    <row r="135" spans="1:31" s="225" customFormat="1" ht="10.35" customHeight="1">
      <c r="A135" s="222"/>
      <c r="B135" s="223"/>
      <c r="C135" s="222"/>
      <c r="D135" s="222"/>
      <c r="E135" s="222"/>
      <c r="F135" s="222"/>
      <c r="G135" s="222"/>
      <c r="H135" s="222"/>
      <c r="I135" s="222"/>
      <c r="J135" s="222"/>
      <c r="K135" s="222"/>
      <c r="L135" s="245"/>
      <c r="S135" s="222"/>
      <c r="T135" s="222"/>
      <c r="U135" s="222"/>
      <c r="V135" s="222"/>
      <c r="W135" s="222"/>
      <c r="X135" s="222"/>
      <c r="Y135" s="222"/>
      <c r="Z135" s="222"/>
      <c r="AA135" s="222"/>
      <c r="AB135" s="222"/>
      <c r="AC135" s="222"/>
      <c r="AD135" s="222"/>
      <c r="AE135" s="222"/>
    </row>
    <row r="136" spans="1:31" s="658" customFormat="1" ht="29.25" customHeight="1">
      <c r="A136" s="649"/>
      <c r="B136" s="650"/>
      <c r="C136" s="651" t="s">
        <v>132</v>
      </c>
      <c r="D136" s="652" t="s">
        <v>61</v>
      </c>
      <c r="E136" s="652" t="s">
        <v>58</v>
      </c>
      <c r="F136" s="652" t="s">
        <v>59</v>
      </c>
      <c r="G136" s="652" t="s">
        <v>133</v>
      </c>
      <c r="H136" s="652" t="s">
        <v>134</v>
      </c>
      <c r="I136" s="652" t="s">
        <v>135</v>
      </c>
      <c r="J136" s="652" t="s">
        <v>99</v>
      </c>
      <c r="K136" s="653" t="s">
        <v>136</v>
      </c>
      <c r="L136" s="654"/>
      <c r="M136" s="655" t="s">
        <v>1</v>
      </c>
      <c r="N136" s="656" t="s">
        <v>41</v>
      </c>
      <c r="O136" s="656" t="s">
        <v>137</v>
      </c>
      <c r="P136" s="656" t="s">
        <v>138</v>
      </c>
      <c r="Q136" s="656" t="s">
        <v>139</v>
      </c>
      <c r="R136" s="656" t="s">
        <v>140</v>
      </c>
      <c r="S136" s="656" t="s">
        <v>141</v>
      </c>
      <c r="T136" s="657" t="s">
        <v>142</v>
      </c>
      <c r="U136" s="649"/>
      <c r="V136" s="649"/>
      <c r="W136" s="649"/>
      <c r="X136" s="649"/>
      <c r="Y136" s="649"/>
      <c r="Z136" s="649"/>
      <c r="AA136" s="649"/>
      <c r="AB136" s="649"/>
      <c r="AC136" s="649"/>
      <c r="AD136" s="649"/>
      <c r="AE136" s="649"/>
    </row>
    <row r="137" spans="1:63" s="225" customFormat="1" ht="22.9" customHeight="1">
      <c r="A137" s="222"/>
      <c r="B137" s="223"/>
      <c r="C137" s="287"/>
      <c r="D137" s="222"/>
      <c r="E137" s="222"/>
      <c r="F137" s="222"/>
      <c r="G137" s="222"/>
      <c r="H137" s="222"/>
      <c r="I137" s="222"/>
      <c r="J137" s="288"/>
      <c r="K137" s="222"/>
      <c r="L137" s="223"/>
      <c r="M137" s="289"/>
      <c r="N137" s="290"/>
      <c r="O137" s="231"/>
      <c r="P137" s="291" t="e">
        <f>P138+P144+#REF!</f>
        <v>#REF!</v>
      </c>
      <c r="Q137" s="231"/>
      <c r="R137" s="291" t="e">
        <f>R138+R144+#REF!</f>
        <v>#REF!</v>
      </c>
      <c r="S137" s="231"/>
      <c r="T137" s="659" t="e">
        <f>T138+T144+#REF!</f>
        <v>#REF!</v>
      </c>
      <c r="U137" s="222"/>
      <c r="V137" s="222"/>
      <c r="W137" s="222"/>
      <c r="X137" s="222"/>
      <c r="Y137" s="222"/>
      <c r="Z137" s="222"/>
      <c r="AA137" s="222"/>
      <c r="AB137" s="222"/>
      <c r="AC137" s="222"/>
      <c r="AD137" s="222"/>
      <c r="AE137" s="222"/>
      <c r="AT137" s="214" t="s">
        <v>75</v>
      </c>
      <c r="AU137" s="214" t="s">
        <v>101</v>
      </c>
      <c r="BK137" s="296" t="e">
        <f>BK138+BK144+#REF!</f>
        <v>#REF!</v>
      </c>
    </row>
    <row r="138" spans="2:63" s="297" customFormat="1" ht="25.9" customHeight="1">
      <c r="B138" s="298"/>
      <c r="D138" s="299" t="s">
        <v>75</v>
      </c>
      <c r="E138" s="300" t="s">
        <v>1357</v>
      </c>
      <c r="F138" s="300" t="s">
        <v>1358</v>
      </c>
      <c r="J138" s="301">
        <f>SUM(J139:J143)</f>
        <v>0</v>
      </c>
      <c r="L138" s="298"/>
      <c r="M138" s="303"/>
      <c r="N138" s="304"/>
      <c r="O138" s="304"/>
      <c r="P138" s="305">
        <f>SUM(P139:P143)</f>
        <v>0</v>
      </c>
      <c r="Q138" s="304"/>
      <c r="R138" s="305">
        <f>SUM(R139:R143)</f>
        <v>0</v>
      </c>
      <c r="S138" s="304"/>
      <c r="T138" s="313">
        <f>SUM(T139:T143)</f>
        <v>0</v>
      </c>
      <c r="AR138" s="299" t="s">
        <v>81</v>
      </c>
      <c r="AT138" s="308" t="s">
        <v>75</v>
      </c>
      <c r="AU138" s="308" t="s">
        <v>76</v>
      </c>
      <c r="AY138" s="299" t="s">
        <v>146</v>
      </c>
      <c r="BK138" s="309">
        <f>SUM(BK139:BK143)</f>
        <v>0</v>
      </c>
    </row>
    <row r="139" spans="1:65" s="225" customFormat="1" ht="16.5" customHeight="1">
      <c r="A139" s="222"/>
      <c r="B139" s="223"/>
      <c r="C139" s="314" t="s">
        <v>81</v>
      </c>
      <c r="D139" s="314" t="s">
        <v>148</v>
      </c>
      <c r="E139" s="315" t="s">
        <v>1359</v>
      </c>
      <c r="F139" s="316" t="s">
        <v>1360</v>
      </c>
      <c r="G139" s="317" t="s">
        <v>1361</v>
      </c>
      <c r="H139" s="318">
        <v>1</v>
      </c>
      <c r="I139" s="79"/>
      <c r="J139" s="319">
        <f>ROUND(I139*H139,2)</f>
        <v>0</v>
      </c>
      <c r="K139" s="316" t="s">
        <v>1</v>
      </c>
      <c r="L139" s="223"/>
      <c r="M139" s="320" t="s">
        <v>1</v>
      </c>
      <c r="N139" s="321" t="s">
        <v>42</v>
      </c>
      <c r="O139" s="322">
        <v>0</v>
      </c>
      <c r="P139" s="322">
        <f>O139*H139</f>
        <v>0</v>
      </c>
      <c r="Q139" s="322">
        <v>0</v>
      </c>
      <c r="R139" s="322">
        <f>Q139*H139</f>
        <v>0</v>
      </c>
      <c r="S139" s="322">
        <v>0</v>
      </c>
      <c r="T139" s="323">
        <f>S139*H139</f>
        <v>0</v>
      </c>
      <c r="U139" s="222"/>
      <c r="V139" s="222"/>
      <c r="W139" s="222"/>
      <c r="X139" s="222"/>
      <c r="Y139" s="222"/>
      <c r="Z139" s="222"/>
      <c r="AA139" s="222"/>
      <c r="AB139" s="222"/>
      <c r="AC139" s="222"/>
      <c r="AD139" s="222"/>
      <c r="AE139" s="222"/>
      <c r="AR139" s="324" t="s">
        <v>153</v>
      </c>
      <c r="AT139" s="324" t="s">
        <v>148</v>
      </c>
      <c r="AU139" s="324" t="s">
        <v>81</v>
      </c>
      <c r="AY139" s="214" t="s">
        <v>146</v>
      </c>
      <c r="BE139" s="325">
        <f>IF(N139="základní",J139,0)</f>
        <v>0</v>
      </c>
      <c r="BF139" s="325">
        <f>IF(N139="snížená",J139,0)</f>
        <v>0</v>
      </c>
      <c r="BG139" s="325">
        <f>IF(N139="zákl. přenesená",J139,0)</f>
        <v>0</v>
      </c>
      <c r="BH139" s="325">
        <f>IF(N139="sníž. přenesená",J139,0)</f>
        <v>0</v>
      </c>
      <c r="BI139" s="325">
        <f>IF(N139="nulová",J139,0)</f>
        <v>0</v>
      </c>
      <c r="BJ139" s="214" t="s">
        <v>81</v>
      </c>
      <c r="BK139" s="325">
        <f>ROUND(I139*H139,2)</f>
        <v>0</v>
      </c>
      <c r="BL139" s="214" t="s">
        <v>153</v>
      </c>
      <c r="BM139" s="324" t="s">
        <v>1362</v>
      </c>
    </row>
    <row r="140" spans="1:65" s="225" customFormat="1" ht="16.5" customHeight="1">
      <c r="A140" s="222"/>
      <c r="B140" s="223"/>
      <c r="C140" s="314" t="s">
        <v>83</v>
      </c>
      <c r="D140" s="314" t="s">
        <v>148</v>
      </c>
      <c r="E140" s="315" t="s">
        <v>1363</v>
      </c>
      <c r="F140" s="316" t="s">
        <v>1364</v>
      </c>
      <c r="G140" s="317" t="s">
        <v>1361</v>
      </c>
      <c r="H140" s="318">
        <v>1</v>
      </c>
      <c r="I140" s="79"/>
      <c r="J140" s="319">
        <f>ROUND(I140*H140,2)</f>
        <v>0</v>
      </c>
      <c r="K140" s="316" t="s">
        <v>1</v>
      </c>
      <c r="L140" s="223"/>
      <c r="M140" s="320" t="s">
        <v>1</v>
      </c>
      <c r="N140" s="321" t="s">
        <v>42</v>
      </c>
      <c r="O140" s="322">
        <v>0</v>
      </c>
      <c r="P140" s="322">
        <f>O140*H140</f>
        <v>0</v>
      </c>
      <c r="Q140" s="322">
        <v>0</v>
      </c>
      <c r="R140" s="322">
        <f>Q140*H140</f>
        <v>0</v>
      </c>
      <c r="S140" s="322">
        <v>0</v>
      </c>
      <c r="T140" s="323">
        <f>S140*H140</f>
        <v>0</v>
      </c>
      <c r="U140" s="222"/>
      <c r="V140" s="222"/>
      <c r="W140" s="222"/>
      <c r="X140" s="222"/>
      <c r="Y140" s="222"/>
      <c r="Z140" s="222"/>
      <c r="AA140" s="222"/>
      <c r="AB140" s="222"/>
      <c r="AC140" s="222"/>
      <c r="AD140" s="222"/>
      <c r="AE140" s="222"/>
      <c r="AR140" s="324" t="s">
        <v>153</v>
      </c>
      <c r="AT140" s="324" t="s">
        <v>148</v>
      </c>
      <c r="AU140" s="324" t="s">
        <v>81</v>
      </c>
      <c r="AY140" s="214" t="s">
        <v>146</v>
      </c>
      <c r="BE140" s="325">
        <f>IF(N140="základní",J140,0)</f>
        <v>0</v>
      </c>
      <c r="BF140" s="325">
        <f>IF(N140="snížená",J140,0)</f>
        <v>0</v>
      </c>
      <c r="BG140" s="325">
        <f>IF(N140="zákl. přenesená",J140,0)</f>
        <v>0</v>
      </c>
      <c r="BH140" s="325">
        <f>IF(N140="sníž. přenesená",J140,0)</f>
        <v>0</v>
      </c>
      <c r="BI140" s="325">
        <f>IF(N140="nulová",J140,0)</f>
        <v>0</v>
      </c>
      <c r="BJ140" s="214" t="s">
        <v>81</v>
      </c>
      <c r="BK140" s="325">
        <f>ROUND(I140*H140,2)</f>
        <v>0</v>
      </c>
      <c r="BL140" s="214" t="s">
        <v>153</v>
      </c>
      <c r="BM140" s="324" t="s">
        <v>1365</v>
      </c>
    </row>
    <row r="141" spans="1:65" s="225" customFormat="1" ht="16.5" customHeight="1">
      <c r="A141" s="222"/>
      <c r="B141" s="223"/>
      <c r="C141" s="314" t="s">
        <v>159</v>
      </c>
      <c r="D141" s="314" t="s">
        <v>148</v>
      </c>
      <c r="E141" s="315" t="s">
        <v>1366</v>
      </c>
      <c r="F141" s="316" t="s">
        <v>1367</v>
      </c>
      <c r="G141" s="317" t="s">
        <v>1361</v>
      </c>
      <c r="H141" s="318">
        <v>1</v>
      </c>
      <c r="I141" s="79"/>
      <c r="J141" s="319">
        <f>ROUND(I141*H141,2)</f>
        <v>0</v>
      </c>
      <c r="K141" s="316" t="s">
        <v>1</v>
      </c>
      <c r="L141" s="223"/>
      <c r="M141" s="320" t="s">
        <v>1</v>
      </c>
      <c r="N141" s="321" t="s">
        <v>42</v>
      </c>
      <c r="O141" s="322">
        <v>0</v>
      </c>
      <c r="P141" s="322">
        <f>O141*H141</f>
        <v>0</v>
      </c>
      <c r="Q141" s="322">
        <v>0</v>
      </c>
      <c r="R141" s="322">
        <f>Q141*H141</f>
        <v>0</v>
      </c>
      <c r="S141" s="322">
        <v>0</v>
      </c>
      <c r="T141" s="323">
        <f>S141*H141</f>
        <v>0</v>
      </c>
      <c r="U141" s="222"/>
      <c r="V141" s="222"/>
      <c r="W141" s="222"/>
      <c r="X141" s="222"/>
      <c r="Y141" s="222"/>
      <c r="Z141" s="222"/>
      <c r="AA141" s="222"/>
      <c r="AB141" s="222"/>
      <c r="AC141" s="222"/>
      <c r="AD141" s="222"/>
      <c r="AE141" s="222"/>
      <c r="AR141" s="324" t="s">
        <v>153</v>
      </c>
      <c r="AT141" s="324" t="s">
        <v>148</v>
      </c>
      <c r="AU141" s="324" t="s">
        <v>81</v>
      </c>
      <c r="AY141" s="214" t="s">
        <v>146</v>
      </c>
      <c r="BE141" s="325">
        <f>IF(N141="základní",J141,0)</f>
        <v>0</v>
      </c>
      <c r="BF141" s="325">
        <f>IF(N141="snížená",J141,0)</f>
        <v>0</v>
      </c>
      <c r="BG141" s="325">
        <f>IF(N141="zákl. přenesená",J141,0)</f>
        <v>0</v>
      </c>
      <c r="BH141" s="325">
        <f>IF(N141="sníž. přenesená",J141,0)</f>
        <v>0</v>
      </c>
      <c r="BI141" s="325">
        <f>IF(N141="nulová",J141,0)</f>
        <v>0</v>
      </c>
      <c r="BJ141" s="214" t="s">
        <v>81</v>
      </c>
      <c r="BK141" s="325">
        <f>ROUND(I141*H141,2)</f>
        <v>0</v>
      </c>
      <c r="BL141" s="214" t="s">
        <v>153</v>
      </c>
      <c r="BM141" s="324" t="s">
        <v>1368</v>
      </c>
    </row>
    <row r="142" spans="1:65" s="225" customFormat="1" ht="16.5" customHeight="1">
      <c r="A142" s="222"/>
      <c r="B142" s="223"/>
      <c r="C142" s="314" t="s">
        <v>153</v>
      </c>
      <c r="D142" s="314" t="s">
        <v>148</v>
      </c>
      <c r="E142" s="315" t="s">
        <v>1369</v>
      </c>
      <c r="F142" s="316" t="s">
        <v>1370</v>
      </c>
      <c r="G142" s="317" t="s">
        <v>1361</v>
      </c>
      <c r="H142" s="318">
        <v>1</v>
      </c>
      <c r="I142" s="79"/>
      <c r="J142" s="319">
        <f>ROUND(I142*H142,2)</f>
        <v>0</v>
      </c>
      <c r="K142" s="316" t="s">
        <v>1</v>
      </c>
      <c r="L142" s="223"/>
      <c r="M142" s="320" t="s">
        <v>1</v>
      </c>
      <c r="N142" s="321" t="s">
        <v>42</v>
      </c>
      <c r="O142" s="322">
        <v>0</v>
      </c>
      <c r="P142" s="322">
        <f>O142*H142</f>
        <v>0</v>
      </c>
      <c r="Q142" s="322">
        <v>0</v>
      </c>
      <c r="R142" s="322">
        <f>Q142*H142</f>
        <v>0</v>
      </c>
      <c r="S142" s="322">
        <v>0</v>
      </c>
      <c r="T142" s="323">
        <f>S142*H142</f>
        <v>0</v>
      </c>
      <c r="U142" s="222"/>
      <c r="V142" s="222"/>
      <c r="W142" s="222"/>
      <c r="X142" s="222"/>
      <c r="Y142" s="222"/>
      <c r="Z142" s="222"/>
      <c r="AA142" s="222"/>
      <c r="AB142" s="222"/>
      <c r="AC142" s="222"/>
      <c r="AD142" s="222"/>
      <c r="AE142" s="222"/>
      <c r="AR142" s="324" t="s">
        <v>153</v>
      </c>
      <c r="AT142" s="324" t="s">
        <v>148</v>
      </c>
      <c r="AU142" s="324" t="s">
        <v>81</v>
      </c>
      <c r="AY142" s="214" t="s">
        <v>146</v>
      </c>
      <c r="BE142" s="325">
        <f>IF(N142="základní",J142,0)</f>
        <v>0</v>
      </c>
      <c r="BF142" s="325">
        <f>IF(N142="snížená",J142,0)</f>
        <v>0</v>
      </c>
      <c r="BG142" s="325">
        <f>IF(N142="zákl. přenesená",J142,0)</f>
        <v>0</v>
      </c>
      <c r="BH142" s="325">
        <f>IF(N142="sníž. přenesená",J142,0)</f>
        <v>0</v>
      </c>
      <c r="BI142" s="325">
        <f>IF(N142="nulová",J142,0)</f>
        <v>0</v>
      </c>
      <c r="BJ142" s="214" t="s">
        <v>81</v>
      </c>
      <c r="BK142" s="325">
        <f>ROUND(I142*H142,2)</f>
        <v>0</v>
      </c>
      <c r="BL142" s="214" t="s">
        <v>153</v>
      </c>
      <c r="BM142" s="324" t="s">
        <v>1371</v>
      </c>
    </row>
    <row r="143" spans="1:65" s="225" customFormat="1" ht="16.5" customHeight="1">
      <c r="A143" s="222"/>
      <c r="B143" s="223"/>
      <c r="C143" s="314" t="s">
        <v>177</v>
      </c>
      <c r="D143" s="314" t="s">
        <v>148</v>
      </c>
      <c r="E143" s="315" t="s">
        <v>1372</v>
      </c>
      <c r="F143" s="316" t="s">
        <v>1373</v>
      </c>
      <c r="G143" s="317" t="s">
        <v>1361</v>
      </c>
      <c r="H143" s="318">
        <v>1</v>
      </c>
      <c r="I143" s="79"/>
      <c r="J143" s="319">
        <f>ROUND(I143*H143,2)</f>
        <v>0</v>
      </c>
      <c r="K143" s="316" t="s">
        <v>1</v>
      </c>
      <c r="L143" s="223"/>
      <c r="M143" s="320" t="s">
        <v>1</v>
      </c>
      <c r="N143" s="321" t="s">
        <v>42</v>
      </c>
      <c r="O143" s="322">
        <v>0</v>
      </c>
      <c r="P143" s="322">
        <f>O143*H143</f>
        <v>0</v>
      </c>
      <c r="Q143" s="322">
        <v>0</v>
      </c>
      <c r="R143" s="322">
        <f>Q143*H143</f>
        <v>0</v>
      </c>
      <c r="S143" s="322">
        <v>0</v>
      </c>
      <c r="T143" s="323">
        <f>S143*H143</f>
        <v>0</v>
      </c>
      <c r="U143" s="222"/>
      <c r="V143" s="222"/>
      <c r="W143" s="222"/>
      <c r="X143" s="222"/>
      <c r="Y143" s="222"/>
      <c r="Z143" s="222"/>
      <c r="AA143" s="222"/>
      <c r="AB143" s="222"/>
      <c r="AC143" s="222"/>
      <c r="AD143" s="222"/>
      <c r="AE143" s="222"/>
      <c r="AR143" s="324" t="s">
        <v>153</v>
      </c>
      <c r="AT143" s="324" t="s">
        <v>148</v>
      </c>
      <c r="AU143" s="324" t="s">
        <v>81</v>
      </c>
      <c r="AY143" s="214" t="s">
        <v>146</v>
      </c>
      <c r="BE143" s="325">
        <f>IF(N143="základní",J143,0)</f>
        <v>0</v>
      </c>
      <c r="BF143" s="325">
        <f>IF(N143="snížená",J143,0)</f>
        <v>0</v>
      </c>
      <c r="BG143" s="325">
        <f>IF(N143="zákl. přenesená",J143,0)</f>
        <v>0</v>
      </c>
      <c r="BH143" s="325">
        <f>IF(N143="sníž. přenesená",J143,0)</f>
        <v>0</v>
      </c>
      <c r="BI143" s="325">
        <f>IF(N143="nulová",J143,0)</f>
        <v>0</v>
      </c>
      <c r="BJ143" s="214" t="s">
        <v>81</v>
      </c>
      <c r="BK143" s="325">
        <f>ROUND(I143*H143,2)</f>
        <v>0</v>
      </c>
      <c r="BL143" s="214" t="s">
        <v>153</v>
      </c>
      <c r="BM143" s="324" t="s">
        <v>1374</v>
      </c>
    </row>
    <row r="144" spans="2:63" s="297" customFormat="1" ht="25.9" customHeight="1">
      <c r="B144" s="298"/>
      <c r="D144" s="299" t="s">
        <v>75</v>
      </c>
      <c r="E144" s="300" t="s">
        <v>1375</v>
      </c>
      <c r="F144" s="300" t="s">
        <v>1376</v>
      </c>
      <c r="I144" s="501"/>
      <c r="J144" s="301"/>
      <c r="L144" s="298"/>
      <c r="M144" s="303"/>
      <c r="N144" s="304"/>
      <c r="O144" s="304"/>
      <c r="P144" s="305">
        <f>P145+P156+P165+P177+P181+P206+P211</f>
        <v>0</v>
      </c>
      <c r="Q144" s="304"/>
      <c r="R144" s="305">
        <f>R145+R156+R165+R177+R181+R206+R211</f>
        <v>0</v>
      </c>
      <c r="S144" s="304"/>
      <c r="T144" s="313">
        <f>T145+T156+T165+T177+T181+T206+T211</f>
        <v>0</v>
      </c>
      <c r="AR144" s="299" t="s">
        <v>81</v>
      </c>
      <c r="AT144" s="308" t="s">
        <v>75</v>
      </c>
      <c r="AU144" s="308" t="s">
        <v>76</v>
      </c>
      <c r="AY144" s="299" t="s">
        <v>146</v>
      </c>
      <c r="BK144" s="309">
        <f>BK145+BK156+BK165+BK177+BK181+BK206+BK211</f>
        <v>0</v>
      </c>
    </row>
    <row r="145" spans="2:63" s="297" customFormat="1" ht="22.9" customHeight="1">
      <c r="B145" s="298"/>
      <c r="D145" s="299" t="s">
        <v>75</v>
      </c>
      <c r="E145" s="660" t="s">
        <v>1377</v>
      </c>
      <c r="F145" s="660" t="s">
        <v>1378</v>
      </c>
      <c r="I145" s="501"/>
      <c r="J145" s="311">
        <f>SUM(J146:J155)</f>
        <v>0</v>
      </c>
      <c r="L145" s="298"/>
      <c r="M145" s="303"/>
      <c r="N145" s="304"/>
      <c r="O145" s="304"/>
      <c r="P145" s="305">
        <f>SUM(P146:P155)</f>
        <v>0</v>
      </c>
      <c r="Q145" s="304"/>
      <c r="R145" s="305">
        <f>SUM(R146:R155)</f>
        <v>0</v>
      </c>
      <c r="S145" s="304"/>
      <c r="T145" s="313">
        <f>SUM(T146:T155)</f>
        <v>0</v>
      </c>
      <c r="AR145" s="299" t="s">
        <v>81</v>
      </c>
      <c r="AT145" s="308" t="s">
        <v>75</v>
      </c>
      <c r="AU145" s="308" t="s">
        <v>81</v>
      </c>
      <c r="AY145" s="299" t="s">
        <v>146</v>
      </c>
      <c r="BK145" s="309">
        <f>SUM(BK146:BK155)</f>
        <v>0</v>
      </c>
    </row>
    <row r="146" spans="1:65" s="225" customFormat="1" ht="16.5" customHeight="1">
      <c r="A146" s="222"/>
      <c r="B146" s="223"/>
      <c r="C146" s="314" t="s">
        <v>181</v>
      </c>
      <c r="D146" s="314" t="s">
        <v>148</v>
      </c>
      <c r="E146" s="315" t="s">
        <v>1379</v>
      </c>
      <c r="F146" s="316" t="s">
        <v>1380</v>
      </c>
      <c r="G146" s="317" t="s">
        <v>158</v>
      </c>
      <c r="H146" s="318">
        <v>14</v>
      </c>
      <c r="I146" s="79"/>
      <c r="J146" s="319">
        <f aca="true" t="shared" si="0" ref="J146:J155">ROUND(I146*H146,2)</f>
        <v>0</v>
      </c>
      <c r="K146" s="316" t="s">
        <v>1</v>
      </c>
      <c r="L146" s="223"/>
      <c r="M146" s="320" t="s">
        <v>1</v>
      </c>
      <c r="N146" s="321" t="s">
        <v>42</v>
      </c>
      <c r="O146" s="322">
        <v>0</v>
      </c>
      <c r="P146" s="322">
        <f aca="true" t="shared" si="1" ref="P146:P155">O146*H146</f>
        <v>0</v>
      </c>
      <c r="Q146" s="322">
        <v>0</v>
      </c>
      <c r="R146" s="322">
        <f aca="true" t="shared" si="2" ref="R146:R155">Q146*H146</f>
        <v>0</v>
      </c>
      <c r="S146" s="322">
        <v>0</v>
      </c>
      <c r="T146" s="323">
        <f aca="true" t="shared" si="3" ref="T146:T155">S146*H146</f>
        <v>0</v>
      </c>
      <c r="U146" s="222"/>
      <c r="V146" s="222"/>
      <c r="W146" s="222"/>
      <c r="X146" s="222"/>
      <c r="Y146" s="222"/>
      <c r="Z146" s="222"/>
      <c r="AA146" s="222"/>
      <c r="AB146" s="222"/>
      <c r="AC146" s="222"/>
      <c r="AD146" s="222"/>
      <c r="AE146" s="222"/>
      <c r="AR146" s="324" t="s">
        <v>153</v>
      </c>
      <c r="AT146" s="324" t="s">
        <v>148</v>
      </c>
      <c r="AU146" s="324" t="s">
        <v>83</v>
      </c>
      <c r="AY146" s="214" t="s">
        <v>146</v>
      </c>
      <c r="BE146" s="325">
        <f aca="true" t="shared" si="4" ref="BE146:BE155">IF(N146="základní",J146,0)</f>
        <v>0</v>
      </c>
      <c r="BF146" s="325">
        <f aca="true" t="shared" si="5" ref="BF146:BF155">IF(N146="snížená",J146,0)</f>
        <v>0</v>
      </c>
      <c r="BG146" s="325">
        <f aca="true" t="shared" si="6" ref="BG146:BG155">IF(N146="zákl. přenesená",J146,0)</f>
        <v>0</v>
      </c>
      <c r="BH146" s="325">
        <f aca="true" t="shared" si="7" ref="BH146:BH155">IF(N146="sníž. přenesená",J146,0)</f>
        <v>0</v>
      </c>
      <c r="BI146" s="325">
        <f aca="true" t="shared" si="8" ref="BI146:BI155">IF(N146="nulová",J146,0)</f>
        <v>0</v>
      </c>
      <c r="BJ146" s="214" t="s">
        <v>81</v>
      </c>
      <c r="BK146" s="325">
        <f aca="true" t="shared" si="9" ref="BK146:BK155">ROUND(I146*H146,2)</f>
        <v>0</v>
      </c>
      <c r="BL146" s="214" t="s">
        <v>153</v>
      </c>
      <c r="BM146" s="324" t="s">
        <v>1381</v>
      </c>
    </row>
    <row r="147" spans="1:65" s="225" customFormat="1" ht="16.5" customHeight="1">
      <c r="A147" s="222"/>
      <c r="B147" s="223"/>
      <c r="C147" s="314" t="s">
        <v>185</v>
      </c>
      <c r="D147" s="314" t="s">
        <v>148</v>
      </c>
      <c r="E147" s="315" t="s">
        <v>1382</v>
      </c>
      <c r="F147" s="316" t="s">
        <v>1383</v>
      </c>
      <c r="G147" s="317" t="s">
        <v>158</v>
      </c>
      <c r="H147" s="318">
        <v>38</v>
      </c>
      <c r="I147" s="79"/>
      <c r="J147" s="319">
        <f t="shared" si="0"/>
        <v>0</v>
      </c>
      <c r="K147" s="316" t="s">
        <v>1</v>
      </c>
      <c r="L147" s="223"/>
      <c r="M147" s="320" t="s">
        <v>1</v>
      </c>
      <c r="N147" s="321" t="s">
        <v>42</v>
      </c>
      <c r="O147" s="322">
        <v>0</v>
      </c>
      <c r="P147" s="322">
        <f t="shared" si="1"/>
        <v>0</v>
      </c>
      <c r="Q147" s="322">
        <v>0</v>
      </c>
      <c r="R147" s="322">
        <f t="shared" si="2"/>
        <v>0</v>
      </c>
      <c r="S147" s="322">
        <v>0</v>
      </c>
      <c r="T147" s="323">
        <f t="shared" si="3"/>
        <v>0</v>
      </c>
      <c r="U147" s="222"/>
      <c r="V147" s="222"/>
      <c r="W147" s="222"/>
      <c r="X147" s="222"/>
      <c r="Y147" s="222"/>
      <c r="Z147" s="222"/>
      <c r="AA147" s="222"/>
      <c r="AB147" s="222"/>
      <c r="AC147" s="222"/>
      <c r="AD147" s="222"/>
      <c r="AE147" s="222"/>
      <c r="AR147" s="324" t="s">
        <v>153</v>
      </c>
      <c r="AT147" s="324" t="s">
        <v>148</v>
      </c>
      <c r="AU147" s="324" t="s">
        <v>83</v>
      </c>
      <c r="AY147" s="214" t="s">
        <v>146</v>
      </c>
      <c r="BE147" s="325">
        <f t="shared" si="4"/>
        <v>0</v>
      </c>
      <c r="BF147" s="325">
        <f t="shared" si="5"/>
        <v>0</v>
      </c>
      <c r="BG147" s="325">
        <f t="shared" si="6"/>
        <v>0</v>
      </c>
      <c r="BH147" s="325">
        <f t="shared" si="7"/>
        <v>0</v>
      </c>
      <c r="BI147" s="325">
        <f t="shared" si="8"/>
        <v>0</v>
      </c>
      <c r="BJ147" s="214" t="s">
        <v>81</v>
      </c>
      <c r="BK147" s="325">
        <f t="shared" si="9"/>
        <v>0</v>
      </c>
      <c r="BL147" s="214" t="s">
        <v>153</v>
      </c>
      <c r="BM147" s="324" t="s">
        <v>1384</v>
      </c>
    </row>
    <row r="148" spans="1:65" s="225" customFormat="1" ht="16.5" customHeight="1">
      <c r="A148" s="222"/>
      <c r="B148" s="223"/>
      <c r="C148" s="314" t="s">
        <v>189</v>
      </c>
      <c r="D148" s="314" t="s">
        <v>148</v>
      </c>
      <c r="E148" s="315" t="s">
        <v>1385</v>
      </c>
      <c r="F148" s="316" t="s">
        <v>1386</v>
      </c>
      <c r="G148" s="317" t="s">
        <v>158</v>
      </c>
      <c r="H148" s="318">
        <v>34</v>
      </c>
      <c r="I148" s="79"/>
      <c r="J148" s="319">
        <f t="shared" si="0"/>
        <v>0</v>
      </c>
      <c r="K148" s="316" t="s">
        <v>1</v>
      </c>
      <c r="L148" s="223"/>
      <c r="M148" s="320" t="s">
        <v>1</v>
      </c>
      <c r="N148" s="321" t="s">
        <v>42</v>
      </c>
      <c r="O148" s="322">
        <v>0</v>
      </c>
      <c r="P148" s="322">
        <f t="shared" si="1"/>
        <v>0</v>
      </c>
      <c r="Q148" s="322">
        <v>0</v>
      </c>
      <c r="R148" s="322">
        <f t="shared" si="2"/>
        <v>0</v>
      </c>
      <c r="S148" s="322">
        <v>0</v>
      </c>
      <c r="T148" s="323">
        <f t="shared" si="3"/>
        <v>0</v>
      </c>
      <c r="U148" s="222"/>
      <c r="V148" s="222"/>
      <c r="W148" s="222"/>
      <c r="X148" s="222"/>
      <c r="Y148" s="222"/>
      <c r="Z148" s="222"/>
      <c r="AA148" s="222"/>
      <c r="AB148" s="222"/>
      <c r="AC148" s="222"/>
      <c r="AD148" s="222"/>
      <c r="AE148" s="222"/>
      <c r="AR148" s="324" t="s">
        <v>153</v>
      </c>
      <c r="AT148" s="324" t="s">
        <v>148</v>
      </c>
      <c r="AU148" s="324" t="s">
        <v>83</v>
      </c>
      <c r="AY148" s="214" t="s">
        <v>146</v>
      </c>
      <c r="BE148" s="325">
        <f t="shared" si="4"/>
        <v>0</v>
      </c>
      <c r="BF148" s="325">
        <f t="shared" si="5"/>
        <v>0</v>
      </c>
      <c r="BG148" s="325">
        <f t="shared" si="6"/>
        <v>0</v>
      </c>
      <c r="BH148" s="325">
        <f t="shared" si="7"/>
        <v>0</v>
      </c>
      <c r="BI148" s="325">
        <f t="shared" si="8"/>
        <v>0</v>
      </c>
      <c r="BJ148" s="214" t="s">
        <v>81</v>
      </c>
      <c r="BK148" s="325">
        <f t="shared" si="9"/>
        <v>0</v>
      </c>
      <c r="BL148" s="214" t="s">
        <v>153</v>
      </c>
      <c r="BM148" s="324" t="s">
        <v>1387</v>
      </c>
    </row>
    <row r="149" spans="1:65" s="225" customFormat="1" ht="16.5" customHeight="1">
      <c r="A149" s="222"/>
      <c r="B149" s="223"/>
      <c r="C149" s="314" t="s">
        <v>191</v>
      </c>
      <c r="D149" s="314" t="s">
        <v>148</v>
      </c>
      <c r="E149" s="315" t="s">
        <v>1388</v>
      </c>
      <c r="F149" s="316" t="s">
        <v>1389</v>
      </c>
      <c r="G149" s="317" t="s">
        <v>158</v>
      </c>
      <c r="H149" s="318">
        <v>230</v>
      </c>
      <c r="I149" s="79"/>
      <c r="J149" s="319">
        <f t="shared" si="0"/>
        <v>0</v>
      </c>
      <c r="K149" s="316" t="s">
        <v>1</v>
      </c>
      <c r="L149" s="223"/>
      <c r="M149" s="320" t="s">
        <v>1</v>
      </c>
      <c r="N149" s="321" t="s">
        <v>42</v>
      </c>
      <c r="O149" s="322">
        <v>0</v>
      </c>
      <c r="P149" s="322">
        <f t="shared" si="1"/>
        <v>0</v>
      </c>
      <c r="Q149" s="322">
        <v>0</v>
      </c>
      <c r="R149" s="322">
        <f t="shared" si="2"/>
        <v>0</v>
      </c>
      <c r="S149" s="322">
        <v>0</v>
      </c>
      <c r="T149" s="323">
        <f t="shared" si="3"/>
        <v>0</v>
      </c>
      <c r="U149" s="222"/>
      <c r="V149" s="222"/>
      <c r="W149" s="222"/>
      <c r="X149" s="222"/>
      <c r="Y149" s="222"/>
      <c r="Z149" s="222"/>
      <c r="AA149" s="222"/>
      <c r="AB149" s="222"/>
      <c r="AC149" s="222"/>
      <c r="AD149" s="222"/>
      <c r="AE149" s="222"/>
      <c r="AR149" s="324" t="s">
        <v>153</v>
      </c>
      <c r="AT149" s="324" t="s">
        <v>148</v>
      </c>
      <c r="AU149" s="324" t="s">
        <v>83</v>
      </c>
      <c r="AY149" s="214" t="s">
        <v>146</v>
      </c>
      <c r="BE149" s="325">
        <f t="shared" si="4"/>
        <v>0</v>
      </c>
      <c r="BF149" s="325">
        <f t="shared" si="5"/>
        <v>0</v>
      </c>
      <c r="BG149" s="325">
        <f t="shared" si="6"/>
        <v>0</v>
      </c>
      <c r="BH149" s="325">
        <f t="shared" si="7"/>
        <v>0</v>
      </c>
      <c r="BI149" s="325">
        <f t="shared" si="8"/>
        <v>0</v>
      </c>
      <c r="BJ149" s="214" t="s">
        <v>81</v>
      </c>
      <c r="BK149" s="325">
        <f t="shared" si="9"/>
        <v>0</v>
      </c>
      <c r="BL149" s="214" t="s">
        <v>153</v>
      </c>
      <c r="BM149" s="324" t="s">
        <v>1390</v>
      </c>
    </row>
    <row r="150" spans="1:65" s="225" customFormat="1" ht="16.5" customHeight="1">
      <c r="A150" s="222"/>
      <c r="B150" s="223"/>
      <c r="C150" s="314" t="s">
        <v>196</v>
      </c>
      <c r="D150" s="314" t="s">
        <v>148</v>
      </c>
      <c r="E150" s="315" t="s">
        <v>1391</v>
      </c>
      <c r="F150" s="316" t="s">
        <v>1392</v>
      </c>
      <c r="G150" s="317" t="s">
        <v>158</v>
      </c>
      <c r="H150" s="318">
        <v>98</v>
      </c>
      <c r="I150" s="79"/>
      <c r="J150" s="319">
        <f t="shared" si="0"/>
        <v>0</v>
      </c>
      <c r="K150" s="316" t="s">
        <v>1</v>
      </c>
      <c r="L150" s="223"/>
      <c r="M150" s="320" t="s">
        <v>1</v>
      </c>
      <c r="N150" s="321" t="s">
        <v>42</v>
      </c>
      <c r="O150" s="322">
        <v>0</v>
      </c>
      <c r="P150" s="322">
        <f t="shared" si="1"/>
        <v>0</v>
      </c>
      <c r="Q150" s="322">
        <v>0</v>
      </c>
      <c r="R150" s="322">
        <f t="shared" si="2"/>
        <v>0</v>
      </c>
      <c r="S150" s="322">
        <v>0</v>
      </c>
      <c r="T150" s="323">
        <f t="shared" si="3"/>
        <v>0</v>
      </c>
      <c r="U150" s="222"/>
      <c r="V150" s="222"/>
      <c r="W150" s="222"/>
      <c r="X150" s="222"/>
      <c r="Y150" s="222"/>
      <c r="Z150" s="222"/>
      <c r="AA150" s="222"/>
      <c r="AB150" s="222"/>
      <c r="AC150" s="222"/>
      <c r="AD150" s="222"/>
      <c r="AE150" s="222"/>
      <c r="AR150" s="324" t="s">
        <v>153</v>
      </c>
      <c r="AT150" s="324" t="s">
        <v>148</v>
      </c>
      <c r="AU150" s="324" t="s">
        <v>83</v>
      </c>
      <c r="AY150" s="214" t="s">
        <v>146</v>
      </c>
      <c r="BE150" s="325">
        <f t="shared" si="4"/>
        <v>0</v>
      </c>
      <c r="BF150" s="325">
        <f t="shared" si="5"/>
        <v>0</v>
      </c>
      <c r="BG150" s="325">
        <f t="shared" si="6"/>
        <v>0</v>
      </c>
      <c r="BH150" s="325">
        <f t="shared" si="7"/>
        <v>0</v>
      </c>
      <c r="BI150" s="325">
        <f t="shared" si="8"/>
        <v>0</v>
      </c>
      <c r="BJ150" s="214" t="s">
        <v>81</v>
      </c>
      <c r="BK150" s="325">
        <f t="shared" si="9"/>
        <v>0</v>
      </c>
      <c r="BL150" s="214" t="s">
        <v>153</v>
      </c>
      <c r="BM150" s="324" t="s">
        <v>1393</v>
      </c>
    </row>
    <row r="151" spans="1:65" s="225" customFormat="1" ht="16.5" customHeight="1">
      <c r="A151" s="222"/>
      <c r="B151" s="223"/>
      <c r="C151" s="314" t="s">
        <v>199</v>
      </c>
      <c r="D151" s="314" t="s">
        <v>148</v>
      </c>
      <c r="E151" s="315" t="s">
        <v>1394</v>
      </c>
      <c r="F151" s="316" t="s">
        <v>1395</v>
      </c>
      <c r="G151" s="317" t="s">
        <v>158</v>
      </c>
      <c r="H151" s="318">
        <v>342</v>
      </c>
      <c r="I151" s="79"/>
      <c r="J151" s="319">
        <f t="shared" si="0"/>
        <v>0</v>
      </c>
      <c r="K151" s="316" t="s">
        <v>1</v>
      </c>
      <c r="L151" s="223"/>
      <c r="M151" s="320" t="s">
        <v>1</v>
      </c>
      <c r="N151" s="321" t="s">
        <v>42</v>
      </c>
      <c r="O151" s="322">
        <v>0</v>
      </c>
      <c r="P151" s="322">
        <f t="shared" si="1"/>
        <v>0</v>
      </c>
      <c r="Q151" s="322">
        <v>0</v>
      </c>
      <c r="R151" s="322">
        <f t="shared" si="2"/>
        <v>0</v>
      </c>
      <c r="S151" s="322">
        <v>0</v>
      </c>
      <c r="T151" s="323">
        <f t="shared" si="3"/>
        <v>0</v>
      </c>
      <c r="U151" s="222"/>
      <c r="V151" s="222"/>
      <c r="W151" s="222"/>
      <c r="X151" s="222"/>
      <c r="Y151" s="222"/>
      <c r="Z151" s="222"/>
      <c r="AA151" s="222"/>
      <c r="AB151" s="222"/>
      <c r="AC151" s="222"/>
      <c r="AD151" s="222"/>
      <c r="AE151" s="222"/>
      <c r="AR151" s="324" t="s">
        <v>153</v>
      </c>
      <c r="AT151" s="324" t="s">
        <v>148</v>
      </c>
      <c r="AU151" s="324" t="s">
        <v>83</v>
      </c>
      <c r="AY151" s="214" t="s">
        <v>146</v>
      </c>
      <c r="BE151" s="325">
        <f t="shared" si="4"/>
        <v>0</v>
      </c>
      <c r="BF151" s="325">
        <f t="shared" si="5"/>
        <v>0</v>
      </c>
      <c r="BG151" s="325">
        <f t="shared" si="6"/>
        <v>0</v>
      </c>
      <c r="BH151" s="325">
        <f t="shared" si="7"/>
        <v>0</v>
      </c>
      <c r="BI151" s="325">
        <f t="shared" si="8"/>
        <v>0</v>
      </c>
      <c r="BJ151" s="214" t="s">
        <v>81</v>
      </c>
      <c r="BK151" s="325">
        <f t="shared" si="9"/>
        <v>0</v>
      </c>
      <c r="BL151" s="214" t="s">
        <v>153</v>
      </c>
      <c r="BM151" s="324" t="s">
        <v>1396</v>
      </c>
    </row>
    <row r="152" spans="1:65" s="225" customFormat="1" ht="16.5" customHeight="1">
      <c r="A152" s="222"/>
      <c r="B152" s="223"/>
      <c r="C152" s="314" t="s">
        <v>203</v>
      </c>
      <c r="D152" s="314" t="s">
        <v>148</v>
      </c>
      <c r="E152" s="315" t="s">
        <v>1397</v>
      </c>
      <c r="F152" s="316" t="s">
        <v>1398</v>
      </c>
      <c r="G152" s="317" t="s">
        <v>158</v>
      </c>
      <c r="H152" s="318">
        <v>240</v>
      </c>
      <c r="I152" s="79"/>
      <c r="J152" s="319">
        <f t="shared" si="0"/>
        <v>0</v>
      </c>
      <c r="K152" s="316" t="s">
        <v>1</v>
      </c>
      <c r="L152" s="223"/>
      <c r="M152" s="320" t="s">
        <v>1</v>
      </c>
      <c r="N152" s="321" t="s">
        <v>42</v>
      </c>
      <c r="O152" s="322">
        <v>0</v>
      </c>
      <c r="P152" s="322">
        <f t="shared" si="1"/>
        <v>0</v>
      </c>
      <c r="Q152" s="322">
        <v>0</v>
      </c>
      <c r="R152" s="322">
        <f t="shared" si="2"/>
        <v>0</v>
      </c>
      <c r="S152" s="322">
        <v>0</v>
      </c>
      <c r="T152" s="323">
        <f t="shared" si="3"/>
        <v>0</v>
      </c>
      <c r="U152" s="222"/>
      <c r="V152" s="222"/>
      <c r="W152" s="222"/>
      <c r="X152" s="222"/>
      <c r="Y152" s="222"/>
      <c r="Z152" s="222"/>
      <c r="AA152" s="222"/>
      <c r="AB152" s="222"/>
      <c r="AC152" s="222"/>
      <c r="AD152" s="222"/>
      <c r="AE152" s="222"/>
      <c r="AR152" s="324" t="s">
        <v>153</v>
      </c>
      <c r="AT152" s="324" t="s">
        <v>148</v>
      </c>
      <c r="AU152" s="324" t="s">
        <v>83</v>
      </c>
      <c r="AY152" s="214" t="s">
        <v>146</v>
      </c>
      <c r="BE152" s="325">
        <f t="shared" si="4"/>
        <v>0</v>
      </c>
      <c r="BF152" s="325">
        <f t="shared" si="5"/>
        <v>0</v>
      </c>
      <c r="BG152" s="325">
        <f t="shared" si="6"/>
        <v>0</v>
      </c>
      <c r="BH152" s="325">
        <f t="shared" si="7"/>
        <v>0</v>
      </c>
      <c r="BI152" s="325">
        <f t="shared" si="8"/>
        <v>0</v>
      </c>
      <c r="BJ152" s="214" t="s">
        <v>81</v>
      </c>
      <c r="BK152" s="325">
        <f t="shared" si="9"/>
        <v>0</v>
      </c>
      <c r="BL152" s="214" t="s">
        <v>153</v>
      </c>
      <c r="BM152" s="324" t="s">
        <v>1399</v>
      </c>
    </row>
    <row r="153" spans="1:65" s="225" customFormat="1" ht="16.5" customHeight="1">
      <c r="A153" s="222"/>
      <c r="B153" s="223"/>
      <c r="C153" s="314" t="s">
        <v>207</v>
      </c>
      <c r="D153" s="314" t="s">
        <v>148</v>
      </c>
      <c r="E153" s="315" t="s">
        <v>1400</v>
      </c>
      <c r="F153" s="316" t="s">
        <v>1401</v>
      </c>
      <c r="G153" s="317" t="s">
        <v>158</v>
      </c>
      <c r="H153" s="318">
        <v>3350</v>
      </c>
      <c r="I153" s="79"/>
      <c r="J153" s="319">
        <f t="shared" si="0"/>
        <v>0</v>
      </c>
      <c r="K153" s="316" t="s">
        <v>1</v>
      </c>
      <c r="L153" s="223"/>
      <c r="M153" s="320" t="s">
        <v>1</v>
      </c>
      <c r="N153" s="321" t="s">
        <v>42</v>
      </c>
      <c r="O153" s="322">
        <v>0</v>
      </c>
      <c r="P153" s="322">
        <f t="shared" si="1"/>
        <v>0</v>
      </c>
      <c r="Q153" s="322">
        <v>0</v>
      </c>
      <c r="R153" s="322">
        <f t="shared" si="2"/>
        <v>0</v>
      </c>
      <c r="S153" s="322">
        <v>0</v>
      </c>
      <c r="T153" s="323">
        <f t="shared" si="3"/>
        <v>0</v>
      </c>
      <c r="U153" s="222"/>
      <c r="V153" s="222"/>
      <c r="W153" s="222"/>
      <c r="X153" s="222"/>
      <c r="Y153" s="222"/>
      <c r="Z153" s="222"/>
      <c r="AA153" s="222"/>
      <c r="AB153" s="222"/>
      <c r="AC153" s="222"/>
      <c r="AD153" s="222"/>
      <c r="AE153" s="222"/>
      <c r="AR153" s="324" t="s">
        <v>153</v>
      </c>
      <c r="AT153" s="324" t="s">
        <v>148</v>
      </c>
      <c r="AU153" s="324" t="s">
        <v>83</v>
      </c>
      <c r="AY153" s="214" t="s">
        <v>146</v>
      </c>
      <c r="BE153" s="325">
        <f t="shared" si="4"/>
        <v>0</v>
      </c>
      <c r="BF153" s="325">
        <f t="shared" si="5"/>
        <v>0</v>
      </c>
      <c r="BG153" s="325">
        <f t="shared" si="6"/>
        <v>0</v>
      </c>
      <c r="BH153" s="325">
        <f t="shared" si="7"/>
        <v>0</v>
      </c>
      <c r="BI153" s="325">
        <f t="shared" si="8"/>
        <v>0</v>
      </c>
      <c r="BJ153" s="214" t="s">
        <v>81</v>
      </c>
      <c r="BK153" s="325">
        <f t="shared" si="9"/>
        <v>0</v>
      </c>
      <c r="BL153" s="214" t="s">
        <v>153</v>
      </c>
      <c r="BM153" s="324" t="s">
        <v>1402</v>
      </c>
    </row>
    <row r="154" spans="1:65" s="225" customFormat="1" ht="16.5" customHeight="1">
      <c r="A154" s="222"/>
      <c r="B154" s="223"/>
      <c r="C154" s="314" t="s">
        <v>209</v>
      </c>
      <c r="D154" s="314" t="s">
        <v>148</v>
      </c>
      <c r="E154" s="315" t="s">
        <v>1403</v>
      </c>
      <c r="F154" s="316" t="s">
        <v>1404</v>
      </c>
      <c r="G154" s="317" t="s">
        <v>158</v>
      </c>
      <c r="H154" s="318">
        <v>760</v>
      </c>
      <c r="I154" s="79"/>
      <c r="J154" s="319">
        <f t="shared" si="0"/>
        <v>0</v>
      </c>
      <c r="K154" s="316" t="s">
        <v>1</v>
      </c>
      <c r="L154" s="223"/>
      <c r="M154" s="320" t="s">
        <v>1</v>
      </c>
      <c r="N154" s="321" t="s">
        <v>42</v>
      </c>
      <c r="O154" s="322">
        <v>0</v>
      </c>
      <c r="P154" s="322">
        <f t="shared" si="1"/>
        <v>0</v>
      </c>
      <c r="Q154" s="322">
        <v>0</v>
      </c>
      <c r="R154" s="322">
        <f t="shared" si="2"/>
        <v>0</v>
      </c>
      <c r="S154" s="322">
        <v>0</v>
      </c>
      <c r="T154" s="323">
        <f t="shared" si="3"/>
        <v>0</v>
      </c>
      <c r="U154" s="222"/>
      <c r="V154" s="222"/>
      <c r="W154" s="222"/>
      <c r="X154" s="222"/>
      <c r="Y154" s="222"/>
      <c r="Z154" s="222"/>
      <c r="AA154" s="222"/>
      <c r="AB154" s="222"/>
      <c r="AC154" s="222"/>
      <c r="AD154" s="222"/>
      <c r="AE154" s="222"/>
      <c r="AR154" s="324" t="s">
        <v>153</v>
      </c>
      <c r="AT154" s="324" t="s">
        <v>148</v>
      </c>
      <c r="AU154" s="324" t="s">
        <v>83</v>
      </c>
      <c r="AY154" s="214" t="s">
        <v>146</v>
      </c>
      <c r="BE154" s="325">
        <f t="shared" si="4"/>
        <v>0</v>
      </c>
      <c r="BF154" s="325">
        <f t="shared" si="5"/>
        <v>0</v>
      </c>
      <c r="BG154" s="325">
        <f t="shared" si="6"/>
        <v>0</v>
      </c>
      <c r="BH154" s="325">
        <f t="shared" si="7"/>
        <v>0</v>
      </c>
      <c r="BI154" s="325">
        <f t="shared" si="8"/>
        <v>0</v>
      </c>
      <c r="BJ154" s="214" t="s">
        <v>81</v>
      </c>
      <c r="BK154" s="325">
        <f t="shared" si="9"/>
        <v>0</v>
      </c>
      <c r="BL154" s="214" t="s">
        <v>153</v>
      </c>
      <c r="BM154" s="324" t="s">
        <v>1405</v>
      </c>
    </row>
    <row r="155" spans="1:65" s="225" customFormat="1" ht="16.5" customHeight="1">
      <c r="A155" s="222"/>
      <c r="B155" s="223"/>
      <c r="C155" s="314" t="s">
        <v>8</v>
      </c>
      <c r="D155" s="314" t="s">
        <v>148</v>
      </c>
      <c r="E155" s="315" t="s">
        <v>1406</v>
      </c>
      <c r="F155" s="316" t="s">
        <v>1407</v>
      </c>
      <c r="G155" s="317" t="s">
        <v>158</v>
      </c>
      <c r="H155" s="318">
        <v>198</v>
      </c>
      <c r="I155" s="79"/>
      <c r="J155" s="319">
        <f t="shared" si="0"/>
        <v>0</v>
      </c>
      <c r="K155" s="316" t="s">
        <v>1</v>
      </c>
      <c r="L155" s="223"/>
      <c r="M155" s="320" t="s">
        <v>1</v>
      </c>
      <c r="N155" s="321" t="s">
        <v>42</v>
      </c>
      <c r="O155" s="322">
        <v>0</v>
      </c>
      <c r="P155" s="322">
        <f t="shared" si="1"/>
        <v>0</v>
      </c>
      <c r="Q155" s="322">
        <v>0</v>
      </c>
      <c r="R155" s="322">
        <f t="shared" si="2"/>
        <v>0</v>
      </c>
      <c r="S155" s="322">
        <v>0</v>
      </c>
      <c r="T155" s="323">
        <f t="shared" si="3"/>
        <v>0</v>
      </c>
      <c r="U155" s="222"/>
      <c r="V155" s="222"/>
      <c r="W155" s="222"/>
      <c r="X155" s="222"/>
      <c r="Y155" s="222"/>
      <c r="Z155" s="222"/>
      <c r="AA155" s="222"/>
      <c r="AB155" s="222"/>
      <c r="AC155" s="222"/>
      <c r="AD155" s="222"/>
      <c r="AE155" s="222"/>
      <c r="AR155" s="324" t="s">
        <v>153</v>
      </c>
      <c r="AT155" s="324" t="s">
        <v>148</v>
      </c>
      <c r="AU155" s="324" t="s">
        <v>83</v>
      </c>
      <c r="AY155" s="214" t="s">
        <v>146</v>
      </c>
      <c r="BE155" s="325">
        <f t="shared" si="4"/>
        <v>0</v>
      </c>
      <c r="BF155" s="325">
        <f t="shared" si="5"/>
        <v>0</v>
      </c>
      <c r="BG155" s="325">
        <f t="shared" si="6"/>
        <v>0</v>
      </c>
      <c r="BH155" s="325">
        <f t="shared" si="7"/>
        <v>0</v>
      </c>
      <c r="BI155" s="325">
        <f t="shared" si="8"/>
        <v>0</v>
      </c>
      <c r="BJ155" s="214" t="s">
        <v>81</v>
      </c>
      <c r="BK155" s="325">
        <f t="shared" si="9"/>
        <v>0</v>
      </c>
      <c r="BL155" s="214" t="s">
        <v>153</v>
      </c>
      <c r="BM155" s="324" t="s">
        <v>1408</v>
      </c>
    </row>
    <row r="156" spans="2:63" s="297" customFormat="1" ht="22.9" customHeight="1">
      <c r="B156" s="298"/>
      <c r="D156" s="299" t="s">
        <v>75</v>
      </c>
      <c r="E156" s="660" t="s">
        <v>1409</v>
      </c>
      <c r="F156" s="660" t="s">
        <v>1410</v>
      </c>
      <c r="I156" s="501"/>
      <c r="J156" s="311">
        <f>SUM(J157:J164)</f>
        <v>0</v>
      </c>
      <c r="L156" s="298"/>
      <c r="M156" s="303"/>
      <c r="N156" s="304"/>
      <c r="O156" s="304"/>
      <c r="P156" s="305">
        <f>SUM(P157:P164)</f>
        <v>0</v>
      </c>
      <c r="Q156" s="304"/>
      <c r="R156" s="305">
        <f>SUM(R157:R164)</f>
        <v>0</v>
      </c>
      <c r="S156" s="304"/>
      <c r="T156" s="313">
        <f>SUM(T157:T164)</f>
        <v>0</v>
      </c>
      <c r="AR156" s="299" t="s">
        <v>81</v>
      </c>
      <c r="AT156" s="308" t="s">
        <v>75</v>
      </c>
      <c r="AU156" s="308" t="s">
        <v>81</v>
      </c>
      <c r="AY156" s="299" t="s">
        <v>146</v>
      </c>
      <c r="BK156" s="309">
        <f>SUM(BK157:BK164)</f>
        <v>0</v>
      </c>
    </row>
    <row r="157" spans="1:65" s="225" customFormat="1" ht="16.5" customHeight="1">
      <c r="A157" s="222"/>
      <c r="B157" s="223"/>
      <c r="C157" s="314" t="s">
        <v>212</v>
      </c>
      <c r="D157" s="314" t="s">
        <v>148</v>
      </c>
      <c r="E157" s="315" t="s">
        <v>1411</v>
      </c>
      <c r="F157" s="316" t="s">
        <v>1412</v>
      </c>
      <c r="G157" s="317" t="s">
        <v>158</v>
      </c>
      <c r="H157" s="318">
        <v>50</v>
      </c>
      <c r="I157" s="79"/>
      <c r="J157" s="319">
        <f aca="true" t="shared" si="10" ref="J157:J164">ROUND(I157*H157,2)</f>
        <v>0</v>
      </c>
      <c r="K157" s="316" t="s">
        <v>1</v>
      </c>
      <c r="L157" s="223"/>
      <c r="M157" s="320" t="s">
        <v>1</v>
      </c>
      <c r="N157" s="321" t="s">
        <v>42</v>
      </c>
      <c r="O157" s="322">
        <v>0</v>
      </c>
      <c r="P157" s="322">
        <f aca="true" t="shared" si="11" ref="P157:P164">O157*H157</f>
        <v>0</v>
      </c>
      <c r="Q157" s="322">
        <v>0</v>
      </c>
      <c r="R157" s="322">
        <f aca="true" t="shared" si="12" ref="R157:R164">Q157*H157</f>
        <v>0</v>
      </c>
      <c r="S157" s="322">
        <v>0</v>
      </c>
      <c r="T157" s="323">
        <f aca="true" t="shared" si="13" ref="T157:T164">S157*H157</f>
        <v>0</v>
      </c>
      <c r="U157" s="222"/>
      <c r="V157" s="222"/>
      <c r="W157" s="222"/>
      <c r="X157" s="222"/>
      <c r="Y157" s="222"/>
      <c r="Z157" s="222"/>
      <c r="AA157" s="222"/>
      <c r="AB157" s="222"/>
      <c r="AC157" s="222"/>
      <c r="AD157" s="222"/>
      <c r="AE157" s="222"/>
      <c r="AR157" s="324" t="s">
        <v>153</v>
      </c>
      <c r="AT157" s="324" t="s">
        <v>148</v>
      </c>
      <c r="AU157" s="324" t="s">
        <v>83</v>
      </c>
      <c r="AY157" s="214" t="s">
        <v>146</v>
      </c>
      <c r="BE157" s="325">
        <f aca="true" t="shared" si="14" ref="BE157:BE164">IF(N157="základní",J157,0)</f>
        <v>0</v>
      </c>
      <c r="BF157" s="325">
        <f aca="true" t="shared" si="15" ref="BF157:BF164">IF(N157="snížená",J157,0)</f>
        <v>0</v>
      </c>
      <c r="BG157" s="325">
        <f aca="true" t="shared" si="16" ref="BG157:BG164">IF(N157="zákl. přenesená",J157,0)</f>
        <v>0</v>
      </c>
      <c r="BH157" s="325">
        <f aca="true" t="shared" si="17" ref="BH157:BH164">IF(N157="sníž. přenesená",J157,0)</f>
        <v>0</v>
      </c>
      <c r="BI157" s="325">
        <f aca="true" t="shared" si="18" ref="BI157:BI164">IF(N157="nulová",J157,0)</f>
        <v>0</v>
      </c>
      <c r="BJ157" s="214" t="s">
        <v>81</v>
      </c>
      <c r="BK157" s="325">
        <f aca="true" t="shared" si="19" ref="BK157:BK164">ROUND(I157*H157,2)</f>
        <v>0</v>
      </c>
      <c r="BL157" s="214" t="s">
        <v>153</v>
      </c>
      <c r="BM157" s="324" t="s">
        <v>1413</v>
      </c>
    </row>
    <row r="158" spans="1:65" s="225" customFormat="1" ht="21.75" customHeight="1">
      <c r="A158" s="222"/>
      <c r="B158" s="223"/>
      <c r="C158" s="314" t="s">
        <v>213</v>
      </c>
      <c r="D158" s="314" t="s">
        <v>148</v>
      </c>
      <c r="E158" s="315" t="s">
        <v>1414</v>
      </c>
      <c r="F158" s="316" t="s">
        <v>1415</v>
      </c>
      <c r="G158" s="317" t="s">
        <v>158</v>
      </c>
      <c r="H158" s="318">
        <v>120</v>
      </c>
      <c r="I158" s="79"/>
      <c r="J158" s="319">
        <f t="shared" si="10"/>
        <v>0</v>
      </c>
      <c r="K158" s="316" t="s">
        <v>1</v>
      </c>
      <c r="L158" s="223"/>
      <c r="M158" s="320" t="s">
        <v>1</v>
      </c>
      <c r="N158" s="321" t="s">
        <v>42</v>
      </c>
      <c r="O158" s="322">
        <v>0</v>
      </c>
      <c r="P158" s="322">
        <f t="shared" si="11"/>
        <v>0</v>
      </c>
      <c r="Q158" s="322">
        <v>0</v>
      </c>
      <c r="R158" s="322">
        <f t="shared" si="12"/>
        <v>0</v>
      </c>
      <c r="S158" s="322">
        <v>0</v>
      </c>
      <c r="T158" s="323">
        <f t="shared" si="13"/>
        <v>0</v>
      </c>
      <c r="U158" s="222"/>
      <c r="V158" s="222"/>
      <c r="W158" s="222"/>
      <c r="X158" s="222"/>
      <c r="Y158" s="222"/>
      <c r="Z158" s="222"/>
      <c r="AA158" s="222"/>
      <c r="AB158" s="222"/>
      <c r="AC158" s="222"/>
      <c r="AD158" s="222"/>
      <c r="AE158" s="222"/>
      <c r="AR158" s="324" t="s">
        <v>153</v>
      </c>
      <c r="AT158" s="324" t="s">
        <v>148</v>
      </c>
      <c r="AU158" s="324" t="s">
        <v>83</v>
      </c>
      <c r="AY158" s="214" t="s">
        <v>146</v>
      </c>
      <c r="BE158" s="325">
        <f t="shared" si="14"/>
        <v>0</v>
      </c>
      <c r="BF158" s="325">
        <f t="shared" si="15"/>
        <v>0</v>
      </c>
      <c r="BG158" s="325">
        <f t="shared" si="16"/>
        <v>0</v>
      </c>
      <c r="BH158" s="325">
        <f t="shared" si="17"/>
        <v>0</v>
      </c>
      <c r="BI158" s="325">
        <f t="shared" si="18"/>
        <v>0</v>
      </c>
      <c r="BJ158" s="214" t="s">
        <v>81</v>
      </c>
      <c r="BK158" s="325">
        <f t="shared" si="19"/>
        <v>0</v>
      </c>
      <c r="BL158" s="214" t="s">
        <v>153</v>
      </c>
      <c r="BM158" s="324" t="s">
        <v>1416</v>
      </c>
    </row>
    <row r="159" spans="1:65" s="225" customFormat="1" ht="16.5" customHeight="1">
      <c r="A159" s="222"/>
      <c r="B159" s="223"/>
      <c r="C159" s="314" t="s">
        <v>217</v>
      </c>
      <c r="D159" s="314" t="s">
        <v>148</v>
      </c>
      <c r="E159" s="315" t="s">
        <v>1417</v>
      </c>
      <c r="F159" s="316" t="s">
        <v>1418</v>
      </c>
      <c r="G159" s="317" t="s">
        <v>158</v>
      </c>
      <c r="H159" s="318">
        <v>120</v>
      </c>
      <c r="I159" s="79"/>
      <c r="J159" s="319">
        <f t="shared" si="10"/>
        <v>0</v>
      </c>
      <c r="K159" s="316" t="s">
        <v>1</v>
      </c>
      <c r="L159" s="223"/>
      <c r="M159" s="320" t="s">
        <v>1</v>
      </c>
      <c r="N159" s="321" t="s">
        <v>42</v>
      </c>
      <c r="O159" s="322">
        <v>0</v>
      </c>
      <c r="P159" s="322">
        <f t="shared" si="11"/>
        <v>0</v>
      </c>
      <c r="Q159" s="322">
        <v>0</v>
      </c>
      <c r="R159" s="322">
        <f t="shared" si="12"/>
        <v>0</v>
      </c>
      <c r="S159" s="322">
        <v>0</v>
      </c>
      <c r="T159" s="323">
        <f t="shared" si="13"/>
        <v>0</v>
      </c>
      <c r="U159" s="222"/>
      <c r="V159" s="222"/>
      <c r="W159" s="222"/>
      <c r="X159" s="222"/>
      <c r="Y159" s="222"/>
      <c r="Z159" s="222"/>
      <c r="AA159" s="222"/>
      <c r="AB159" s="222"/>
      <c r="AC159" s="222"/>
      <c r="AD159" s="222"/>
      <c r="AE159" s="222"/>
      <c r="AR159" s="324" t="s">
        <v>153</v>
      </c>
      <c r="AT159" s="324" t="s">
        <v>148</v>
      </c>
      <c r="AU159" s="324" t="s">
        <v>83</v>
      </c>
      <c r="AY159" s="214" t="s">
        <v>146</v>
      </c>
      <c r="BE159" s="325">
        <f t="shared" si="14"/>
        <v>0</v>
      </c>
      <c r="BF159" s="325">
        <f t="shared" si="15"/>
        <v>0</v>
      </c>
      <c r="BG159" s="325">
        <f t="shared" si="16"/>
        <v>0</v>
      </c>
      <c r="BH159" s="325">
        <f t="shared" si="17"/>
        <v>0</v>
      </c>
      <c r="BI159" s="325">
        <f t="shared" si="18"/>
        <v>0</v>
      </c>
      <c r="BJ159" s="214" t="s">
        <v>81</v>
      </c>
      <c r="BK159" s="325">
        <f t="shared" si="19"/>
        <v>0</v>
      </c>
      <c r="BL159" s="214" t="s">
        <v>153</v>
      </c>
      <c r="BM159" s="324" t="s">
        <v>1419</v>
      </c>
    </row>
    <row r="160" spans="1:65" s="225" customFormat="1" ht="21.75" customHeight="1">
      <c r="A160" s="222"/>
      <c r="B160" s="223"/>
      <c r="C160" s="314" t="s">
        <v>222</v>
      </c>
      <c r="D160" s="314" t="s">
        <v>148</v>
      </c>
      <c r="E160" s="315" t="s">
        <v>1420</v>
      </c>
      <c r="F160" s="316" t="s">
        <v>1421</v>
      </c>
      <c r="G160" s="317" t="s">
        <v>158</v>
      </c>
      <c r="H160" s="318">
        <v>60</v>
      </c>
      <c r="I160" s="79"/>
      <c r="J160" s="319">
        <f t="shared" si="10"/>
        <v>0</v>
      </c>
      <c r="K160" s="316" t="s">
        <v>1</v>
      </c>
      <c r="L160" s="223"/>
      <c r="M160" s="320" t="s">
        <v>1</v>
      </c>
      <c r="N160" s="321" t="s">
        <v>42</v>
      </c>
      <c r="O160" s="322">
        <v>0</v>
      </c>
      <c r="P160" s="322">
        <f t="shared" si="11"/>
        <v>0</v>
      </c>
      <c r="Q160" s="322">
        <v>0</v>
      </c>
      <c r="R160" s="322">
        <f t="shared" si="12"/>
        <v>0</v>
      </c>
      <c r="S160" s="322">
        <v>0</v>
      </c>
      <c r="T160" s="323">
        <f t="shared" si="13"/>
        <v>0</v>
      </c>
      <c r="U160" s="222"/>
      <c r="V160" s="222"/>
      <c r="W160" s="222"/>
      <c r="X160" s="222"/>
      <c r="Y160" s="222"/>
      <c r="Z160" s="222"/>
      <c r="AA160" s="222"/>
      <c r="AB160" s="222"/>
      <c r="AC160" s="222"/>
      <c r="AD160" s="222"/>
      <c r="AE160" s="222"/>
      <c r="AR160" s="324" t="s">
        <v>153</v>
      </c>
      <c r="AT160" s="324" t="s">
        <v>148</v>
      </c>
      <c r="AU160" s="324" t="s">
        <v>83</v>
      </c>
      <c r="AY160" s="214" t="s">
        <v>146</v>
      </c>
      <c r="BE160" s="325">
        <f t="shared" si="14"/>
        <v>0</v>
      </c>
      <c r="BF160" s="325">
        <f t="shared" si="15"/>
        <v>0</v>
      </c>
      <c r="BG160" s="325">
        <f t="shared" si="16"/>
        <v>0</v>
      </c>
      <c r="BH160" s="325">
        <f t="shared" si="17"/>
        <v>0</v>
      </c>
      <c r="BI160" s="325">
        <f t="shared" si="18"/>
        <v>0</v>
      </c>
      <c r="BJ160" s="214" t="s">
        <v>81</v>
      </c>
      <c r="BK160" s="325">
        <f t="shared" si="19"/>
        <v>0</v>
      </c>
      <c r="BL160" s="214" t="s">
        <v>153</v>
      </c>
      <c r="BM160" s="324" t="s">
        <v>1422</v>
      </c>
    </row>
    <row r="161" spans="1:65" s="225" customFormat="1" ht="33" customHeight="1">
      <c r="A161" s="222"/>
      <c r="B161" s="223"/>
      <c r="C161" s="314" t="s">
        <v>228</v>
      </c>
      <c r="D161" s="314" t="s">
        <v>148</v>
      </c>
      <c r="E161" s="315" t="s">
        <v>1423</v>
      </c>
      <c r="F161" s="316" t="s">
        <v>1424</v>
      </c>
      <c r="G161" s="317" t="s">
        <v>1361</v>
      </c>
      <c r="H161" s="318">
        <v>48</v>
      </c>
      <c r="I161" s="79"/>
      <c r="J161" s="319">
        <f t="shared" si="10"/>
        <v>0</v>
      </c>
      <c r="K161" s="316" t="s">
        <v>1</v>
      </c>
      <c r="L161" s="223"/>
      <c r="M161" s="320" t="s">
        <v>1</v>
      </c>
      <c r="N161" s="321" t="s">
        <v>42</v>
      </c>
      <c r="O161" s="322">
        <v>0</v>
      </c>
      <c r="P161" s="322">
        <f t="shared" si="11"/>
        <v>0</v>
      </c>
      <c r="Q161" s="322">
        <v>0</v>
      </c>
      <c r="R161" s="322">
        <f t="shared" si="12"/>
        <v>0</v>
      </c>
      <c r="S161" s="322">
        <v>0</v>
      </c>
      <c r="T161" s="323">
        <f t="shared" si="13"/>
        <v>0</v>
      </c>
      <c r="U161" s="222"/>
      <c r="V161" s="222"/>
      <c r="W161" s="222"/>
      <c r="X161" s="222"/>
      <c r="Y161" s="222"/>
      <c r="Z161" s="222"/>
      <c r="AA161" s="222"/>
      <c r="AB161" s="222"/>
      <c r="AC161" s="222"/>
      <c r="AD161" s="222"/>
      <c r="AE161" s="222"/>
      <c r="AR161" s="324" t="s">
        <v>153</v>
      </c>
      <c r="AT161" s="324" t="s">
        <v>148</v>
      </c>
      <c r="AU161" s="324" t="s">
        <v>83</v>
      </c>
      <c r="AY161" s="214" t="s">
        <v>146</v>
      </c>
      <c r="BE161" s="325">
        <f t="shared" si="14"/>
        <v>0</v>
      </c>
      <c r="BF161" s="325">
        <f t="shared" si="15"/>
        <v>0</v>
      </c>
      <c r="BG161" s="325">
        <f t="shared" si="16"/>
        <v>0</v>
      </c>
      <c r="BH161" s="325">
        <f t="shared" si="17"/>
        <v>0</v>
      </c>
      <c r="BI161" s="325">
        <f t="shared" si="18"/>
        <v>0</v>
      </c>
      <c r="BJ161" s="214" t="s">
        <v>81</v>
      </c>
      <c r="BK161" s="325">
        <f t="shared" si="19"/>
        <v>0</v>
      </c>
      <c r="BL161" s="214" t="s">
        <v>153</v>
      </c>
      <c r="BM161" s="324" t="s">
        <v>1425</v>
      </c>
    </row>
    <row r="162" spans="1:65" s="225" customFormat="1" ht="33" customHeight="1">
      <c r="A162" s="222"/>
      <c r="B162" s="223"/>
      <c r="C162" s="314" t="s">
        <v>7</v>
      </c>
      <c r="D162" s="314" t="s">
        <v>148</v>
      </c>
      <c r="E162" s="315" t="s">
        <v>1426</v>
      </c>
      <c r="F162" s="316" t="s">
        <v>1427</v>
      </c>
      <c r="G162" s="317" t="s">
        <v>1361</v>
      </c>
      <c r="H162" s="318">
        <v>112</v>
      </c>
      <c r="I162" s="79"/>
      <c r="J162" s="319">
        <f t="shared" si="10"/>
        <v>0</v>
      </c>
      <c r="K162" s="316" t="s">
        <v>1</v>
      </c>
      <c r="L162" s="223"/>
      <c r="M162" s="320" t="s">
        <v>1</v>
      </c>
      <c r="N162" s="321" t="s">
        <v>42</v>
      </c>
      <c r="O162" s="322">
        <v>0</v>
      </c>
      <c r="P162" s="322">
        <f t="shared" si="11"/>
        <v>0</v>
      </c>
      <c r="Q162" s="322">
        <v>0</v>
      </c>
      <c r="R162" s="322">
        <f t="shared" si="12"/>
        <v>0</v>
      </c>
      <c r="S162" s="322">
        <v>0</v>
      </c>
      <c r="T162" s="323">
        <f t="shared" si="13"/>
        <v>0</v>
      </c>
      <c r="U162" s="222"/>
      <c r="V162" s="222"/>
      <c r="W162" s="222"/>
      <c r="X162" s="222"/>
      <c r="Y162" s="222"/>
      <c r="Z162" s="222"/>
      <c r="AA162" s="222"/>
      <c r="AB162" s="222"/>
      <c r="AC162" s="222"/>
      <c r="AD162" s="222"/>
      <c r="AE162" s="222"/>
      <c r="AR162" s="324" t="s">
        <v>153</v>
      </c>
      <c r="AT162" s="324" t="s">
        <v>148</v>
      </c>
      <c r="AU162" s="324" t="s">
        <v>83</v>
      </c>
      <c r="AY162" s="214" t="s">
        <v>146</v>
      </c>
      <c r="BE162" s="325">
        <f t="shared" si="14"/>
        <v>0</v>
      </c>
      <c r="BF162" s="325">
        <f t="shared" si="15"/>
        <v>0</v>
      </c>
      <c r="BG162" s="325">
        <f t="shared" si="16"/>
        <v>0</v>
      </c>
      <c r="BH162" s="325">
        <f t="shared" si="17"/>
        <v>0</v>
      </c>
      <c r="BI162" s="325">
        <f t="shared" si="18"/>
        <v>0</v>
      </c>
      <c r="BJ162" s="214" t="s">
        <v>81</v>
      </c>
      <c r="BK162" s="325">
        <f t="shared" si="19"/>
        <v>0</v>
      </c>
      <c r="BL162" s="214" t="s">
        <v>153</v>
      </c>
      <c r="BM162" s="324" t="s">
        <v>1428</v>
      </c>
    </row>
    <row r="163" spans="1:65" s="225" customFormat="1" ht="33" customHeight="1">
      <c r="A163" s="222"/>
      <c r="B163" s="223"/>
      <c r="C163" s="314" t="s">
        <v>237</v>
      </c>
      <c r="D163" s="314" t="s">
        <v>148</v>
      </c>
      <c r="E163" s="315" t="s">
        <v>1429</v>
      </c>
      <c r="F163" s="316" t="s">
        <v>1430</v>
      </c>
      <c r="G163" s="317" t="s">
        <v>1361</v>
      </c>
      <c r="H163" s="318">
        <v>24</v>
      </c>
      <c r="I163" s="79"/>
      <c r="J163" s="319">
        <f t="shared" si="10"/>
        <v>0</v>
      </c>
      <c r="K163" s="316" t="s">
        <v>1</v>
      </c>
      <c r="L163" s="223"/>
      <c r="M163" s="320" t="s">
        <v>1</v>
      </c>
      <c r="N163" s="321" t="s">
        <v>42</v>
      </c>
      <c r="O163" s="322">
        <v>0</v>
      </c>
      <c r="P163" s="322">
        <f t="shared" si="11"/>
        <v>0</v>
      </c>
      <c r="Q163" s="322">
        <v>0</v>
      </c>
      <c r="R163" s="322">
        <f t="shared" si="12"/>
        <v>0</v>
      </c>
      <c r="S163" s="322">
        <v>0</v>
      </c>
      <c r="T163" s="323">
        <f t="shared" si="13"/>
        <v>0</v>
      </c>
      <c r="U163" s="222"/>
      <c r="V163" s="222"/>
      <c r="W163" s="222"/>
      <c r="X163" s="222"/>
      <c r="Y163" s="222"/>
      <c r="Z163" s="222"/>
      <c r="AA163" s="222"/>
      <c r="AB163" s="222"/>
      <c r="AC163" s="222"/>
      <c r="AD163" s="222"/>
      <c r="AE163" s="222"/>
      <c r="AR163" s="324" t="s">
        <v>153</v>
      </c>
      <c r="AT163" s="324" t="s">
        <v>148</v>
      </c>
      <c r="AU163" s="324" t="s">
        <v>83</v>
      </c>
      <c r="AY163" s="214" t="s">
        <v>146</v>
      </c>
      <c r="BE163" s="325">
        <f t="shared" si="14"/>
        <v>0</v>
      </c>
      <c r="BF163" s="325">
        <f t="shared" si="15"/>
        <v>0</v>
      </c>
      <c r="BG163" s="325">
        <f t="shared" si="16"/>
        <v>0</v>
      </c>
      <c r="BH163" s="325">
        <f t="shared" si="17"/>
        <v>0</v>
      </c>
      <c r="BI163" s="325">
        <f t="shared" si="18"/>
        <v>0</v>
      </c>
      <c r="BJ163" s="214" t="s">
        <v>81</v>
      </c>
      <c r="BK163" s="325">
        <f t="shared" si="19"/>
        <v>0</v>
      </c>
      <c r="BL163" s="214" t="s">
        <v>153</v>
      </c>
      <c r="BM163" s="324" t="s">
        <v>1431</v>
      </c>
    </row>
    <row r="164" spans="1:65" s="225" customFormat="1" ht="33" customHeight="1">
      <c r="A164" s="222"/>
      <c r="B164" s="223"/>
      <c r="C164" s="314" t="s">
        <v>241</v>
      </c>
      <c r="D164" s="314" t="s">
        <v>148</v>
      </c>
      <c r="E164" s="315" t="s">
        <v>1432</v>
      </c>
      <c r="F164" s="316" t="s">
        <v>1433</v>
      </c>
      <c r="G164" s="317" t="s">
        <v>1361</v>
      </c>
      <c r="H164" s="318">
        <v>400</v>
      </c>
      <c r="I164" s="79"/>
      <c r="J164" s="319">
        <f t="shared" si="10"/>
        <v>0</v>
      </c>
      <c r="K164" s="316" t="s">
        <v>1</v>
      </c>
      <c r="L164" s="223"/>
      <c r="M164" s="320" t="s">
        <v>1</v>
      </c>
      <c r="N164" s="321" t="s">
        <v>42</v>
      </c>
      <c r="O164" s="322">
        <v>0</v>
      </c>
      <c r="P164" s="322">
        <f t="shared" si="11"/>
        <v>0</v>
      </c>
      <c r="Q164" s="322">
        <v>0</v>
      </c>
      <c r="R164" s="322">
        <f t="shared" si="12"/>
        <v>0</v>
      </c>
      <c r="S164" s="322">
        <v>0</v>
      </c>
      <c r="T164" s="323">
        <f t="shared" si="13"/>
        <v>0</v>
      </c>
      <c r="U164" s="222"/>
      <c r="V164" s="222"/>
      <c r="W164" s="222"/>
      <c r="X164" s="222"/>
      <c r="Y164" s="222"/>
      <c r="Z164" s="222"/>
      <c r="AA164" s="222"/>
      <c r="AB164" s="222"/>
      <c r="AC164" s="222"/>
      <c r="AD164" s="222"/>
      <c r="AE164" s="222"/>
      <c r="AR164" s="324" t="s">
        <v>153</v>
      </c>
      <c r="AT164" s="324" t="s">
        <v>148</v>
      </c>
      <c r="AU164" s="324" t="s">
        <v>83</v>
      </c>
      <c r="AY164" s="214" t="s">
        <v>146</v>
      </c>
      <c r="BE164" s="325">
        <f t="shared" si="14"/>
        <v>0</v>
      </c>
      <c r="BF164" s="325">
        <f t="shared" si="15"/>
        <v>0</v>
      </c>
      <c r="BG164" s="325">
        <f t="shared" si="16"/>
        <v>0</v>
      </c>
      <c r="BH164" s="325">
        <f t="shared" si="17"/>
        <v>0</v>
      </c>
      <c r="BI164" s="325">
        <f t="shared" si="18"/>
        <v>0</v>
      </c>
      <c r="BJ164" s="214" t="s">
        <v>81</v>
      </c>
      <c r="BK164" s="325">
        <f t="shared" si="19"/>
        <v>0</v>
      </c>
      <c r="BL164" s="214" t="s">
        <v>153</v>
      </c>
      <c r="BM164" s="324" t="s">
        <v>1434</v>
      </c>
    </row>
    <row r="165" spans="2:63" s="297" customFormat="1" ht="22.9" customHeight="1">
      <c r="B165" s="298"/>
      <c r="D165" s="299" t="s">
        <v>75</v>
      </c>
      <c r="E165" s="660" t="s">
        <v>1435</v>
      </c>
      <c r="F165" s="660" t="s">
        <v>1436</v>
      </c>
      <c r="I165" s="501"/>
      <c r="J165" s="311">
        <f>SUM(J166:J176)</f>
        <v>0</v>
      </c>
      <c r="L165" s="298"/>
      <c r="M165" s="303"/>
      <c r="N165" s="304"/>
      <c r="O165" s="304"/>
      <c r="P165" s="305">
        <f>SUM(P166:P176)</f>
        <v>0</v>
      </c>
      <c r="Q165" s="304"/>
      <c r="R165" s="305">
        <f>SUM(R166:R176)</f>
        <v>0</v>
      </c>
      <c r="S165" s="304"/>
      <c r="T165" s="313">
        <f>SUM(T166:T176)</f>
        <v>0</v>
      </c>
      <c r="AR165" s="299" t="s">
        <v>81</v>
      </c>
      <c r="AT165" s="308" t="s">
        <v>75</v>
      </c>
      <c r="AU165" s="308" t="s">
        <v>81</v>
      </c>
      <c r="AY165" s="299" t="s">
        <v>146</v>
      </c>
      <c r="BK165" s="309">
        <f>SUM(BK166:BK176)</f>
        <v>0</v>
      </c>
    </row>
    <row r="166" spans="1:65" s="225" customFormat="1" ht="24.2" customHeight="1">
      <c r="A166" s="222"/>
      <c r="B166" s="223"/>
      <c r="C166" s="314" t="s">
        <v>253</v>
      </c>
      <c r="D166" s="314" t="s">
        <v>148</v>
      </c>
      <c r="E166" s="315" t="s">
        <v>1437</v>
      </c>
      <c r="F166" s="316" t="s">
        <v>1438</v>
      </c>
      <c r="G166" s="317" t="s">
        <v>1361</v>
      </c>
      <c r="H166" s="318">
        <v>136</v>
      </c>
      <c r="I166" s="79"/>
      <c r="J166" s="319">
        <f aca="true" t="shared" si="20" ref="J166:J176">ROUND(I166*H166,2)</f>
        <v>0</v>
      </c>
      <c r="K166" s="316" t="s">
        <v>1</v>
      </c>
      <c r="L166" s="223"/>
      <c r="M166" s="320" t="s">
        <v>1</v>
      </c>
      <c r="N166" s="321" t="s">
        <v>42</v>
      </c>
      <c r="O166" s="322">
        <v>0</v>
      </c>
      <c r="P166" s="322">
        <f aca="true" t="shared" si="21" ref="P166:P176">O166*H166</f>
        <v>0</v>
      </c>
      <c r="Q166" s="322">
        <v>0</v>
      </c>
      <c r="R166" s="322">
        <f aca="true" t="shared" si="22" ref="R166:R176">Q166*H166</f>
        <v>0</v>
      </c>
      <c r="S166" s="322">
        <v>0</v>
      </c>
      <c r="T166" s="323">
        <f aca="true" t="shared" si="23" ref="T166:T176">S166*H166</f>
        <v>0</v>
      </c>
      <c r="U166" s="222"/>
      <c r="V166" s="222"/>
      <c r="W166" s="222"/>
      <c r="X166" s="222"/>
      <c r="Y166" s="222"/>
      <c r="Z166" s="222"/>
      <c r="AA166" s="222"/>
      <c r="AB166" s="222"/>
      <c r="AC166" s="222"/>
      <c r="AD166" s="222"/>
      <c r="AE166" s="222"/>
      <c r="AR166" s="324" t="s">
        <v>153</v>
      </c>
      <c r="AT166" s="324" t="s">
        <v>148</v>
      </c>
      <c r="AU166" s="324" t="s">
        <v>83</v>
      </c>
      <c r="AY166" s="214" t="s">
        <v>146</v>
      </c>
      <c r="BE166" s="325">
        <f aca="true" t="shared" si="24" ref="BE166:BE176">IF(N166="základní",J166,0)</f>
        <v>0</v>
      </c>
      <c r="BF166" s="325">
        <f aca="true" t="shared" si="25" ref="BF166:BF176">IF(N166="snížená",J166,0)</f>
        <v>0</v>
      </c>
      <c r="BG166" s="325">
        <f aca="true" t="shared" si="26" ref="BG166:BG176">IF(N166="zákl. přenesená",J166,0)</f>
        <v>0</v>
      </c>
      <c r="BH166" s="325">
        <f aca="true" t="shared" si="27" ref="BH166:BH176">IF(N166="sníž. přenesená",J166,0)</f>
        <v>0</v>
      </c>
      <c r="BI166" s="325">
        <f aca="true" t="shared" si="28" ref="BI166:BI176">IF(N166="nulová",J166,0)</f>
        <v>0</v>
      </c>
      <c r="BJ166" s="214" t="s">
        <v>81</v>
      </c>
      <c r="BK166" s="325">
        <f aca="true" t="shared" si="29" ref="BK166:BK176">ROUND(I166*H166,2)</f>
        <v>0</v>
      </c>
      <c r="BL166" s="214" t="s">
        <v>153</v>
      </c>
      <c r="BM166" s="324" t="s">
        <v>1439</v>
      </c>
    </row>
    <row r="167" spans="1:65" s="225" customFormat="1" ht="37.9" customHeight="1">
      <c r="A167" s="222"/>
      <c r="B167" s="223"/>
      <c r="C167" s="314" t="s">
        <v>257</v>
      </c>
      <c r="D167" s="314" t="s">
        <v>148</v>
      </c>
      <c r="E167" s="315" t="s">
        <v>1440</v>
      </c>
      <c r="F167" s="316" t="s">
        <v>1441</v>
      </c>
      <c r="G167" s="317" t="s">
        <v>1361</v>
      </c>
      <c r="H167" s="318">
        <v>129</v>
      </c>
      <c r="I167" s="79"/>
      <c r="J167" s="319">
        <f t="shared" si="20"/>
        <v>0</v>
      </c>
      <c r="K167" s="316" t="s">
        <v>1</v>
      </c>
      <c r="L167" s="223"/>
      <c r="M167" s="320" t="s">
        <v>1</v>
      </c>
      <c r="N167" s="321" t="s">
        <v>42</v>
      </c>
      <c r="O167" s="322">
        <v>0</v>
      </c>
      <c r="P167" s="322">
        <f t="shared" si="21"/>
        <v>0</v>
      </c>
      <c r="Q167" s="322">
        <v>0</v>
      </c>
      <c r="R167" s="322">
        <f t="shared" si="22"/>
        <v>0</v>
      </c>
      <c r="S167" s="322">
        <v>0</v>
      </c>
      <c r="T167" s="323">
        <f t="shared" si="23"/>
        <v>0</v>
      </c>
      <c r="U167" s="222"/>
      <c r="V167" s="222"/>
      <c r="W167" s="222"/>
      <c r="X167" s="222"/>
      <c r="Y167" s="222"/>
      <c r="Z167" s="222"/>
      <c r="AA167" s="222"/>
      <c r="AB167" s="222"/>
      <c r="AC167" s="222"/>
      <c r="AD167" s="222"/>
      <c r="AE167" s="222"/>
      <c r="AR167" s="324" t="s">
        <v>153</v>
      </c>
      <c r="AT167" s="324" t="s">
        <v>148</v>
      </c>
      <c r="AU167" s="324" t="s">
        <v>83</v>
      </c>
      <c r="AY167" s="214" t="s">
        <v>146</v>
      </c>
      <c r="BE167" s="325">
        <f t="shared" si="24"/>
        <v>0</v>
      </c>
      <c r="BF167" s="325">
        <f t="shared" si="25"/>
        <v>0</v>
      </c>
      <c r="BG167" s="325">
        <f t="shared" si="26"/>
        <v>0</v>
      </c>
      <c r="BH167" s="325">
        <f t="shared" si="27"/>
        <v>0</v>
      </c>
      <c r="BI167" s="325">
        <f t="shared" si="28"/>
        <v>0</v>
      </c>
      <c r="BJ167" s="214" t="s">
        <v>81</v>
      </c>
      <c r="BK167" s="325">
        <f t="shared" si="29"/>
        <v>0</v>
      </c>
      <c r="BL167" s="214" t="s">
        <v>153</v>
      </c>
      <c r="BM167" s="324" t="s">
        <v>1442</v>
      </c>
    </row>
    <row r="168" spans="1:65" s="225" customFormat="1" ht="55.5" customHeight="1">
      <c r="A168" s="222"/>
      <c r="B168" s="223"/>
      <c r="C168" s="314" t="s">
        <v>261</v>
      </c>
      <c r="D168" s="314" t="s">
        <v>148</v>
      </c>
      <c r="E168" s="315" t="s">
        <v>1443</v>
      </c>
      <c r="F168" s="316" t="s">
        <v>1444</v>
      </c>
      <c r="G168" s="317" t="s">
        <v>1361</v>
      </c>
      <c r="H168" s="318">
        <v>7</v>
      </c>
      <c r="I168" s="79"/>
      <c r="J168" s="319">
        <f t="shared" si="20"/>
        <v>0</v>
      </c>
      <c r="K168" s="316" t="s">
        <v>1</v>
      </c>
      <c r="L168" s="223"/>
      <c r="M168" s="320" t="s">
        <v>1</v>
      </c>
      <c r="N168" s="321" t="s">
        <v>42</v>
      </c>
      <c r="O168" s="322">
        <v>0</v>
      </c>
      <c r="P168" s="322">
        <f t="shared" si="21"/>
        <v>0</v>
      </c>
      <c r="Q168" s="322">
        <v>0</v>
      </c>
      <c r="R168" s="322">
        <f t="shared" si="22"/>
        <v>0</v>
      </c>
      <c r="S168" s="322">
        <v>0</v>
      </c>
      <c r="T168" s="323">
        <f t="shared" si="23"/>
        <v>0</v>
      </c>
      <c r="U168" s="222"/>
      <c r="V168" s="222"/>
      <c r="W168" s="222"/>
      <c r="X168" s="222"/>
      <c r="Y168" s="222"/>
      <c r="Z168" s="222"/>
      <c r="AA168" s="222"/>
      <c r="AB168" s="222"/>
      <c r="AC168" s="222"/>
      <c r="AD168" s="222"/>
      <c r="AE168" s="222"/>
      <c r="AR168" s="324" t="s">
        <v>153</v>
      </c>
      <c r="AT168" s="324" t="s">
        <v>148</v>
      </c>
      <c r="AU168" s="324" t="s">
        <v>83</v>
      </c>
      <c r="AY168" s="214" t="s">
        <v>146</v>
      </c>
      <c r="BE168" s="325">
        <f t="shared" si="24"/>
        <v>0</v>
      </c>
      <c r="BF168" s="325">
        <f t="shared" si="25"/>
        <v>0</v>
      </c>
      <c r="BG168" s="325">
        <f t="shared" si="26"/>
        <v>0</v>
      </c>
      <c r="BH168" s="325">
        <f t="shared" si="27"/>
        <v>0</v>
      </c>
      <c r="BI168" s="325">
        <f t="shared" si="28"/>
        <v>0</v>
      </c>
      <c r="BJ168" s="214" t="s">
        <v>81</v>
      </c>
      <c r="BK168" s="325">
        <f t="shared" si="29"/>
        <v>0</v>
      </c>
      <c r="BL168" s="214" t="s">
        <v>153</v>
      </c>
      <c r="BM168" s="324" t="s">
        <v>1445</v>
      </c>
    </row>
    <row r="169" spans="1:65" s="225" customFormat="1" ht="24.2" customHeight="1">
      <c r="A169" s="222"/>
      <c r="B169" s="223"/>
      <c r="C169" s="314" t="s">
        <v>265</v>
      </c>
      <c r="D169" s="314" t="s">
        <v>148</v>
      </c>
      <c r="E169" s="315" t="s">
        <v>1446</v>
      </c>
      <c r="F169" s="316" t="s">
        <v>1447</v>
      </c>
      <c r="G169" s="317" t="s">
        <v>1361</v>
      </c>
      <c r="H169" s="318">
        <v>19</v>
      </c>
      <c r="I169" s="79"/>
      <c r="J169" s="319">
        <f t="shared" si="20"/>
        <v>0</v>
      </c>
      <c r="K169" s="316" t="s">
        <v>1</v>
      </c>
      <c r="L169" s="223"/>
      <c r="M169" s="320" t="s">
        <v>1</v>
      </c>
      <c r="N169" s="321" t="s">
        <v>42</v>
      </c>
      <c r="O169" s="322">
        <v>0</v>
      </c>
      <c r="P169" s="322">
        <f t="shared" si="21"/>
        <v>0</v>
      </c>
      <c r="Q169" s="322">
        <v>0</v>
      </c>
      <c r="R169" s="322">
        <f t="shared" si="22"/>
        <v>0</v>
      </c>
      <c r="S169" s="322">
        <v>0</v>
      </c>
      <c r="T169" s="323">
        <f t="shared" si="23"/>
        <v>0</v>
      </c>
      <c r="U169" s="222"/>
      <c r="V169" s="222"/>
      <c r="W169" s="222"/>
      <c r="X169" s="222"/>
      <c r="Y169" s="222"/>
      <c r="Z169" s="222"/>
      <c r="AA169" s="222"/>
      <c r="AB169" s="222"/>
      <c r="AC169" s="222"/>
      <c r="AD169" s="222"/>
      <c r="AE169" s="222"/>
      <c r="AR169" s="324" t="s">
        <v>153</v>
      </c>
      <c r="AT169" s="324" t="s">
        <v>148</v>
      </c>
      <c r="AU169" s="324" t="s">
        <v>83</v>
      </c>
      <c r="AY169" s="214" t="s">
        <v>146</v>
      </c>
      <c r="BE169" s="325">
        <f t="shared" si="24"/>
        <v>0</v>
      </c>
      <c r="BF169" s="325">
        <f t="shared" si="25"/>
        <v>0</v>
      </c>
      <c r="BG169" s="325">
        <f t="shared" si="26"/>
        <v>0</v>
      </c>
      <c r="BH169" s="325">
        <f t="shared" si="27"/>
        <v>0</v>
      </c>
      <c r="BI169" s="325">
        <f t="shared" si="28"/>
        <v>0</v>
      </c>
      <c r="BJ169" s="214" t="s">
        <v>81</v>
      </c>
      <c r="BK169" s="325">
        <f t="shared" si="29"/>
        <v>0</v>
      </c>
      <c r="BL169" s="214" t="s">
        <v>153</v>
      </c>
      <c r="BM169" s="324" t="s">
        <v>1448</v>
      </c>
    </row>
    <row r="170" spans="1:65" s="225" customFormat="1" ht="49.15" customHeight="1">
      <c r="A170" s="222"/>
      <c r="B170" s="223"/>
      <c r="C170" s="314" t="s">
        <v>269</v>
      </c>
      <c r="D170" s="314" t="s">
        <v>148</v>
      </c>
      <c r="E170" s="315" t="s">
        <v>1449</v>
      </c>
      <c r="F170" s="316" t="s">
        <v>1450</v>
      </c>
      <c r="G170" s="317" t="s">
        <v>1361</v>
      </c>
      <c r="H170" s="318">
        <v>10</v>
      </c>
      <c r="I170" s="79"/>
      <c r="J170" s="319">
        <f t="shared" si="20"/>
        <v>0</v>
      </c>
      <c r="K170" s="316" t="s">
        <v>1</v>
      </c>
      <c r="L170" s="223"/>
      <c r="M170" s="320" t="s">
        <v>1</v>
      </c>
      <c r="N170" s="321" t="s">
        <v>42</v>
      </c>
      <c r="O170" s="322">
        <v>0</v>
      </c>
      <c r="P170" s="322">
        <f t="shared" si="21"/>
        <v>0</v>
      </c>
      <c r="Q170" s="322">
        <v>0</v>
      </c>
      <c r="R170" s="322">
        <f t="shared" si="22"/>
        <v>0</v>
      </c>
      <c r="S170" s="322">
        <v>0</v>
      </c>
      <c r="T170" s="323">
        <f t="shared" si="23"/>
        <v>0</v>
      </c>
      <c r="U170" s="222"/>
      <c r="V170" s="222"/>
      <c r="W170" s="222"/>
      <c r="X170" s="222"/>
      <c r="Y170" s="222"/>
      <c r="Z170" s="222"/>
      <c r="AA170" s="222"/>
      <c r="AB170" s="222"/>
      <c r="AC170" s="222"/>
      <c r="AD170" s="222"/>
      <c r="AE170" s="222"/>
      <c r="AR170" s="324" t="s">
        <v>153</v>
      </c>
      <c r="AT170" s="324" t="s">
        <v>148</v>
      </c>
      <c r="AU170" s="324" t="s">
        <v>83</v>
      </c>
      <c r="AY170" s="214" t="s">
        <v>146</v>
      </c>
      <c r="BE170" s="325">
        <f t="shared" si="24"/>
        <v>0</v>
      </c>
      <c r="BF170" s="325">
        <f t="shared" si="25"/>
        <v>0</v>
      </c>
      <c r="BG170" s="325">
        <f t="shared" si="26"/>
        <v>0</v>
      </c>
      <c r="BH170" s="325">
        <f t="shared" si="27"/>
        <v>0</v>
      </c>
      <c r="BI170" s="325">
        <f t="shared" si="28"/>
        <v>0</v>
      </c>
      <c r="BJ170" s="214" t="s">
        <v>81</v>
      </c>
      <c r="BK170" s="325">
        <f t="shared" si="29"/>
        <v>0</v>
      </c>
      <c r="BL170" s="214" t="s">
        <v>153</v>
      </c>
      <c r="BM170" s="324" t="s">
        <v>1451</v>
      </c>
    </row>
    <row r="171" spans="1:65" s="225" customFormat="1" ht="24.2" customHeight="1">
      <c r="A171" s="222"/>
      <c r="B171" s="223"/>
      <c r="C171" s="314" t="s">
        <v>274</v>
      </c>
      <c r="D171" s="314" t="s">
        <v>148</v>
      </c>
      <c r="E171" s="315" t="s">
        <v>1452</v>
      </c>
      <c r="F171" s="316" t="s">
        <v>1453</v>
      </c>
      <c r="G171" s="317" t="s">
        <v>1361</v>
      </c>
      <c r="H171" s="318">
        <v>18</v>
      </c>
      <c r="I171" s="79"/>
      <c r="J171" s="319">
        <f t="shared" si="20"/>
        <v>0</v>
      </c>
      <c r="K171" s="316" t="s">
        <v>1</v>
      </c>
      <c r="L171" s="223"/>
      <c r="M171" s="320" t="s">
        <v>1</v>
      </c>
      <c r="N171" s="321" t="s">
        <v>42</v>
      </c>
      <c r="O171" s="322">
        <v>0</v>
      </c>
      <c r="P171" s="322">
        <f t="shared" si="21"/>
        <v>0</v>
      </c>
      <c r="Q171" s="322">
        <v>0</v>
      </c>
      <c r="R171" s="322">
        <f t="shared" si="22"/>
        <v>0</v>
      </c>
      <c r="S171" s="322">
        <v>0</v>
      </c>
      <c r="T171" s="323">
        <f t="shared" si="23"/>
        <v>0</v>
      </c>
      <c r="U171" s="222"/>
      <c r="V171" s="222"/>
      <c r="W171" s="222"/>
      <c r="X171" s="222"/>
      <c r="Y171" s="222"/>
      <c r="Z171" s="222"/>
      <c r="AA171" s="222"/>
      <c r="AB171" s="222"/>
      <c r="AC171" s="222"/>
      <c r="AD171" s="222"/>
      <c r="AE171" s="222"/>
      <c r="AR171" s="324" t="s">
        <v>153</v>
      </c>
      <c r="AT171" s="324" t="s">
        <v>148</v>
      </c>
      <c r="AU171" s="324" t="s">
        <v>83</v>
      </c>
      <c r="AY171" s="214" t="s">
        <v>146</v>
      </c>
      <c r="BE171" s="325">
        <f t="shared" si="24"/>
        <v>0</v>
      </c>
      <c r="BF171" s="325">
        <f t="shared" si="25"/>
        <v>0</v>
      </c>
      <c r="BG171" s="325">
        <f t="shared" si="26"/>
        <v>0</v>
      </c>
      <c r="BH171" s="325">
        <f t="shared" si="27"/>
        <v>0</v>
      </c>
      <c r="BI171" s="325">
        <f t="shared" si="28"/>
        <v>0</v>
      </c>
      <c r="BJ171" s="214" t="s">
        <v>81</v>
      </c>
      <c r="BK171" s="325">
        <f t="shared" si="29"/>
        <v>0</v>
      </c>
      <c r="BL171" s="214" t="s">
        <v>153</v>
      </c>
      <c r="BM171" s="324" t="s">
        <v>1454</v>
      </c>
    </row>
    <row r="172" spans="1:65" s="225" customFormat="1" ht="24.2" customHeight="1">
      <c r="A172" s="222"/>
      <c r="B172" s="223"/>
      <c r="C172" s="314" t="s">
        <v>287</v>
      </c>
      <c r="D172" s="314" t="s">
        <v>148</v>
      </c>
      <c r="E172" s="315" t="s">
        <v>1455</v>
      </c>
      <c r="F172" s="316" t="s">
        <v>1456</v>
      </c>
      <c r="G172" s="317" t="s">
        <v>1361</v>
      </c>
      <c r="H172" s="318">
        <v>36</v>
      </c>
      <c r="I172" s="79"/>
      <c r="J172" s="319">
        <f t="shared" si="20"/>
        <v>0</v>
      </c>
      <c r="K172" s="316" t="s">
        <v>1</v>
      </c>
      <c r="L172" s="223"/>
      <c r="M172" s="320" t="s">
        <v>1</v>
      </c>
      <c r="N172" s="321" t="s">
        <v>42</v>
      </c>
      <c r="O172" s="322">
        <v>0</v>
      </c>
      <c r="P172" s="322">
        <f t="shared" si="21"/>
        <v>0</v>
      </c>
      <c r="Q172" s="322">
        <v>0</v>
      </c>
      <c r="R172" s="322">
        <f t="shared" si="22"/>
        <v>0</v>
      </c>
      <c r="S172" s="322">
        <v>0</v>
      </c>
      <c r="T172" s="323">
        <f t="shared" si="23"/>
        <v>0</v>
      </c>
      <c r="U172" s="222"/>
      <c r="V172" s="222"/>
      <c r="W172" s="222"/>
      <c r="X172" s="222"/>
      <c r="Y172" s="222"/>
      <c r="Z172" s="222"/>
      <c r="AA172" s="222"/>
      <c r="AB172" s="222"/>
      <c r="AC172" s="222"/>
      <c r="AD172" s="222"/>
      <c r="AE172" s="222"/>
      <c r="AR172" s="324" t="s">
        <v>153</v>
      </c>
      <c r="AT172" s="324" t="s">
        <v>148</v>
      </c>
      <c r="AU172" s="324" t="s">
        <v>83</v>
      </c>
      <c r="AY172" s="214" t="s">
        <v>146</v>
      </c>
      <c r="BE172" s="325">
        <f t="shared" si="24"/>
        <v>0</v>
      </c>
      <c r="BF172" s="325">
        <f t="shared" si="25"/>
        <v>0</v>
      </c>
      <c r="BG172" s="325">
        <f t="shared" si="26"/>
        <v>0</v>
      </c>
      <c r="BH172" s="325">
        <f t="shared" si="27"/>
        <v>0</v>
      </c>
      <c r="BI172" s="325">
        <f t="shared" si="28"/>
        <v>0</v>
      </c>
      <c r="BJ172" s="214" t="s">
        <v>81</v>
      </c>
      <c r="BK172" s="325">
        <f t="shared" si="29"/>
        <v>0</v>
      </c>
      <c r="BL172" s="214" t="s">
        <v>153</v>
      </c>
      <c r="BM172" s="324" t="s">
        <v>1457</v>
      </c>
    </row>
    <row r="173" spans="1:65" s="225" customFormat="1" ht="33" customHeight="1">
      <c r="A173" s="222"/>
      <c r="B173" s="223"/>
      <c r="C173" s="314" t="s">
        <v>293</v>
      </c>
      <c r="D173" s="314" t="s">
        <v>148</v>
      </c>
      <c r="E173" s="315" t="s">
        <v>1458</v>
      </c>
      <c r="F173" s="316" t="s">
        <v>1459</v>
      </c>
      <c r="G173" s="317" t="s">
        <v>1361</v>
      </c>
      <c r="H173" s="318">
        <v>1</v>
      </c>
      <c r="I173" s="79"/>
      <c r="J173" s="319">
        <f t="shared" si="20"/>
        <v>0</v>
      </c>
      <c r="K173" s="316" t="s">
        <v>1</v>
      </c>
      <c r="L173" s="223"/>
      <c r="M173" s="320" t="s">
        <v>1</v>
      </c>
      <c r="N173" s="321" t="s">
        <v>42</v>
      </c>
      <c r="O173" s="322">
        <v>0</v>
      </c>
      <c r="P173" s="322">
        <f t="shared" si="21"/>
        <v>0</v>
      </c>
      <c r="Q173" s="322">
        <v>0</v>
      </c>
      <c r="R173" s="322">
        <f t="shared" si="22"/>
        <v>0</v>
      </c>
      <c r="S173" s="322">
        <v>0</v>
      </c>
      <c r="T173" s="323">
        <f t="shared" si="23"/>
        <v>0</v>
      </c>
      <c r="U173" s="222"/>
      <c r="V173" s="222"/>
      <c r="W173" s="222"/>
      <c r="X173" s="222"/>
      <c r="Y173" s="222"/>
      <c r="Z173" s="222"/>
      <c r="AA173" s="222"/>
      <c r="AB173" s="222"/>
      <c r="AC173" s="222"/>
      <c r="AD173" s="222"/>
      <c r="AE173" s="222"/>
      <c r="AR173" s="324" t="s">
        <v>153</v>
      </c>
      <c r="AT173" s="324" t="s">
        <v>148</v>
      </c>
      <c r="AU173" s="324" t="s">
        <v>83</v>
      </c>
      <c r="AY173" s="214" t="s">
        <v>146</v>
      </c>
      <c r="BE173" s="325">
        <f t="shared" si="24"/>
        <v>0</v>
      </c>
      <c r="BF173" s="325">
        <f t="shared" si="25"/>
        <v>0</v>
      </c>
      <c r="BG173" s="325">
        <f t="shared" si="26"/>
        <v>0</v>
      </c>
      <c r="BH173" s="325">
        <f t="shared" si="27"/>
        <v>0</v>
      </c>
      <c r="BI173" s="325">
        <f t="shared" si="28"/>
        <v>0</v>
      </c>
      <c r="BJ173" s="214" t="s">
        <v>81</v>
      </c>
      <c r="BK173" s="325">
        <f t="shared" si="29"/>
        <v>0</v>
      </c>
      <c r="BL173" s="214" t="s">
        <v>153</v>
      </c>
      <c r="BM173" s="324" t="s">
        <v>1460</v>
      </c>
    </row>
    <row r="174" spans="1:65" s="225" customFormat="1" ht="24.2" customHeight="1">
      <c r="A174" s="222"/>
      <c r="B174" s="223"/>
      <c r="C174" s="314" t="s">
        <v>298</v>
      </c>
      <c r="D174" s="314" t="s">
        <v>148</v>
      </c>
      <c r="E174" s="315" t="s">
        <v>1461</v>
      </c>
      <c r="F174" s="316" t="s">
        <v>1462</v>
      </c>
      <c r="G174" s="317" t="s">
        <v>1361</v>
      </c>
      <c r="H174" s="318">
        <v>7</v>
      </c>
      <c r="I174" s="79"/>
      <c r="J174" s="319">
        <f t="shared" si="20"/>
        <v>0</v>
      </c>
      <c r="K174" s="316" t="s">
        <v>1</v>
      </c>
      <c r="L174" s="223"/>
      <c r="M174" s="320" t="s">
        <v>1</v>
      </c>
      <c r="N174" s="321" t="s">
        <v>42</v>
      </c>
      <c r="O174" s="322">
        <v>0</v>
      </c>
      <c r="P174" s="322">
        <f t="shared" si="21"/>
        <v>0</v>
      </c>
      <c r="Q174" s="322">
        <v>0</v>
      </c>
      <c r="R174" s="322">
        <f t="shared" si="22"/>
        <v>0</v>
      </c>
      <c r="S174" s="322">
        <v>0</v>
      </c>
      <c r="T174" s="323">
        <f t="shared" si="23"/>
        <v>0</v>
      </c>
      <c r="U174" s="222"/>
      <c r="V174" s="222"/>
      <c r="W174" s="222"/>
      <c r="X174" s="222"/>
      <c r="Y174" s="222"/>
      <c r="Z174" s="222"/>
      <c r="AA174" s="222"/>
      <c r="AB174" s="222"/>
      <c r="AC174" s="222"/>
      <c r="AD174" s="222"/>
      <c r="AE174" s="222"/>
      <c r="AR174" s="324" t="s">
        <v>153</v>
      </c>
      <c r="AT174" s="324" t="s">
        <v>148</v>
      </c>
      <c r="AU174" s="324" t="s">
        <v>83</v>
      </c>
      <c r="AY174" s="214" t="s">
        <v>146</v>
      </c>
      <c r="BE174" s="325">
        <f t="shared" si="24"/>
        <v>0</v>
      </c>
      <c r="BF174" s="325">
        <f t="shared" si="25"/>
        <v>0</v>
      </c>
      <c r="BG174" s="325">
        <f t="shared" si="26"/>
        <v>0</v>
      </c>
      <c r="BH174" s="325">
        <f t="shared" si="27"/>
        <v>0</v>
      </c>
      <c r="BI174" s="325">
        <f t="shared" si="28"/>
        <v>0</v>
      </c>
      <c r="BJ174" s="214" t="s">
        <v>81</v>
      </c>
      <c r="BK174" s="325">
        <f t="shared" si="29"/>
        <v>0</v>
      </c>
      <c r="BL174" s="214" t="s">
        <v>153</v>
      </c>
      <c r="BM174" s="324" t="s">
        <v>1463</v>
      </c>
    </row>
    <row r="175" spans="1:65" s="225" customFormat="1" ht="24.2" customHeight="1">
      <c r="A175" s="222"/>
      <c r="B175" s="223"/>
      <c r="C175" s="314" t="s">
        <v>305</v>
      </c>
      <c r="D175" s="314" t="s">
        <v>148</v>
      </c>
      <c r="E175" s="315" t="s">
        <v>1464</v>
      </c>
      <c r="F175" s="316" t="s">
        <v>1465</v>
      </c>
      <c r="G175" s="317" t="s">
        <v>1361</v>
      </c>
      <c r="H175" s="318">
        <v>5</v>
      </c>
      <c r="I175" s="79"/>
      <c r="J175" s="319">
        <f t="shared" si="20"/>
        <v>0</v>
      </c>
      <c r="K175" s="316" t="s">
        <v>1</v>
      </c>
      <c r="L175" s="223"/>
      <c r="M175" s="320" t="s">
        <v>1</v>
      </c>
      <c r="N175" s="321" t="s">
        <v>42</v>
      </c>
      <c r="O175" s="322">
        <v>0</v>
      </c>
      <c r="P175" s="322">
        <f t="shared" si="21"/>
        <v>0</v>
      </c>
      <c r="Q175" s="322">
        <v>0</v>
      </c>
      <c r="R175" s="322">
        <f t="shared" si="22"/>
        <v>0</v>
      </c>
      <c r="S175" s="322">
        <v>0</v>
      </c>
      <c r="T175" s="323">
        <f t="shared" si="23"/>
        <v>0</v>
      </c>
      <c r="U175" s="222"/>
      <c r="V175" s="222"/>
      <c r="W175" s="222"/>
      <c r="X175" s="222"/>
      <c r="Y175" s="222"/>
      <c r="Z175" s="222"/>
      <c r="AA175" s="222"/>
      <c r="AB175" s="222"/>
      <c r="AC175" s="222"/>
      <c r="AD175" s="222"/>
      <c r="AE175" s="222"/>
      <c r="AR175" s="324" t="s">
        <v>153</v>
      </c>
      <c r="AT175" s="324" t="s">
        <v>148</v>
      </c>
      <c r="AU175" s="324" t="s">
        <v>83</v>
      </c>
      <c r="AY175" s="214" t="s">
        <v>146</v>
      </c>
      <c r="BE175" s="325">
        <f t="shared" si="24"/>
        <v>0</v>
      </c>
      <c r="BF175" s="325">
        <f t="shared" si="25"/>
        <v>0</v>
      </c>
      <c r="BG175" s="325">
        <f t="shared" si="26"/>
        <v>0</v>
      </c>
      <c r="BH175" s="325">
        <f t="shared" si="27"/>
        <v>0</v>
      </c>
      <c r="BI175" s="325">
        <f t="shared" si="28"/>
        <v>0</v>
      </c>
      <c r="BJ175" s="214" t="s">
        <v>81</v>
      </c>
      <c r="BK175" s="325">
        <f t="shared" si="29"/>
        <v>0</v>
      </c>
      <c r="BL175" s="214" t="s">
        <v>153</v>
      </c>
      <c r="BM175" s="324" t="s">
        <v>1466</v>
      </c>
    </row>
    <row r="176" spans="1:65" s="225" customFormat="1" ht="33" customHeight="1">
      <c r="A176" s="222"/>
      <c r="B176" s="223"/>
      <c r="C176" s="314" t="s">
        <v>310</v>
      </c>
      <c r="D176" s="314" t="s">
        <v>148</v>
      </c>
      <c r="E176" s="315" t="s">
        <v>1467</v>
      </c>
      <c r="F176" s="316" t="s">
        <v>1468</v>
      </c>
      <c r="G176" s="317" t="s">
        <v>1361</v>
      </c>
      <c r="H176" s="318">
        <v>3</v>
      </c>
      <c r="I176" s="79"/>
      <c r="J176" s="319">
        <f t="shared" si="20"/>
        <v>0</v>
      </c>
      <c r="K176" s="316" t="s">
        <v>1</v>
      </c>
      <c r="L176" s="223"/>
      <c r="M176" s="320" t="s">
        <v>1</v>
      </c>
      <c r="N176" s="321" t="s">
        <v>42</v>
      </c>
      <c r="O176" s="322">
        <v>0</v>
      </c>
      <c r="P176" s="322">
        <f t="shared" si="21"/>
        <v>0</v>
      </c>
      <c r="Q176" s="322">
        <v>0</v>
      </c>
      <c r="R176" s="322">
        <f t="shared" si="22"/>
        <v>0</v>
      </c>
      <c r="S176" s="322">
        <v>0</v>
      </c>
      <c r="T176" s="323">
        <f t="shared" si="23"/>
        <v>0</v>
      </c>
      <c r="U176" s="222"/>
      <c r="V176" s="222"/>
      <c r="W176" s="222"/>
      <c r="X176" s="222"/>
      <c r="Y176" s="222"/>
      <c r="Z176" s="222"/>
      <c r="AA176" s="222"/>
      <c r="AB176" s="222"/>
      <c r="AC176" s="222"/>
      <c r="AD176" s="222"/>
      <c r="AE176" s="222"/>
      <c r="AR176" s="324" t="s">
        <v>153</v>
      </c>
      <c r="AT176" s="324" t="s">
        <v>148</v>
      </c>
      <c r="AU176" s="324" t="s">
        <v>83</v>
      </c>
      <c r="AY176" s="214" t="s">
        <v>146</v>
      </c>
      <c r="BE176" s="325">
        <f t="shared" si="24"/>
        <v>0</v>
      </c>
      <c r="BF176" s="325">
        <f t="shared" si="25"/>
        <v>0</v>
      </c>
      <c r="BG176" s="325">
        <f t="shared" si="26"/>
        <v>0</v>
      </c>
      <c r="BH176" s="325">
        <f t="shared" si="27"/>
        <v>0</v>
      </c>
      <c r="BI176" s="325">
        <f t="shared" si="28"/>
        <v>0</v>
      </c>
      <c r="BJ176" s="214" t="s">
        <v>81</v>
      </c>
      <c r="BK176" s="325">
        <f t="shared" si="29"/>
        <v>0</v>
      </c>
      <c r="BL176" s="214" t="s">
        <v>153</v>
      </c>
      <c r="BM176" s="324" t="s">
        <v>1469</v>
      </c>
    </row>
    <row r="177" spans="2:63" s="297" customFormat="1" ht="22.9" customHeight="1">
      <c r="B177" s="298"/>
      <c r="D177" s="299" t="s">
        <v>75</v>
      </c>
      <c r="E177" s="660" t="s">
        <v>1470</v>
      </c>
      <c r="F177" s="660" t="s">
        <v>1471</v>
      </c>
      <c r="I177" s="501"/>
      <c r="J177" s="311">
        <f>SUM(J178:J180)</f>
        <v>0</v>
      </c>
      <c r="L177" s="298"/>
      <c r="M177" s="303"/>
      <c r="N177" s="304"/>
      <c r="O177" s="304"/>
      <c r="P177" s="305">
        <f>SUM(P178:P180)</f>
        <v>0</v>
      </c>
      <c r="Q177" s="304"/>
      <c r="R177" s="305">
        <f>SUM(R178:R180)</f>
        <v>0</v>
      </c>
      <c r="S177" s="304"/>
      <c r="T177" s="313">
        <f>SUM(T178:T180)</f>
        <v>0</v>
      </c>
      <c r="AR177" s="299" t="s">
        <v>81</v>
      </c>
      <c r="AT177" s="308" t="s">
        <v>75</v>
      </c>
      <c r="AU177" s="308" t="s">
        <v>81</v>
      </c>
      <c r="AY177" s="299" t="s">
        <v>146</v>
      </c>
      <c r="BK177" s="309">
        <f>SUM(BK178:BK180)</f>
        <v>0</v>
      </c>
    </row>
    <row r="178" spans="1:65" s="225" customFormat="1" ht="33" customHeight="1">
      <c r="A178" s="222"/>
      <c r="B178" s="223"/>
      <c r="C178" s="314" t="s">
        <v>314</v>
      </c>
      <c r="D178" s="314" t="s">
        <v>148</v>
      </c>
      <c r="E178" s="315" t="s">
        <v>1472</v>
      </c>
      <c r="F178" s="316" t="s">
        <v>1473</v>
      </c>
      <c r="G178" s="317" t="s">
        <v>1361</v>
      </c>
      <c r="H178" s="318">
        <v>90</v>
      </c>
      <c r="I178" s="79"/>
      <c r="J178" s="319">
        <f>ROUND(I178*H178,2)</f>
        <v>0</v>
      </c>
      <c r="K178" s="316" t="s">
        <v>1</v>
      </c>
      <c r="L178" s="223"/>
      <c r="M178" s="320" t="s">
        <v>1</v>
      </c>
      <c r="N178" s="321" t="s">
        <v>42</v>
      </c>
      <c r="O178" s="322">
        <v>0</v>
      </c>
      <c r="P178" s="322">
        <f>O178*H178</f>
        <v>0</v>
      </c>
      <c r="Q178" s="322">
        <v>0</v>
      </c>
      <c r="R178" s="322">
        <f>Q178*H178</f>
        <v>0</v>
      </c>
      <c r="S178" s="322">
        <v>0</v>
      </c>
      <c r="T178" s="323">
        <f>S178*H178</f>
        <v>0</v>
      </c>
      <c r="U178" s="222"/>
      <c r="V178" s="222"/>
      <c r="W178" s="222"/>
      <c r="X178" s="222"/>
      <c r="Y178" s="222"/>
      <c r="Z178" s="222"/>
      <c r="AA178" s="222"/>
      <c r="AB178" s="222"/>
      <c r="AC178" s="222"/>
      <c r="AD178" s="222"/>
      <c r="AE178" s="222"/>
      <c r="AR178" s="324" t="s">
        <v>153</v>
      </c>
      <c r="AT178" s="324" t="s">
        <v>148</v>
      </c>
      <c r="AU178" s="324" t="s">
        <v>83</v>
      </c>
      <c r="AY178" s="214" t="s">
        <v>146</v>
      </c>
      <c r="BE178" s="325">
        <f>IF(N178="základní",J178,0)</f>
        <v>0</v>
      </c>
      <c r="BF178" s="325">
        <f>IF(N178="snížená",J178,0)</f>
        <v>0</v>
      </c>
      <c r="BG178" s="325">
        <f>IF(N178="zákl. přenesená",J178,0)</f>
        <v>0</v>
      </c>
      <c r="BH178" s="325">
        <f>IF(N178="sníž. přenesená",J178,0)</f>
        <v>0</v>
      </c>
      <c r="BI178" s="325">
        <f>IF(N178="nulová",J178,0)</f>
        <v>0</v>
      </c>
      <c r="BJ178" s="214" t="s">
        <v>81</v>
      </c>
      <c r="BK178" s="325">
        <f>ROUND(I178*H178,2)</f>
        <v>0</v>
      </c>
      <c r="BL178" s="214" t="s">
        <v>153</v>
      </c>
      <c r="BM178" s="324" t="s">
        <v>1474</v>
      </c>
    </row>
    <row r="179" spans="1:65" s="263" customFormat="1" ht="16.5" customHeight="1">
      <c r="A179" s="258"/>
      <c r="B179" s="259"/>
      <c r="C179" s="357" t="s">
        <v>322</v>
      </c>
      <c r="D179" s="357" t="s">
        <v>148</v>
      </c>
      <c r="E179" s="397" t="s">
        <v>1475</v>
      </c>
      <c r="F179" s="344" t="s">
        <v>1476</v>
      </c>
      <c r="G179" s="399" t="s">
        <v>158</v>
      </c>
      <c r="H179" s="400">
        <v>200</v>
      </c>
      <c r="I179" s="85"/>
      <c r="J179" s="401">
        <f>ROUND(I179*H179,2)</f>
        <v>0</v>
      </c>
      <c r="K179" s="344" t="s">
        <v>1</v>
      </c>
      <c r="L179" s="259"/>
      <c r="M179" s="402" t="s">
        <v>1</v>
      </c>
      <c r="N179" s="403" t="s">
        <v>42</v>
      </c>
      <c r="O179" s="404">
        <v>0</v>
      </c>
      <c r="P179" s="404">
        <f>O179*H179</f>
        <v>0</v>
      </c>
      <c r="Q179" s="404">
        <v>0</v>
      </c>
      <c r="R179" s="404">
        <f>Q179*H179</f>
        <v>0</v>
      </c>
      <c r="S179" s="404">
        <v>0</v>
      </c>
      <c r="T179" s="405">
        <f>S179*H179</f>
        <v>0</v>
      </c>
      <c r="U179" s="258"/>
      <c r="V179" s="258"/>
      <c r="W179" s="258"/>
      <c r="X179" s="258"/>
      <c r="Y179" s="258"/>
      <c r="Z179" s="258"/>
      <c r="AA179" s="258"/>
      <c r="AB179" s="258"/>
      <c r="AC179" s="258"/>
      <c r="AD179" s="258"/>
      <c r="AE179" s="258"/>
      <c r="AR179" s="260" t="s">
        <v>153</v>
      </c>
      <c r="AT179" s="260" t="s">
        <v>148</v>
      </c>
      <c r="AU179" s="260" t="s">
        <v>83</v>
      </c>
      <c r="AY179" s="406" t="s">
        <v>146</v>
      </c>
      <c r="BE179" s="407">
        <f>IF(N179="základní",J179,0)</f>
        <v>0</v>
      </c>
      <c r="BF179" s="407">
        <f>IF(N179="snížená",J179,0)</f>
        <v>0</v>
      </c>
      <c r="BG179" s="407">
        <f>IF(N179="zákl. přenesená",J179,0)</f>
        <v>0</v>
      </c>
      <c r="BH179" s="407">
        <f>IF(N179="sníž. přenesená",J179,0)</f>
        <v>0</v>
      </c>
      <c r="BI179" s="407">
        <f>IF(N179="nulová",J179,0)</f>
        <v>0</v>
      </c>
      <c r="BJ179" s="406" t="s">
        <v>81</v>
      </c>
      <c r="BK179" s="407">
        <f>ROUND(I179*H179,2)</f>
        <v>0</v>
      </c>
      <c r="BL179" s="406" t="s">
        <v>153</v>
      </c>
      <c r="BM179" s="260" t="s">
        <v>1477</v>
      </c>
    </row>
    <row r="180" spans="1:65" s="225" customFormat="1" ht="16.5" customHeight="1">
      <c r="A180" s="222"/>
      <c r="B180" s="223"/>
      <c r="C180" s="314" t="s">
        <v>326</v>
      </c>
      <c r="D180" s="314" t="s">
        <v>148</v>
      </c>
      <c r="E180" s="315" t="s">
        <v>1478</v>
      </c>
      <c r="F180" s="316" t="s">
        <v>1479</v>
      </c>
      <c r="G180" s="317" t="s">
        <v>1361</v>
      </c>
      <c r="H180" s="318">
        <v>4</v>
      </c>
      <c r="I180" s="79"/>
      <c r="J180" s="319">
        <f>ROUND(I180*H180,2)</f>
        <v>0</v>
      </c>
      <c r="K180" s="316" t="s">
        <v>1</v>
      </c>
      <c r="L180" s="223"/>
      <c r="M180" s="320" t="s">
        <v>1</v>
      </c>
      <c r="N180" s="321" t="s">
        <v>42</v>
      </c>
      <c r="O180" s="322">
        <v>0</v>
      </c>
      <c r="P180" s="322">
        <f>O180*H180</f>
        <v>0</v>
      </c>
      <c r="Q180" s="322">
        <v>0</v>
      </c>
      <c r="R180" s="322">
        <f>Q180*H180</f>
        <v>0</v>
      </c>
      <c r="S180" s="322">
        <v>0</v>
      </c>
      <c r="T180" s="323">
        <f>S180*H180</f>
        <v>0</v>
      </c>
      <c r="U180" s="222"/>
      <c r="V180" s="222"/>
      <c r="W180" s="222"/>
      <c r="X180" s="222"/>
      <c r="Y180" s="222"/>
      <c r="Z180" s="222"/>
      <c r="AA180" s="222"/>
      <c r="AB180" s="222"/>
      <c r="AC180" s="222"/>
      <c r="AD180" s="222"/>
      <c r="AE180" s="222"/>
      <c r="AR180" s="324" t="s">
        <v>153</v>
      </c>
      <c r="AT180" s="324" t="s">
        <v>148</v>
      </c>
      <c r="AU180" s="324" t="s">
        <v>83</v>
      </c>
      <c r="AY180" s="214" t="s">
        <v>146</v>
      </c>
      <c r="BE180" s="325">
        <f>IF(N180="základní",J180,0)</f>
        <v>0</v>
      </c>
      <c r="BF180" s="325">
        <f>IF(N180="snížená",J180,0)</f>
        <v>0</v>
      </c>
      <c r="BG180" s="325">
        <f>IF(N180="zákl. přenesená",J180,0)</f>
        <v>0</v>
      </c>
      <c r="BH180" s="325">
        <f>IF(N180="sníž. přenesená",J180,0)</f>
        <v>0</v>
      </c>
      <c r="BI180" s="325">
        <f>IF(N180="nulová",J180,0)</f>
        <v>0</v>
      </c>
      <c r="BJ180" s="214" t="s">
        <v>81</v>
      </c>
      <c r="BK180" s="325">
        <f>ROUND(I180*H180,2)</f>
        <v>0</v>
      </c>
      <c r="BL180" s="214" t="s">
        <v>153</v>
      </c>
      <c r="BM180" s="324" t="s">
        <v>1480</v>
      </c>
    </row>
    <row r="181" spans="2:63" s="297" customFormat="1" ht="22.9" customHeight="1">
      <c r="B181" s="298"/>
      <c r="D181" s="299" t="s">
        <v>75</v>
      </c>
      <c r="E181" s="660" t="s">
        <v>1481</v>
      </c>
      <c r="F181" s="660" t="s">
        <v>1482</v>
      </c>
      <c r="I181" s="501"/>
      <c r="J181" s="311">
        <f>SUM(J182:J205)</f>
        <v>0</v>
      </c>
      <c r="L181" s="789"/>
      <c r="M181" s="303"/>
      <c r="N181" s="304"/>
      <c r="O181" s="304"/>
      <c r="P181" s="305">
        <f>SUM(P182:P205)</f>
        <v>0</v>
      </c>
      <c r="Q181" s="304"/>
      <c r="R181" s="305">
        <f>SUM(R182:R205)</f>
        <v>0</v>
      </c>
      <c r="S181" s="304"/>
      <c r="T181" s="313">
        <f>SUM(T182:T205)</f>
        <v>0</v>
      </c>
      <c r="AR181" s="299" t="s">
        <v>81</v>
      </c>
      <c r="AT181" s="308" t="s">
        <v>75</v>
      </c>
      <c r="AU181" s="308" t="s">
        <v>81</v>
      </c>
      <c r="AY181" s="299" t="s">
        <v>146</v>
      </c>
      <c r="BK181" s="309">
        <f>SUM(BK182:BK205)</f>
        <v>0</v>
      </c>
    </row>
    <row r="182" spans="1:65" s="225" customFormat="1" ht="16.5" customHeight="1">
      <c r="A182" s="222"/>
      <c r="B182" s="223"/>
      <c r="C182" s="314" t="s">
        <v>332</v>
      </c>
      <c r="D182" s="314" t="s">
        <v>148</v>
      </c>
      <c r="E182" s="315" t="s">
        <v>1483</v>
      </c>
      <c r="F182" s="316" t="s">
        <v>1484</v>
      </c>
      <c r="G182" s="317" t="s">
        <v>1361</v>
      </c>
      <c r="H182" s="318">
        <v>160</v>
      </c>
      <c r="I182" s="79"/>
      <c r="J182" s="319">
        <f aca="true" t="shared" si="30" ref="J182:J205">ROUND(I182*H182,2)</f>
        <v>0</v>
      </c>
      <c r="K182" s="316" t="s">
        <v>1</v>
      </c>
      <c r="L182" s="223"/>
      <c r="M182" s="320" t="s">
        <v>1</v>
      </c>
      <c r="N182" s="321" t="s">
        <v>42</v>
      </c>
      <c r="O182" s="322">
        <v>0</v>
      </c>
      <c r="P182" s="322">
        <f aca="true" t="shared" si="31" ref="P182:P205">O182*H182</f>
        <v>0</v>
      </c>
      <c r="Q182" s="322">
        <v>0</v>
      </c>
      <c r="R182" s="322">
        <f aca="true" t="shared" si="32" ref="R182:R205">Q182*H182</f>
        <v>0</v>
      </c>
      <c r="S182" s="322">
        <v>0</v>
      </c>
      <c r="T182" s="323">
        <f aca="true" t="shared" si="33" ref="T182:T205">S182*H182</f>
        <v>0</v>
      </c>
      <c r="U182" s="222"/>
      <c r="V182" s="222"/>
      <c r="W182" s="222"/>
      <c r="X182" s="222"/>
      <c r="Y182" s="222"/>
      <c r="Z182" s="222"/>
      <c r="AA182" s="222"/>
      <c r="AB182" s="222"/>
      <c r="AC182" s="222"/>
      <c r="AD182" s="222"/>
      <c r="AE182" s="222"/>
      <c r="AR182" s="324" t="s">
        <v>153</v>
      </c>
      <c r="AT182" s="324" t="s">
        <v>148</v>
      </c>
      <c r="AU182" s="324" t="s">
        <v>83</v>
      </c>
      <c r="AY182" s="214" t="s">
        <v>146</v>
      </c>
      <c r="BE182" s="325">
        <f aca="true" t="shared" si="34" ref="BE182:BE205">IF(N182="základní",J182,0)</f>
        <v>0</v>
      </c>
      <c r="BF182" s="325">
        <f aca="true" t="shared" si="35" ref="BF182:BF205">IF(N182="snížená",J182,0)</f>
        <v>0</v>
      </c>
      <c r="BG182" s="325">
        <f aca="true" t="shared" si="36" ref="BG182:BG205">IF(N182="zákl. přenesená",J182,0)</f>
        <v>0</v>
      </c>
      <c r="BH182" s="325">
        <f aca="true" t="shared" si="37" ref="BH182:BH205">IF(N182="sníž. přenesená",J182,0)</f>
        <v>0</v>
      </c>
      <c r="BI182" s="325">
        <f aca="true" t="shared" si="38" ref="BI182:BI205">IF(N182="nulová",J182,0)</f>
        <v>0</v>
      </c>
      <c r="BJ182" s="214" t="s">
        <v>81</v>
      </c>
      <c r="BK182" s="325">
        <f aca="true" t="shared" si="39" ref="BK182:BK205">ROUND(I182*H182,2)</f>
        <v>0</v>
      </c>
      <c r="BL182" s="214" t="s">
        <v>153</v>
      </c>
      <c r="BM182" s="324" t="s">
        <v>1485</v>
      </c>
    </row>
    <row r="183" spans="1:65" s="225" customFormat="1" ht="24.2" customHeight="1">
      <c r="A183" s="222"/>
      <c r="B183" s="223"/>
      <c r="C183" s="314" t="s">
        <v>333</v>
      </c>
      <c r="D183" s="314" t="s">
        <v>148</v>
      </c>
      <c r="E183" s="315" t="s">
        <v>1486</v>
      </c>
      <c r="F183" s="316" t="s">
        <v>1487</v>
      </c>
      <c r="G183" s="317" t="s">
        <v>1361</v>
      </c>
      <c r="H183" s="318">
        <v>28</v>
      </c>
      <c r="I183" s="79"/>
      <c r="J183" s="319">
        <f t="shared" si="30"/>
        <v>0</v>
      </c>
      <c r="K183" s="316" t="s">
        <v>1</v>
      </c>
      <c r="L183" s="223"/>
      <c r="M183" s="320" t="s">
        <v>1</v>
      </c>
      <c r="N183" s="321" t="s">
        <v>42</v>
      </c>
      <c r="O183" s="322">
        <v>0</v>
      </c>
      <c r="P183" s="322">
        <f t="shared" si="31"/>
        <v>0</v>
      </c>
      <c r="Q183" s="322">
        <v>0</v>
      </c>
      <c r="R183" s="322">
        <f t="shared" si="32"/>
        <v>0</v>
      </c>
      <c r="S183" s="322">
        <v>0</v>
      </c>
      <c r="T183" s="323">
        <f t="shared" si="33"/>
        <v>0</v>
      </c>
      <c r="U183" s="222"/>
      <c r="V183" s="222"/>
      <c r="W183" s="222"/>
      <c r="X183" s="222"/>
      <c r="Y183" s="222"/>
      <c r="Z183" s="222"/>
      <c r="AA183" s="222"/>
      <c r="AB183" s="222"/>
      <c r="AC183" s="222"/>
      <c r="AD183" s="222"/>
      <c r="AE183" s="222"/>
      <c r="AR183" s="324" t="s">
        <v>153</v>
      </c>
      <c r="AT183" s="324" t="s">
        <v>148</v>
      </c>
      <c r="AU183" s="324" t="s">
        <v>83</v>
      </c>
      <c r="AY183" s="214" t="s">
        <v>146</v>
      </c>
      <c r="BE183" s="325">
        <f t="shared" si="34"/>
        <v>0</v>
      </c>
      <c r="BF183" s="325">
        <f t="shared" si="35"/>
        <v>0</v>
      </c>
      <c r="BG183" s="325">
        <f t="shared" si="36"/>
        <v>0</v>
      </c>
      <c r="BH183" s="325">
        <f t="shared" si="37"/>
        <v>0</v>
      </c>
      <c r="BI183" s="325">
        <f t="shared" si="38"/>
        <v>0</v>
      </c>
      <c r="BJ183" s="214" t="s">
        <v>81</v>
      </c>
      <c r="BK183" s="325">
        <f t="shared" si="39"/>
        <v>0</v>
      </c>
      <c r="BL183" s="214" t="s">
        <v>153</v>
      </c>
      <c r="BM183" s="324" t="s">
        <v>1488</v>
      </c>
    </row>
    <row r="184" spans="1:65" s="225" customFormat="1" ht="16.5" customHeight="1">
      <c r="A184" s="222"/>
      <c r="B184" s="223"/>
      <c r="C184" s="314" t="s">
        <v>340</v>
      </c>
      <c r="D184" s="314" t="s">
        <v>148</v>
      </c>
      <c r="E184" s="315" t="s">
        <v>1489</v>
      </c>
      <c r="F184" s="316" t="s">
        <v>1490</v>
      </c>
      <c r="G184" s="317" t="s">
        <v>1361</v>
      </c>
      <c r="H184" s="318">
        <v>6</v>
      </c>
      <c r="I184" s="79"/>
      <c r="J184" s="319">
        <f t="shared" si="30"/>
        <v>0</v>
      </c>
      <c r="K184" s="316" t="s">
        <v>1</v>
      </c>
      <c r="L184" s="223"/>
      <c r="M184" s="320" t="s">
        <v>1</v>
      </c>
      <c r="N184" s="321" t="s">
        <v>42</v>
      </c>
      <c r="O184" s="322">
        <v>0</v>
      </c>
      <c r="P184" s="322">
        <f t="shared" si="31"/>
        <v>0</v>
      </c>
      <c r="Q184" s="322">
        <v>0</v>
      </c>
      <c r="R184" s="322">
        <f t="shared" si="32"/>
        <v>0</v>
      </c>
      <c r="S184" s="322">
        <v>0</v>
      </c>
      <c r="T184" s="323">
        <f t="shared" si="33"/>
        <v>0</v>
      </c>
      <c r="U184" s="222"/>
      <c r="V184" s="222"/>
      <c r="W184" s="222"/>
      <c r="X184" s="222"/>
      <c r="Y184" s="222"/>
      <c r="Z184" s="222"/>
      <c r="AA184" s="222"/>
      <c r="AB184" s="222"/>
      <c r="AC184" s="222"/>
      <c r="AD184" s="222"/>
      <c r="AE184" s="222"/>
      <c r="AR184" s="324" t="s">
        <v>153</v>
      </c>
      <c r="AT184" s="324" t="s">
        <v>148</v>
      </c>
      <c r="AU184" s="324" t="s">
        <v>83</v>
      </c>
      <c r="AY184" s="214" t="s">
        <v>146</v>
      </c>
      <c r="BE184" s="325">
        <f t="shared" si="34"/>
        <v>0</v>
      </c>
      <c r="BF184" s="325">
        <f t="shared" si="35"/>
        <v>0</v>
      </c>
      <c r="BG184" s="325">
        <f t="shared" si="36"/>
        <v>0</v>
      </c>
      <c r="BH184" s="325">
        <f t="shared" si="37"/>
        <v>0</v>
      </c>
      <c r="BI184" s="325">
        <f t="shared" si="38"/>
        <v>0</v>
      </c>
      <c r="BJ184" s="214" t="s">
        <v>81</v>
      </c>
      <c r="BK184" s="325">
        <f t="shared" si="39"/>
        <v>0</v>
      </c>
      <c r="BL184" s="214" t="s">
        <v>153</v>
      </c>
      <c r="BM184" s="324" t="s">
        <v>1491</v>
      </c>
    </row>
    <row r="185" spans="1:65" s="225" customFormat="1" ht="16.5" customHeight="1">
      <c r="A185" s="222"/>
      <c r="B185" s="223"/>
      <c r="C185" s="314" t="s">
        <v>345</v>
      </c>
      <c r="D185" s="314" t="s">
        <v>148</v>
      </c>
      <c r="E185" s="315" t="s">
        <v>1492</v>
      </c>
      <c r="F185" s="316" t="s">
        <v>1493</v>
      </c>
      <c r="G185" s="317" t="s">
        <v>1361</v>
      </c>
      <c r="H185" s="318">
        <v>8</v>
      </c>
      <c r="I185" s="79"/>
      <c r="J185" s="319">
        <f t="shared" si="30"/>
        <v>0</v>
      </c>
      <c r="K185" s="316" t="s">
        <v>1</v>
      </c>
      <c r="L185" s="223"/>
      <c r="M185" s="320" t="s">
        <v>1</v>
      </c>
      <c r="N185" s="321" t="s">
        <v>42</v>
      </c>
      <c r="O185" s="322">
        <v>0</v>
      </c>
      <c r="P185" s="322">
        <f t="shared" si="31"/>
        <v>0</v>
      </c>
      <c r="Q185" s="322">
        <v>0</v>
      </c>
      <c r="R185" s="322">
        <f t="shared" si="32"/>
        <v>0</v>
      </c>
      <c r="S185" s="322">
        <v>0</v>
      </c>
      <c r="T185" s="323">
        <f t="shared" si="33"/>
        <v>0</v>
      </c>
      <c r="U185" s="222"/>
      <c r="V185" s="222"/>
      <c r="W185" s="222"/>
      <c r="X185" s="222"/>
      <c r="Y185" s="222"/>
      <c r="Z185" s="222"/>
      <c r="AA185" s="222"/>
      <c r="AB185" s="222"/>
      <c r="AC185" s="222"/>
      <c r="AD185" s="222"/>
      <c r="AE185" s="222"/>
      <c r="AR185" s="324" t="s">
        <v>153</v>
      </c>
      <c r="AT185" s="324" t="s">
        <v>148</v>
      </c>
      <c r="AU185" s="324" t="s">
        <v>83</v>
      </c>
      <c r="AY185" s="214" t="s">
        <v>146</v>
      </c>
      <c r="BE185" s="325">
        <f t="shared" si="34"/>
        <v>0</v>
      </c>
      <c r="BF185" s="325">
        <f t="shared" si="35"/>
        <v>0</v>
      </c>
      <c r="BG185" s="325">
        <f t="shared" si="36"/>
        <v>0</v>
      </c>
      <c r="BH185" s="325">
        <f t="shared" si="37"/>
        <v>0</v>
      </c>
      <c r="BI185" s="325">
        <f t="shared" si="38"/>
        <v>0</v>
      </c>
      <c r="BJ185" s="214" t="s">
        <v>81</v>
      </c>
      <c r="BK185" s="325">
        <f t="shared" si="39"/>
        <v>0</v>
      </c>
      <c r="BL185" s="214" t="s">
        <v>153</v>
      </c>
      <c r="BM185" s="324" t="s">
        <v>1494</v>
      </c>
    </row>
    <row r="186" spans="1:65" s="225" customFormat="1" ht="16.5" customHeight="1">
      <c r="A186" s="222"/>
      <c r="B186" s="223"/>
      <c r="C186" s="314" t="s">
        <v>355</v>
      </c>
      <c r="D186" s="314" t="s">
        <v>148</v>
      </c>
      <c r="E186" s="315" t="s">
        <v>1495</v>
      </c>
      <c r="F186" s="316" t="s">
        <v>1496</v>
      </c>
      <c r="G186" s="317" t="s">
        <v>158</v>
      </c>
      <c r="H186" s="318">
        <v>30</v>
      </c>
      <c r="I186" s="79"/>
      <c r="J186" s="319">
        <f t="shared" si="30"/>
        <v>0</v>
      </c>
      <c r="K186" s="316" t="s">
        <v>1</v>
      </c>
      <c r="L186" s="223"/>
      <c r="M186" s="320" t="s">
        <v>1</v>
      </c>
      <c r="N186" s="321" t="s">
        <v>42</v>
      </c>
      <c r="O186" s="322">
        <v>0</v>
      </c>
      <c r="P186" s="322">
        <f t="shared" si="31"/>
        <v>0</v>
      </c>
      <c r="Q186" s="322">
        <v>0</v>
      </c>
      <c r="R186" s="322">
        <f t="shared" si="32"/>
        <v>0</v>
      </c>
      <c r="S186" s="322">
        <v>0</v>
      </c>
      <c r="T186" s="323">
        <f t="shared" si="33"/>
        <v>0</v>
      </c>
      <c r="U186" s="222"/>
      <c r="V186" s="222"/>
      <c r="W186" s="222"/>
      <c r="X186" s="222"/>
      <c r="Y186" s="222"/>
      <c r="Z186" s="222"/>
      <c r="AA186" s="222"/>
      <c r="AB186" s="222"/>
      <c r="AC186" s="222"/>
      <c r="AD186" s="222"/>
      <c r="AE186" s="222"/>
      <c r="AR186" s="324" t="s">
        <v>153</v>
      </c>
      <c r="AT186" s="324" t="s">
        <v>148</v>
      </c>
      <c r="AU186" s="324" t="s">
        <v>83</v>
      </c>
      <c r="AY186" s="214" t="s">
        <v>146</v>
      </c>
      <c r="BE186" s="325">
        <f t="shared" si="34"/>
        <v>0</v>
      </c>
      <c r="BF186" s="325">
        <f t="shared" si="35"/>
        <v>0</v>
      </c>
      <c r="BG186" s="325">
        <f t="shared" si="36"/>
        <v>0</v>
      </c>
      <c r="BH186" s="325">
        <f t="shared" si="37"/>
        <v>0</v>
      </c>
      <c r="BI186" s="325">
        <f t="shared" si="38"/>
        <v>0</v>
      </c>
      <c r="BJ186" s="214" t="s">
        <v>81</v>
      </c>
      <c r="BK186" s="325">
        <f t="shared" si="39"/>
        <v>0</v>
      </c>
      <c r="BL186" s="214" t="s">
        <v>153</v>
      </c>
      <c r="BM186" s="324" t="s">
        <v>1497</v>
      </c>
    </row>
    <row r="187" spans="1:65" s="225" customFormat="1" ht="16.5" customHeight="1">
      <c r="A187" s="222"/>
      <c r="B187" s="223"/>
      <c r="C187" s="314" t="s">
        <v>360</v>
      </c>
      <c r="D187" s="314" t="s">
        <v>148</v>
      </c>
      <c r="E187" s="315" t="s">
        <v>1498</v>
      </c>
      <c r="F187" s="316" t="s">
        <v>1499</v>
      </c>
      <c r="G187" s="317" t="s">
        <v>158</v>
      </c>
      <c r="H187" s="318">
        <v>30</v>
      </c>
      <c r="I187" s="79"/>
      <c r="J187" s="319">
        <f t="shared" si="30"/>
        <v>0</v>
      </c>
      <c r="K187" s="316" t="s">
        <v>1</v>
      </c>
      <c r="L187" s="223"/>
      <c r="M187" s="320" t="s">
        <v>1</v>
      </c>
      <c r="N187" s="321" t="s">
        <v>42</v>
      </c>
      <c r="O187" s="322">
        <v>0</v>
      </c>
      <c r="P187" s="322">
        <f t="shared" si="31"/>
        <v>0</v>
      </c>
      <c r="Q187" s="322">
        <v>0</v>
      </c>
      <c r="R187" s="322">
        <f t="shared" si="32"/>
        <v>0</v>
      </c>
      <c r="S187" s="322">
        <v>0</v>
      </c>
      <c r="T187" s="323">
        <f t="shared" si="33"/>
        <v>0</v>
      </c>
      <c r="U187" s="222"/>
      <c r="V187" s="222"/>
      <c r="W187" s="222"/>
      <c r="X187" s="222"/>
      <c r="Y187" s="222"/>
      <c r="Z187" s="222"/>
      <c r="AA187" s="222"/>
      <c r="AB187" s="222"/>
      <c r="AC187" s="222"/>
      <c r="AD187" s="222"/>
      <c r="AE187" s="222"/>
      <c r="AR187" s="324" t="s">
        <v>153</v>
      </c>
      <c r="AT187" s="324" t="s">
        <v>148</v>
      </c>
      <c r="AU187" s="324" t="s">
        <v>83</v>
      </c>
      <c r="AY187" s="214" t="s">
        <v>146</v>
      </c>
      <c r="BE187" s="325">
        <f t="shared" si="34"/>
        <v>0</v>
      </c>
      <c r="BF187" s="325">
        <f t="shared" si="35"/>
        <v>0</v>
      </c>
      <c r="BG187" s="325">
        <f t="shared" si="36"/>
        <v>0</v>
      </c>
      <c r="BH187" s="325">
        <f t="shared" si="37"/>
        <v>0</v>
      </c>
      <c r="BI187" s="325">
        <f t="shared" si="38"/>
        <v>0</v>
      </c>
      <c r="BJ187" s="214" t="s">
        <v>81</v>
      </c>
      <c r="BK187" s="325">
        <f t="shared" si="39"/>
        <v>0</v>
      </c>
      <c r="BL187" s="214" t="s">
        <v>153</v>
      </c>
      <c r="BM187" s="324" t="s">
        <v>1500</v>
      </c>
    </row>
    <row r="188" spans="1:65" s="225" customFormat="1" ht="16.5" customHeight="1">
      <c r="A188" s="222"/>
      <c r="B188" s="223"/>
      <c r="C188" s="314" t="s">
        <v>374</v>
      </c>
      <c r="D188" s="314" t="s">
        <v>148</v>
      </c>
      <c r="E188" s="315" t="s">
        <v>1501</v>
      </c>
      <c r="F188" s="316" t="s">
        <v>1502</v>
      </c>
      <c r="G188" s="317" t="s">
        <v>158</v>
      </c>
      <c r="H188" s="318">
        <v>20</v>
      </c>
      <c r="I188" s="79"/>
      <c r="J188" s="319">
        <f t="shared" si="30"/>
        <v>0</v>
      </c>
      <c r="K188" s="316" t="s">
        <v>1</v>
      </c>
      <c r="L188" s="223"/>
      <c r="M188" s="320" t="s">
        <v>1</v>
      </c>
      <c r="N188" s="321" t="s">
        <v>42</v>
      </c>
      <c r="O188" s="322">
        <v>0</v>
      </c>
      <c r="P188" s="322">
        <f t="shared" si="31"/>
        <v>0</v>
      </c>
      <c r="Q188" s="322">
        <v>0</v>
      </c>
      <c r="R188" s="322">
        <f t="shared" si="32"/>
        <v>0</v>
      </c>
      <c r="S188" s="322">
        <v>0</v>
      </c>
      <c r="T188" s="323">
        <f t="shared" si="33"/>
        <v>0</v>
      </c>
      <c r="U188" s="222"/>
      <c r="V188" s="222"/>
      <c r="W188" s="222"/>
      <c r="X188" s="222"/>
      <c r="Y188" s="222"/>
      <c r="Z188" s="222"/>
      <c r="AA188" s="222"/>
      <c r="AB188" s="222"/>
      <c r="AC188" s="222"/>
      <c r="AD188" s="222"/>
      <c r="AE188" s="222"/>
      <c r="AR188" s="324" t="s">
        <v>153</v>
      </c>
      <c r="AT188" s="324" t="s">
        <v>148</v>
      </c>
      <c r="AU188" s="324" t="s">
        <v>83</v>
      </c>
      <c r="AY188" s="214" t="s">
        <v>146</v>
      </c>
      <c r="BE188" s="325">
        <f t="shared" si="34"/>
        <v>0</v>
      </c>
      <c r="BF188" s="325">
        <f t="shared" si="35"/>
        <v>0</v>
      </c>
      <c r="BG188" s="325">
        <f t="shared" si="36"/>
        <v>0</v>
      </c>
      <c r="BH188" s="325">
        <f t="shared" si="37"/>
        <v>0</v>
      </c>
      <c r="BI188" s="325">
        <f t="shared" si="38"/>
        <v>0</v>
      </c>
      <c r="BJ188" s="214" t="s">
        <v>81</v>
      </c>
      <c r="BK188" s="325">
        <f t="shared" si="39"/>
        <v>0</v>
      </c>
      <c r="BL188" s="214" t="s">
        <v>153</v>
      </c>
      <c r="BM188" s="324" t="s">
        <v>1503</v>
      </c>
    </row>
    <row r="189" spans="1:65" s="225" customFormat="1" ht="24.2" customHeight="1">
      <c r="A189" s="222"/>
      <c r="B189" s="223"/>
      <c r="C189" s="314" t="s">
        <v>378</v>
      </c>
      <c r="D189" s="314" t="s">
        <v>148</v>
      </c>
      <c r="E189" s="315" t="s">
        <v>1504</v>
      </c>
      <c r="F189" s="316" t="s">
        <v>1505</v>
      </c>
      <c r="G189" s="317" t="s">
        <v>158</v>
      </c>
      <c r="H189" s="318">
        <v>200</v>
      </c>
      <c r="I189" s="79"/>
      <c r="J189" s="319">
        <f t="shared" si="30"/>
        <v>0</v>
      </c>
      <c r="K189" s="316" t="s">
        <v>1</v>
      </c>
      <c r="L189" s="223"/>
      <c r="M189" s="320" t="s">
        <v>1</v>
      </c>
      <c r="N189" s="321" t="s">
        <v>42</v>
      </c>
      <c r="O189" s="322">
        <v>0</v>
      </c>
      <c r="P189" s="322">
        <f t="shared" si="31"/>
        <v>0</v>
      </c>
      <c r="Q189" s="322">
        <v>0</v>
      </c>
      <c r="R189" s="322">
        <f t="shared" si="32"/>
        <v>0</v>
      </c>
      <c r="S189" s="322">
        <v>0</v>
      </c>
      <c r="T189" s="323">
        <f t="shared" si="33"/>
        <v>0</v>
      </c>
      <c r="U189" s="222"/>
      <c r="V189" s="222"/>
      <c r="W189" s="222"/>
      <c r="X189" s="222"/>
      <c r="Y189" s="222"/>
      <c r="Z189" s="222"/>
      <c r="AA189" s="222"/>
      <c r="AB189" s="222"/>
      <c r="AC189" s="222"/>
      <c r="AD189" s="222"/>
      <c r="AE189" s="222"/>
      <c r="AR189" s="324" t="s">
        <v>153</v>
      </c>
      <c r="AT189" s="324" t="s">
        <v>148</v>
      </c>
      <c r="AU189" s="324" t="s">
        <v>83</v>
      </c>
      <c r="AY189" s="214" t="s">
        <v>146</v>
      </c>
      <c r="BE189" s="325">
        <f t="shared" si="34"/>
        <v>0</v>
      </c>
      <c r="BF189" s="325">
        <f t="shared" si="35"/>
        <v>0</v>
      </c>
      <c r="BG189" s="325">
        <f t="shared" si="36"/>
        <v>0</v>
      </c>
      <c r="BH189" s="325">
        <f t="shared" si="37"/>
        <v>0</v>
      </c>
      <c r="BI189" s="325">
        <f t="shared" si="38"/>
        <v>0</v>
      </c>
      <c r="BJ189" s="214" t="s">
        <v>81</v>
      </c>
      <c r="BK189" s="325">
        <f t="shared" si="39"/>
        <v>0</v>
      </c>
      <c r="BL189" s="214" t="s">
        <v>153</v>
      </c>
      <c r="BM189" s="324" t="s">
        <v>1506</v>
      </c>
    </row>
    <row r="190" spans="1:65" s="225" customFormat="1" ht="24.2" customHeight="1">
      <c r="A190" s="222"/>
      <c r="B190" s="223"/>
      <c r="C190" s="314" t="s">
        <v>383</v>
      </c>
      <c r="D190" s="314" t="s">
        <v>148</v>
      </c>
      <c r="E190" s="315" t="s">
        <v>1507</v>
      </c>
      <c r="F190" s="316" t="s">
        <v>1508</v>
      </c>
      <c r="G190" s="317" t="s">
        <v>158</v>
      </c>
      <c r="H190" s="318">
        <v>60</v>
      </c>
      <c r="I190" s="79"/>
      <c r="J190" s="319">
        <f t="shared" si="30"/>
        <v>0</v>
      </c>
      <c r="K190" s="316" t="s">
        <v>1</v>
      </c>
      <c r="L190" s="223"/>
      <c r="M190" s="320" t="s">
        <v>1</v>
      </c>
      <c r="N190" s="321" t="s">
        <v>42</v>
      </c>
      <c r="O190" s="322">
        <v>0</v>
      </c>
      <c r="P190" s="322">
        <f t="shared" si="31"/>
        <v>0</v>
      </c>
      <c r="Q190" s="322">
        <v>0</v>
      </c>
      <c r="R190" s="322">
        <f t="shared" si="32"/>
        <v>0</v>
      </c>
      <c r="S190" s="322">
        <v>0</v>
      </c>
      <c r="T190" s="323">
        <f t="shared" si="33"/>
        <v>0</v>
      </c>
      <c r="U190" s="222"/>
      <c r="V190" s="222"/>
      <c r="W190" s="222"/>
      <c r="X190" s="222"/>
      <c r="Y190" s="222"/>
      <c r="Z190" s="222"/>
      <c r="AA190" s="222"/>
      <c r="AB190" s="222"/>
      <c r="AC190" s="222"/>
      <c r="AD190" s="222"/>
      <c r="AE190" s="222"/>
      <c r="AR190" s="324" t="s">
        <v>153</v>
      </c>
      <c r="AT190" s="324" t="s">
        <v>148</v>
      </c>
      <c r="AU190" s="324" t="s">
        <v>83</v>
      </c>
      <c r="AY190" s="214" t="s">
        <v>146</v>
      </c>
      <c r="BE190" s="325">
        <f t="shared" si="34"/>
        <v>0</v>
      </c>
      <c r="BF190" s="325">
        <f t="shared" si="35"/>
        <v>0</v>
      </c>
      <c r="BG190" s="325">
        <f t="shared" si="36"/>
        <v>0</v>
      </c>
      <c r="BH190" s="325">
        <f t="shared" si="37"/>
        <v>0</v>
      </c>
      <c r="BI190" s="325">
        <f t="shared" si="38"/>
        <v>0</v>
      </c>
      <c r="BJ190" s="214" t="s">
        <v>81</v>
      </c>
      <c r="BK190" s="325">
        <f t="shared" si="39"/>
        <v>0</v>
      </c>
      <c r="BL190" s="214" t="s">
        <v>153</v>
      </c>
      <c r="BM190" s="324" t="s">
        <v>1509</v>
      </c>
    </row>
    <row r="191" spans="1:65" s="225" customFormat="1" ht="37.9" customHeight="1">
      <c r="A191" s="222"/>
      <c r="B191" s="223"/>
      <c r="C191" s="314" t="s">
        <v>387</v>
      </c>
      <c r="D191" s="314" t="s">
        <v>148</v>
      </c>
      <c r="E191" s="315" t="s">
        <v>1510</v>
      </c>
      <c r="F191" s="316" t="s">
        <v>1511</v>
      </c>
      <c r="G191" s="317" t="s">
        <v>158</v>
      </c>
      <c r="H191" s="318">
        <v>70</v>
      </c>
      <c r="I191" s="79"/>
      <c r="J191" s="319">
        <f t="shared" si="30"/>
        <v>0</v>
      </c>
      <c r="K191" s="316" t="s">
        <v>1</v>
      </c>
      <c r="L191" s="223"/>
      <c r="M191" s="320" t="s">
        <v>1</v>
      </c>
      <c r="N191" s="321" t="s">
        <v>42</v>
      </c>
      <c r="O191" s="322">
        <v>0</v>
      </c>
      <c r="P191" s="322">
        <f t="shared" si="31"/>
        <v>0</v>
      </c>
      <c r="Q191" s="322">
        <v>0</v>
      </c>
      <c r="R191" s="322">
        <f t="shared" si="32"/>
        <v>0</v>
      </c>
      <c r="S191" s="322">
        <v>0</v>
      </c>
      <c r="T191" s="323">
        <f t="shared" si="33"/>
        <v>0</v>
      </c>
      <c r="U191" s="222"/>
      <c r="V191" s="222"/>
      <c r="W191" s="222"/>
      <c r="X191" s="222"/>
      <c r="Y191" s="222"/>
      <c r="Z191" s="222"/>
      <c r="AA191" s="222"/>
      <c r="AB191" s="222"/>
      <c r="AC191" s="222"/>
      <c r="AD191" s="222"/>
      <c r="AE191" s="222"/>
      <c r="AR191" s="324" t="s">
        <v>153</v>
      </c>
      <c r="AT191" s="324" t="s">
        <v>148</v>
      </c>
      <c r="AU191" s="324" t="s">
        <v>83</v>
      </c>
      <c r="AY191" s="214" t="s">
        <v>146</v>
      </c>
      <c r="BE191" s="325">
        <f t="shared" si="34"/>
        <v>0</v>
      </c>
      <c r="BF191" s="325">
        <f t="shared" si="35"/>
        <v>0</v>
      </c>
      <c r="BG191" s="325">
        <f t="shared" si="36"/>
        <v>0</v>
      </c>
      <c r="BH191" s="325">
        <f t="shared" si="37"/>
        <v>0</v>
      </c>
      <c r="BI191" s="325">
        <f t="shared" si="38"/>
        <v>0</v>
      </c>
      <c r="BJ191" s="214" t="s">
        <v>81</v>
      </c>
      <c r="BK191" s="325">
        <f t="shared" si="39"/>
        <v>0</v>
      </c>
      <c r="BL191" s="214" t="s">
        <v>153</v>
      </c>
      <c r="BM191" s="324" t="s">
        <v>1512</v>
      </c>
    </row>
    <row r="192" spans="1:65" s="225" customFormat="1" ht="37.9" customHeight="1">
      <c r="A192" s="222"/>
      <c r="B192" s="223"/>
      <c r="C192" s="314" t="s">
        <v>388</v>
      </c>
      <c r="D192" s="314" t="s">
        <v>148</v>
      </c>
      <c r="E192" s="315" t="s">
        <v>1513</v>
      </c>
      <c r="F192" s="316" t="s">
        <v>1514</v>
      </c>
      <c r="G192" s="317" t="s">
        <v>158</v>
      </c>
      <c r="H192" s="318">
        <v>110</v>
      </c>
      <c r="I192" s="79"/>
      <c r="J192" s="319">
        <f t="shared" si="30"/>
        <v>0</v>
      </c>
      <c r="K192" s="316" t="s">
        <v>1</v>
      </c>
      <c r="L192" s="223"/>
      <c r="M192" s="320" t="s">
        <v>1</v>
      </c>
      <c r="N192" s="321" t="s">
        <v>42</v>
      </c>
      <c r="O192" s="322">
        <v>0</v>
      </c>
      <c r="P192" s="322">
        <f t="shared" si="31"/>
        <v>0</v>
      </c>
      <c r="Q192" s="322">
        <v>0</v>
      </c>
      <c r="R192" s="322">
        <f t="shared" si="32"/>
        <v>0</v>
      </c>
      <c r="S192" s="322">
        <v>0</v>
      </c>
      <c r="T192" s="323">
        <f t="shared" si="33"/>
        <v>0</v>
      </c>
      <c r="U192" s="222"/>
      <c r="V192" s="222"/>
      <c r="W192" s="222"/>
      <c r="X192" s="222"/>
      <c r="Y192" s="222"/>
      <c r="Z192" s="222"/>
      <c r="AA192" s="222"/>
      <c r="AB192" s="222"/>
      <c r="AC192" s="222"/>
      <c r="AD192" s="222"/>
      <c r="AE192" s="222"/>
      <c r="AR192" s="324" t="s">
        <v>153</v>
      </c>
      <c r="AT192" s="324" t="s">
        <v>148</v>
      </c>
      <c r="AU192" s="324" t="s">
        <v>83</v>
      </c>
      <c r="AY192" s="214" t="s">
        <v>146</v>
      </c>
      <c r="BE192" s="325">
        <f t="shared" si="34"/>
        <v>0</v>
      </c>
      <c r="BF192" s="325">
        <f t="shared" si="35"/>
        <v>0</v>
      </c>
      <c r="BG192" s="325">
        <f t="shared" si="36"/>
        <v>0</v>
      </c>
      <c r="BH192" s="325">
        <f t="shared" si="37"/>
        <v>0</v>
      </c>
      <c r="BI192" s="325">
        <f t="shared" si="38"/>
        <v>0</v>
      </c>
      <c r="BJ192" s="214" t="s">
        <v>81</v>
      </c>
      <c r="BK192" s="325">
        <f t="shared" si="39"/>
        <v>0</v>
      </c>
      <c r="BL192" s="214" t="s">
        <v>153</v>
      </c>
      <c r="BM192" s="324" t="s">
        <v>1515</v>
      </c>
    </row>
    <row r="193" spans="1:65" s="225" customFormat="1" ht="16.5" customHeight="1">
      <c r="A193" s="222"/>
      <c r="B193" s="223"/>
      <c r="C193" s="314" t="s">
        <v>389</v>
      </c>
      <c r="D193" s="314" t="s">
        <v>148</v>
      </c>
      <c r="E193" s="315" t="s">
        <v>1516</v>
      </c>
      <c r="F193" s="316" t="s">
        <v>1517</v>
      </c>
      <c r="G193" s="317" t="s">
        <v>1361</v>
      </c>
      <c r="H193" s="318">
        <v>110</v>
      </c>
      <c r="I193" s="79"/>
      <c r="J193" s="319">
        <f t="shared" si="30"/>
        <v>0</v>
      </c>
      <c r="K193" s="316" t="s">
        <v>1</v>
      </c>
      <c r="L193" s="223"/>
      <c r="M193" s="320" t="s">
        <v>1</v>
      </c>
      <c r="N193" s="321" t="s">
        <v>42</v>
      </c>
      <c r="O193" s="322">
        <v>0</v>
      </c>
      <c r="P193" s="322">
        <f t="shared" si="31"/>
        <v>0</v>
      </c>
      <c r="Q193" s="322">
        <v>0</v>
      </c>
      <c r="R193" s="322">
        <f t="shared" si="32"/>
        <v>0</v>
      </c>
      <c r="S193" s="322">
        <v>0</v>
      </c>
      <c r="T193" s="323">
        <f t="shared" si="33"/>
        <v>0</v>
      </c>
      <c r="U193" s="222"/>
      <c r="V193" s="222"/>
      <c r="W193" s="222"/>
      <c r="X193" s="222"/>
      <c r="Y193" s="222"/>
      <c r="Z193" s="222"/>
      <c r="AA193" s="222"/>
      <c r="AB193" s="222"/>
      <c r="AC193" s="222"/>
      <c r="AD193" s="222"/>
      <c r="AE193" s="222"/>
      <c r="AR193" s="324" t="s">
        <v>153</v>
      </c>
      <c r="AT193" s="324" t="s">
        <v>148</v>
      </c>
      <c r="AU193" s="324" t="s">
        <v>83</v>
      </c>
      <c r="AY193" s="214" t="s">
        <v>146</v>
      </c>
      <c r="BE193" s="325">
        <f t="shared" si="34"/>
        <v>0</v>
      </c>
      <c r="BF193" s="325">
        <f t="shared" si="35"/>
        <v>0</v>
      </c>
      <c r="BG193" s="325">
        <f t="shared" si="36"/>
        <v>0</v>
      </c>
      <c r="BH193" s="325">
        <f t="shared" si="37"/>
        <v>0</v>
      </c>
      <c r="BI193" s="325">
        <f t="shared" si="38"/>
        <v>0</v>
      </c>
      <c r="BJ193" s="214" t="s">
        <v>81</v>
      </c>
      <c r="BK193" s="325">
        <f t="shared" si="39"/>
        <v>0</v>
      </c>
      <c r="BL193" s="214" t="s">
        <v>153</v>
      </c>
      <c r="BM193" s="324" t="s">
        <v>1518</v>
      </c>
    </row>
    <row r="194" spans="1:65" s="225" customFormat="1" ht="16.5" customHeight="1">
      <c r="A194" s="222"/>
      <c r="B194" s="223"/>
      <c r="C194" s="314" t="s">
        <v>390</v>
      </c>
      <c r="D194" s="314" t="s">
        <v>148</v>
      </c>
      <c r="E194" s="315" t="s">
        <v>1519</v>
      </c>
      <c r="F194" s="316" t="s">
        <v>1520</v>
      </c>
      <c r="G194" s="317" t="s">
        <v>220</v>
      </c>
      <c r="H194" s="318">
        <v>10</v>
      </c>
      <c r="I194" s="79"/>
      <c r="J194" s="319">
        <f t="shared" si="30"/>
        <v>0</v>
      </c>
      <c r="K194" s="316" t="s">
        <v>1</v>
      </c>
      <c r="L194" s="223"/>
      <c r="M194" s="320" t="s">
        <v>1</v>
      </c>
      <c r="N194" s="321" t="s">
        <v>42</v>
      </c>
      <c r="O194" s="322">
        <v>0</v>
      </c>
      <c r="P194" s="322">
        <f t="shared" si="31"/>
        <v>0</v>
      </c>
      <c r="Q194" s="322">
        <v>0</v>
      </c>
      <c r="R194" s="322">
        <f t="shared" si="32"/>
        <v>0</v>
      </c>
      <c r="S194" s="322">
        <v>0</v>
      </c>
      <c r="T194" s="323">
        <f t="shared" si="33"/>
        <v>0</v>
      </c>
      <c r="U194" s="222"/>
      <c r="V194" s="222"/>
      <c r="W194" s="222"/>
      <c r="X194" s="222"/>
      <c r="Y194" s="222"/>
      <c r="Z194" s="222"/>
      <c r="AA194" s="222"/>
      <c r="AB194" s="222"/>
      <c r="AC194" s="222"/>
      <c r="AD194" s="222"/>
      <c r="AE194" s="222"/>
      <c r="AR194" s="324" t="s">
        <v>153</v>
      </c>
      <c r="AT194" s="324" t="s">
        <v>148</v>
      </c>
      <c r="AU194" s="324" t="s">
        <v>83</v>
      </c>
      <c r="AY194" s="214" t="s">
        <v>146</v>
      </c>
      <c r="BE194" s="325">
        <f t="shared" si="34"/>
        <v>0</v>
      </c>
      <c r="BF194" s="325">
        <f t="shared" si="35"/>
        <v>0</v>
      </c>
      <c r="BG194" s="325">
        <f t="shared" si="36"/>
        <v>0</v>
      </c>
      <c r="BH194" s="325">
        <f t="shared" si="37"/>
        <v>0</v>
      </c>
      <c r="BI194" s="325">
        <f t="shared" si="38"/>
        <v>0</v>
      </c>
      <c r="BJ194" s="214" t="s">
        <v>81</v>
      </c>
      <c r="BK194" s="325">
        <f t="shared" si="39"/>
        <v>0</v>
      </c>
      <c r="BL194" s="214" t="s">
        <v>153</v>
      </c>
      <c r="BM194" s="324" t="s">
        <v>1521</v>
      </c>
    </row>
    <row r="195" spans="1:65" s="225" customFormat="1" ht="24.2" customHeight="1">
      <c r="A195" s="222"/>
      <c r="B195" s="223"/>
      <c r="C195" s="314" t="s">
        <v>395</v>
      </c>
      <c r="D195" s="314" t="s">
        <v>148</v>
      </c>
      <c r="E195" s="315" t="s">
        <v>1522</v>
      </c>
      <c r="F195" s="316" t="s">
        <v>1523</v>
      </c>
      <c r="G195" s="317" t="s">
        <v>151</v>
      </c>
      <c r="H195" s="318">
        <v>1.2</v>
      </c>
      <c r="I195" s="79"/>
      <c r="J195" s="319">
        <f t="shared" si="30"/>
        <v>0</v>
      </c>
      <c r="K195" s="316" t="s">
        <v>1</v>
      </c>
      <c r="L195" s="223"/>
      <c r="M195" s="320" t="s">
        <v>1</v>
      </c>
      <c r="N195" s="321" t="s">
        <v>42</v>
      </c>
      <c r="O195" s="322">
        <v>0</v>
      </c>
      <c r="P195" s="322">
        <f t="shared" si="31"/>
        <v>0</v>
      </c>
      <c r="Q195" s="322">
        <v>0</v>
      </c>
      <c r="R195" s="322">
        <f t="shared" si="32"/>
        <v>0</v>
      </c>
      <c r="S195" s="322">
        <v>0</v>
      </c>
      <c r="T195" s="323">
        <f t="shared" si="33"/>
        <v>0</v>
      </c>
      <c r="U195" s="222"/>
      <c r="V195" s="222"/>
      <c r="W195" s="222"/>
      <c r="X195" s="222"/>
      <c r="Y195" s="222"/>
      <c r="Z195" s="222"/>
      <c r="AA195" s="222"/>
      <c r="AB195" s="222"/>
      <c r="AC195" s="222"/>
      <c r="AD195" s="222"/>
      <c r="AE195" s="222"/>
      <c r="AR195" s="324" t="s">
        <v>153</v>
      </c>
      <c r="AT195" s="324" t="s">
        <v>148</v>
      </c>
      <c r="AU195" s="324" t="s">
        <v>83</v>
      </c>
      <c r="AY195" s="214" t="s">
        <v>146</v>
      </c>
      <c r="BE195" s="325">
        <f t="shared" si="34"/>
        <v>0</v>
      </c>
      <c r="BF195" s="325">
        <f t="shared" si="35"/>
        <v>0</v>
      </c>
      <c r="BG195" s="325">
        <f t="shared" si="36"/>
        <v>0</v>
      </c>
      <c r="BH195" s="325">
        <f t="shared" si="37"/>
        <v>0</v>
      </c>
      <c r="BI195" s="325">
        <f t="shared" si="38"/>
        <v>0</v>
      </c>
      <c r="BJ195" s="214" t="s">
        <v>81</v>
      </c>
      <c r="BK195" s="325">
        <f t="shared" si="39"/>
        <v>0</v>
      </c>
      <c r="BL195" s="214" t="s">
        <v>153</v>
      </c>
      <c r="BM195" s="324" t="s">
        <v>1524</v>
      </c>
    </row>
    <row r="196" spans="1:65" s="225" customFormat="1" ht="24.2" customHeight="1">
      <c r="A196" s="222"/>
      <c r="B196" s="223"/>
      <c r="C196" s="314" t="s">
        <v>397</v>
      </c>
      <c r="D196" s="314" t="s">
        <v>148</v>
      </c>
      <c r="E196" s="315" t="s">
        <v>1525</v>
      </c>
      <c r="F196" s="316" t="s">
        <v>1526</v>
      </c>
      <c r="G196" s="317" t="s">
        <v>158</v>
      </c>
      <c r="H196" s="318">
        <v>30</v>
      </c>
      <c r="I196" s="79"/>
      <c r="J196" s="319">
        <f t="shared" si="30"/>
        <v>0</v>
      </c>
      <c r="K196" s="316" t="s">
        <v>1</v>
      </c>
      <c r="L196" s="223"/>
      <c r="M196" s="320" t="s">
        <v>1</v>
      </c>
      <c r="N196" s="321" t="s">
        <v>42</v>
      </c>
      <c r="O196" s="322">
        <v>0</v>
      </c>
      <c r="P196" s="322">
        <f t="shared" si="31"/>
        <v>0</v>
      </c>
      <c r="Q196" s="322">
        <v>0</v>
      </c>
      <c r="R196" s="322">
        <f t="shared" si="32"/>
        <v>0</v>
      </c>
      <c r="S196" s="322">
        <v>0</v>
      </c>
      <c r="T196" s="323">
        <f t="shared" si="33"/>
        <v>0</v>
      </c>
      <c r="U196" s="222"/>
      <c r="V196" s="222"/>
      <c r="W196" s="222"/>
      <c r="X196" s="222"/>
      <c r="Y196" s="222"/>
      <c r="Z196" s="222"/>
      <c r="AA196" s="222"/>
      <c r="AB196" s="222"/>
      <c r="AC196" s="222"/>
      <c r="AD196" s="222"/>
      <c r="AE196" s="222"/>
      <c r="AR196" s="324" t="s">
        <v>153</v>
      </c>
      <c r="AT196" s="324" t="s">
        <v>148</v>
      </c>
      <c r="AU196" s="324" t="s">
        <v>83</v>
      </c>
      <c r="AY196" s="214" t="s">
        <v>146</v>
      </c>
      <c r="BE196" s="325">
        <f t="shared" si="34"/>
        <v>0</v>
      </c>
      <c r="BF196" s="325">
        <f t="shared" si="35"/>
        <v>0</v>
      </c>
      <c r="BG196" s="325">
        <f t="shared" si="36"/>
        <v>0</v>
      </c>
      <c r="BH196" s="325">
        <f t="shared" si="37"/>
        <v>0</v>
      </c>
      <c r="BI196" s="325">
        <f t="shared" si="38"/>
        <v>0</v>
      </c>
      <c r="BJ196" s="214" t="s">
        <v>81</v>
      </c>
      <c r="BK196" s="325">
        <f t="shared" si="39"/>
        <v>0</v>
      </c>
      <c r="BL196" s="214" t="s">
        <v>153</v>
      </c>
      <c r="BM196" s="324" t="s">
        <v>1527</v>
      </c>
    </row>
    <row r="197" spans="1:65" s="225" customFormat="1" ht="16.5" customHeight="1">
      <c r="A197" s="222"/>
      <c r="B197" s="223"/>
      <c r="C197" s="314" t="s">
        <v>400</v>
      </c>
      <c r="D197" s="314" t="s">
        <v>148</v>
      </c>
      <c r="E197" s="315" t="s">
        <v>1528</v>
      </c>
      <c r="F197" s="316" t="s">
        <v>1529</v>
      </c>
      <c r="G197" s="317" t="s">
        <v>1361</v>
      </c>
      <c r="H197" s="318">
        <v>2</v>
      </c>
      <c r="I197" s="79"/>
      <c r="J197" s="319">
        <f t="shared" si="30"/>
        <v>0</v>
      </c>
      <c r="K197" s="316" t="s">
        <v>1</v>
      </c>
      <c r="L197" s="223"/>
      <c r="M197" s="320" t="s">
        <v>1</v>
      </c>
      <c r="N197" s="321" t="s">
        <v>42</v>
      </c>
      <c r="O197" s="322">
        <v>0</v>
      </c>
      <c r="P197" s="322">
        <f t="shared" si="31"/>
        <v>0</v>
      </c>
      <c r="Q197" s="322">
        <v>0</v>
      </c>
      <c r="R197" s="322">
        <f t="shared" si="32"/>
        <v>0</v>
      </c>
      <c r="S197" s="322">
        <v>0</v>
      </c>
      <c r="T197" s="323">
        <f t="shared" si="33"/>
        <v>0</v>
      </c>
      <c r="U197" s="222"/>
      <c r="V197" s="222"/>
      <c r="W197" s="222"/>
      <c r="X197" s="222"/>
      <c r="Y197" s="222"/>
      <c r="Z197" s="222"/>
      <c r="AA197" s="222"/>
      <c r="AB197" s="222"/>
      <c r="AC197" s="222"/>
      <c r="AD197" s="222"/>
      <c r="AE197" s="222"/>
      <c r="AR197" s="324" t="s">
        <v>153</v>
      </c>
      <c r="AT197" s="324" t="s">
        <v>148</v>
      </c>
      <c r="AU197" s="324" t="s">
        <v>83</v>
      </c>
      <c r="AY197" s="214" t="s">
        <v>146</v>
      </c>
      <c r="BE197" s="325">
        <f t="shared" si="34"/>
        <v>0</v>
      </c>
      <c r="BF197" s="325">
        <f t="shared" si="35"/>
        <v>0</v>
      </c>
      <c r="BG197" s="325">
        <f t="shared" si="36"/>
        <v>0</v>
      </c>
      <c r="BH197" s="325">
        <f t="shared" si="37"/>
        <v>0</v>
      </c>
      <c r="BI197" s="325">
        <f t="shared" si="38"/>
        <v>0</v>
      </c>
      <c r="BJ197" s="214" t="s">
        <v>81</v>
      </c>
      <c r="BK197" s="325">
        <f t="shared" si="39"/>
        <v>0</v>
      </c>
      <c r="BL197" s="214" t="s">
        <v>153</v>
      </c>
      <c r="BM197" s="324" t="s">
        <v>1530</v>
      </c>
    </row>
    <row r="198" spans="1:65" s="225" customFormat="1" ht="16.5" customHeight="1">
      <c r="A198" s="222"/>
      <c r="B198" s="223"/>
      <c r="C198" s="314" t="s">
        <v>404</v>
      </c>
      <c r="D198" s="314" t="s">
        <v>148</v>
      </c>
      <c r="E198" s="315" t="s">
        <v>1531</v>
      </c>
      <c r="F198" s="316" t="s">
        <v>1532</v>
      </c>
      <c r="G198" s="317" t="s">
        <v>1361</v>
      </c>
      <c r="H198" s="318">
        <v>2</v>
      </c>
      <c r="I198" s="79"/>
      <c r="J198" s="319">
        <f t="shared" si="30"/>
        <v>0</v>
      </c>
      <c r="K198" s="316" t="s">
        <v>1</v>
      </c>
      <c r="L198" s="223"/>
      <c r="M198" s="320" t="s">
        <v>1</v>
      </c>
      <c r="N198" s="321" t="s">
        <v>42</v>
      </c>
      <c r="O198" s="322">
        <v>0</v>
      </c>
      <c r="P198" s="322">
        <f t="shared" si="31"/>
        <v>0</v>
      </c>
      <c r="Q198" s="322">
        <v>0</v>
      </c>
      <c r="R198" s="322">
        <f t="shared" si="32"/>
        <v>0</v>
      </c>
      <c r="S198" s="322">
        <v>0</v>
      </c>
      <c r="T198" s="323">
        <f t="shared" si="33"/>
        <v>0</v>
      </c>
      <c r="U198" s="222"/>
      <c r="V198" s="222"/>
      <c r="W198" s="222"/>
      <c r="X198" s="222"/>
      <c r="Y198" s="222"/>
      <c r="Z198" s="222"/>
      <c r="AA198" s="222"/>
      <c r="AB198" s="222"/>
      <c r="AC198" s="222"/>
      <c r="AD198" s="222"/>
      <c r="AE198" s="222"/>
      <c r="AR198" s="324" t="s">
        <v>153</v>
      </c>
      <c r="AT198" s="324" t="s">
        <v>148</v>
      </c>
      <c r="AU198" s="324" t="s">
        <v>83</v>
      </c>
      <c r="AY198" s="214" t="s">
        <v>146</v>
      </c>
      <c r="BE198" s="325">
        <f t="shared" si="34"/>
        <v>0</v>
      </c>
      <c r="BF198" s="325">
        <f t="shared" si="35"/>
        <v>0</v>
      </c>
      <c r="BG198" s="325">
        <f t="shared" si="36"/>
        <v>0</v>
      </c>
      <c r="BH198" s="325">
        <f t="shared" si="37"/>
        <v>0</v>
      </c>
      <c r="BI198" s="325">
        <f t="shared" si="38"/>
        <v>0</v>
      </c>
      <c r="BJ198" s="214" t="s">
        <v>81</v>
      </c>
      <c r="BK198" s="325">
        <f t="shared" si="39"/>
        <v>0</v>
      </c>
      <c r="BL198" s="214" t="s">
        <v>153</v>
      </c>
      <c r="BM198" s="324" t="s">
        <v>1533</v>
      </c>
    </row>
    <row r="199" spans="1:65" s="225" customFormat="1" ht="16.5" customHeight="1">
      <c r="A199" s="222"/>
      <c r="B199" s="223"/>
      <c r="C199" s="314" t="s">
        <v>409</v>
      </c>
      <c r="D199" s="314" t="s">
        <v>148</v>
      </c>
      <c r="E199" s="315" t="s">
        <v>1534</v>
      </c>
      <c r="F199" s="316" t="s">
        <v>1535</v>
      </c>
      <c r="G199" s="317" t="s">
        <v>1361</v>
      </c>
      <c r="H199" s="318">
        <v>6</v>
      </c>
      <c r="I199" s="79"/>
      <c r="J199" s="319">
        <f t="shared" si="30"/>
        <v>0</v>
      </c>
      <c r="K199" s="316" t="s">
        <v>1</v>
      </c>
      <c r="L199" s="223"/>
      <c r="M199" s="320" t="s">
        <v>1</v>
      </c>
      <c r="N199" s="321" t="s">
        <v>42</v>
      </c>
      <c r="O199" s="322">
        <v>0</v>
      </c>
      <c r="P199" s="322">
        <f t="shared" si="31"/>
        <v>0</v>
      </c>
      <c r="Q199" s="322">
        <v>0</v>
      </c>
      <c r="R199" s="322">
        <f t="shared" si="32"/>
        <v>0</v>
      </c>
      <c r="S199" s="322">
        <v>0</v>
      </c>
      <c r="T199" s="323">
        <f t="shared" si="33"/>
        <v>0</v>
      </c>
      <c r="U199" s="222"/>
      <c r="V199" s="222"/>
      <c r="W199" s="222"/>
      <c r="X199" s="222"/>
      <c r="Y199" s="222"/>
      <c r="Z199" s="222"/>
      <c r="AA199" s="222"/>
      <c r="AB199" s="222"/>
      <c r="AC199" s="222"/>
      <c r="AD199" s="222"/>
      <c r="AE199" s="222"/>
      <c r="AR199" s="324" t="s">
        <v>153</v>
      </c>
      <c r="AT199" s="324" t="s">
        <v>148</v>
      </c>
      <c r="AU199" s="324" t="s">
        <v>83</v>
      </c>
      <c r="AY199" s="214" t="s">
        <v>146</v>
      </c>
      <c r="BE199" s="325">
        <f t="shared" si="34"/>
        <v>0</v>
      </c>
      <c r="BF199" s="325">
        <f t="shared" si="35"/>
        <v>0</v>
      </c>
      <c r="BG199" s="325">
        <f t="shared" si="36"/>
        <v>0</v>
      </c>
      <c r="BH199" s="325">
        <f t="shared" si="37"/>
        <v>0</v>
      </c>
      <c r="BI199" s="325">
        <f t="shared" si="38"/>
        <v>0</v>
      </c>
      <c r="BJ199" s="214" t="s">
        <v>81</v>
      </c>
      <c r="BK199" s="325">
        <f t="shared" si="39"/>
        <v>0</v>
      </c>
      <c r="BL199" s="214" t="s">
        <v>153</v>
      </c>
      <c r="BM199" s="324" t="s">
        <v>1536</v>
      </c>
    </row>
    <row r="200" spans="1:65" s="225" customFormat="1" ht="16.5" customHeight="1">
      <c r="A200" s="222"/>
      <c r="B200" s="223"/>
      <c r="C200" s="314" t="s">
        <v>413</v>
      </c>
      <c r="D200" s="314" t="s">
        <v>148</v>
      </c>
      <c r="E200" s="315" t="s">
        <v>1537</v>
      </c>
      <c r="F200" s="316" t="s">
        <v>1538</v>
      </c>
      <c r="G200" s="317" t="s">
        <v>158</v>
      </c>
      <c r="H200" s="318">
        <v>30</v>
      </c>
      <c r="I200" s="79"/>
      <c r="J200" s="319">
        <f t="shared" si="30"/>
        <v>0</v>
      </c>
      <c r="K200" s="316" t="s">
        <v>1</v>
      </c>
      <c r="L200" s="223"/>
      <c r="M200" s="320" t="s">
        <v>1</v>
      </c>
      <c r="N200" s="321" t="s">
        <v>42</v>
      </c>
      <c r="O200" s="322">
        <v>0</v>
      </c>
      <c r="P200" s="322">
        <f t="shared" si="31"/>
        <v>0</v>
      </c>
      <c r="Q200" s="322">
        <v>0</v>
      </c>
      <c r="R200" s="322">
        <f t="shared" si="32"/>
        <v>0</v>
      </c>
      <c r="S200" s="322">
        <v>0</v>
      </c>
      <c r="T200" s="323">
        <f t="shared" si="33"/>
        <v>0</v>
      </c>
      <c r="U200" s="222"/>
      <c r="V200" s="222"/>
      <c r="W200" s="222"/>
      <c r="X200" s="222"/>
      <c r="Y200" s="222"/>
      <c r="Z200" s="222"/>
      <c r="AA200" s="222"/>
      <c r="AB200" s="222"/>
      <c r="AC200" s="222"/>
      <c r="AD200" s="222"/>
      <c r="AE200" s="222"/>
      <c r="AR200" s="324" t="s">
        <v>153</v>
      </c>
      <c r="AT200" s="324" t="s">
        <v>148</v>
      </c>
      <c r="AU200" s="324" t="s">
        <v>83</v>
      </c>
      <c r="AY200" s="214" t="s">
        <v>146</v>
      </c>
      <c r="BE200" s="325">
        <f t="shared" si="34"/>
        <v>0</v>
      </c>
      <c r="BF200" s="325">
        <f t="shared" si="35"/>
        <v>0</v>
      </c>
      <c r="BG200" s="325">
        <f t="shared" si="36"/>
        <v>0</v>
      </c>
      <c r="BH200" s="325">
        <f t="shared" si="37"/>
        <v>0</v>
      </c>
      <c r="BI200" s="325">
        <f t="shared" si="38"/>
        <v>0</v>
      </c>
      <c r="BJ200" s="214" t="s">
        <v>81</v>
      </c>
      <c r="BK200" s="325">
        <f t="shared" si="39"/>
        <v>0</v>
      </c>
      <c r="BL200" s="214" t="s">
        <v>153</v>
      </c>
      <c r="BM200" s="324" t="s">
        <v>1539</v>
      </c>
    </row>
    <row r="201" spans="1:65" s="225" customFormat="1" ht="16.5" customHeight="1">
      <c r="A201" s="222"/>
      <c r="B201" s="223"/>
      <c r="C201" s="314" t="s">
        <v>417</v>
      </c>
      <c r="D201" s="314" t="s">
        <v>148</v>
      </c>
      <c r="E201" s="315" t="s">
        <v>1540</v>
      </c>
      <c r="F201" s="316" t="s">
        <v>1541</v>
      </c>
      <c r="G201" s="317" t="s">
        <v>158</v>
      </c>
      <c r="H201" s="318">
        <v>30</v>
      </c>
      <c r="I201" s="79"/>
      <c r="J201" s="319">
        <f t="shared" si="30"/>
        <v>0</v>
      </c>
      <c r="K201" s="316" t="s">
        <v>1</v>
      </c>
      <c r="L201" s="223"/>
      <c r="M201" s="320" t="s">
        <v>1</v>
      </c>
      <c r="N201" s="321" t="s">
        <v>42</v>
      </c>
      <c r="O201" s="322">
        <v>0</v>
      </c>
      <c r="P201" s="322">
        <f t="shared" si="31"/>
        <v>0</v>
      </c>
      <c r="Q201" s="322">
        <v>0</v>
      </c>
      <c r="R201" s="322">
        <f t="shared" si="32"/>
        <v>0</v>
      </c>
      <c r="S201" s="322">
        <v>0</v>
      </c>
      <c r="T201" s="323">
        <f t="shared" si="33"/>
        <v>0</v>
      </c>
      <c r="U201" s="222"/>
      <c r="V201" s="222"/>
      <c r="W201" s="222"/>
      <c r="X201" s="222"/>
      <c r="Y201" s="222"/>
      <c r="Z201" s="222"/>
      <c r="AA201" s="222"/>
      <c r="AB201" s="222"/>
      <c r="AC201" s="222"/>
      <c r="AD201" s="222"/>
      <c r="AE201" s="222"/>
      <c r="AR201" s="324" t="s">
        <v>153</v>
      </c>
      <c r="AT201" s="324" t="s">
        <v>148</v>
      </c>
      <c r="AU201" s="324" t="s">
        <v>83</v>
      </c>
      <c r="AY201" s="214" t="s">
        <v>146</v>
      </c>
      <c r="BE201" s="325">
        <f t="shared" si="34"/>
        <v>0</v>
      </c>
      <c r="BF201" s="325">
        <f t="shared" si="35"/>
        <v>0</v>
      </c>
      <c r="BG201" s="325">
        <f t="shared" si="36"/>
        <v>0</v>
      </c>
      <c r="BH201" s="325">
        <f t="shared" si="37"/>
        <v>0</v>
      </c>
      <c r="BI201" s="325">
        <f t="shared" si="38"/>
        <v>0</v>
      </c>
      <c r="BJ201" s="214" t="s">
        <v>81</v>
      </c>
      <c r="BK201" s="325">
        <f t="shared" si="39"/>
        <v>0</v>
      </c>
      <c r="BL201" s="214" t="s">
        <v>153</v>
      </c>
      <c r="BM201" s="324" t="s">
        <v>1542</v>
      </c>
    </row>
    <row r="202" spans="1:65" s="225" customFormat="1" ht="16.5" customHeight="1">
      <c r="A202" s="222"/>
      <c r="B202" s="223"/>
      <c r="C202" s="314" t="s">
        <v>423</v>
      </c>
      <c r="D202" s="314" t="s">
        <v>148</v>
      </c>
      <c r="E202" s="315" t="s">
        <v>1543</v>
      </c>
      <c r="F202" s="316" t="s">
        <v>1544</v>
      </c>
      <c r="G202" s="317" t="s">
        <v>158</v>
      </c>
      <c r="H202" s="318">
        <v>24</v>
      </c>
      <c r="I202" s="79"/>
      <c r="J202" s="319">
        <f t="shared" si="30"/>
        <v>0</v>
      </c>
      <c r="K202" s="316" t="s">
        <v>1</v>
      </c>
      <c r="L202" s="223"/>
      <c r="M202" s="320" t="s">
        <v>1</v>
      </c>
      <c r="N202" s="321" t="s">
        <v>42</v>
      </c>
      <c r="O202" s="322">
        <v>0</v>
      </c>
      <c r="P202" s="322">
        <f t="shared" si="31"/>
        <v>0</v>
      </c>
      <c r="Q202" s="322">
        <v>0</v>
      </c>
      <c r="R202" s="322">
        <f t="shared" si="32"/>
        <v>0</v>
      </c>
      <c r="S202" s="322">
        <v>0</v>
      </c>
      <c r="T202" s="323">
        <f t="shared" si="33"/>
        <v>0</v>
      </c>
      <c r="U202" s="222"/>
      <c r="V202" s="222"/>
      <c r="W202" s="222"/>
      <c r="X202" s="222"/>
      <c r="Y202" s="222"/>
      <c r="Z202" s="222"/>
      <c r="AA202" s="222"/>
      <c r="AB202" s="222"/>
      <c r="AC202" s="222"/>
      <c r="AD202" s="222"/>
      <c r="AE202" s="222"/>
      <c r="AR202" s="324" t="s">
        <v>153</v>
      </c>
      <c r="AT202" s="324" t="s">
        <v>148</v>
      </c>
      <c r="AU202" s="324" t="s">
        <v>83</v>
      </c>
      <c r="AY202" s="214" t="s">
        <v>146</v>
      </c>
      <c r="BE202" s="325">
        <f t="shared" si="34"/>
        <v>0</v>
      </c>
      <c r="BF202" s="325">
        <f t="shared" si="35"/>
        <v>0</v>
      </c>
      <c r="BG202" s="325">
        <f t="shared" si="36"/>
        <v>0</v>
      </c>
      <c r="BH202" s="325">
        <f t="shared" si="37"/>
        <v>0</v>
      </c>
      <c r="BI202" s="325">
        <f t="shared" si="38"/>
        <v>0</v>
      </c>
      <c r="BJ202" s="214" t="s">
        <v>81</v>
      </c>
      <c r="BK202" s="325">
        <f t="shared" si="39"/>
        <v>0</v>
      </c>
      <c r="BL202" s="214" t="s">
        <v>153</v>
      </c>
      <c r="BM202" s="324" t="s">
        <v>1545</v>
      </c>
    </row>
    <row r="203" spans="1:65" s="225" customFormat="1" ht="16.5" customHeight="1">
      <c r="A203" s="222"/>
      <c r="B203" s="223"/>
      <c r="C203" s="314" t="s">
        <v>429</v>
      </c>
      <c r="D203" s="314" t="s">
        <v>148</v>
      </c>
      <c r="E203" s="315" t="s">
        <v>1546</v>
      </c>
      <c r="F203" s="316" t="s">
        <v>1547</v>
      </c>
      <c r="G203" s="317" t="s">
        <v>1548</v>
      </c>
      <c r="H203" s="318">
        <v>10</v>
      </c>
      <c r="I203" s="79"/>
      <c r="J203" s="319">
        <f t="shared" si="30"/>
        <v>0</v>
      </c>
      <c r="K203" s="316" t="s">
        <v>1</v>
      </c>
      <c r="L203" s="223"/>
      <c r="M203" s="320" t="s">
        <v>1</v>
      </c>
      <c r="N203" s="321" t="s">
        <v>42</v>
      </c>
      <c r="O203" s="322">
        <v>0</v>
      </c>
      <c r="P203" s="322">
        <f t="shared" si="31"/>
        <v>0</v>
      </c>
      <c r="Q203" s="322">
        <v>0</v>
      </c>
      <c r="R203" s="322">
        <f t="shared" si="32"/>
        <v>0</v>
      </c>
      <c r="S203" s="322">
        <v>0</v>
      </c>
      <c r="T203" s="323">
        <f t="shared" si="33"/>
        <v>0</v>
      </c>
      <c r="U203" s="222"/>
      <c r="V203" s="222"/>
      <c r="W203" s="222"/>
      <c r="X203" s="222"/>
      <c r="Y203" s="222"/>
      <c r="Z203" s="222"/>
      <c r="AA203" s="222"/>
      <c r="AB203" s="222"/>
      <c r="AC203" s="222"/>
      <c r="AD203" s="222"/>
      <c r="AE203" s="222"/>
      <c r="AR203" s="324" t="s">
        <v>153</v>
      </c>
      <c r="AT203" s="324" t="s">
        <v>148</v>
      </c>
      <c r="AU203" s="324" t="s">
        <v>83</v>
      </c>
      <c r="AY203" s="214" t="s">
        <v>146</v>
      </c>
      <c r="BE203" s="325">
        <f t="shared" si="34"/>
        <v>0</v>
      </c>
      <c r="BF203" s="325">
        <f t="shared" si="35"/>
        <v>0</v>
      </c>
      <c r="BG203" s="325">
        <f t="shared" si="36"/>
        <v>0</v>
      </c>
      <c r="BH203" s="325">
        <f t="shared" si="37"/>
        <v>0</v>
      </c>
      <c r="BI203" s="325">
        <f t="shared" si="38"/>
        <v>0</v>
      </c>
      <c r="BJ203" s="214" t="s">
        <v>81</v>
      </c>
      <c r="BK203" s="325">
        <f t="shared" si="39"/>
        <v>0</v>
      </c>
      <c r="BL203" s="214" t="s">
        <v>153</v>
      </c>
      <c r="BM203" s="324" t="s">
        <v>1549</v>
      </c>
    </row>
    <row r="204" spans="1:65" s="225" customFormat="1" ht="24.2" customHeight="1">
      <c r="A204" s="222"/>
      <c r="B204" s="223"/>
      <c r="C204" s="314" t="s">
        <v>431</v>
      </c>
      <c r="D204" s="314" t="s">
        <v>148</v>
      </c>
      <c r="E204" s="315" t="s">
        <v>1550</v>
      </c>
      <c r="F204" s="316" t="s">
        <v>1551</v>
      </c>
      <c r="G204" s="317" t="s">
        <v>220</v>
      </c>
      <c r="H204" s="318">
        <v>10</v>
      </c>
      <c r="I204" s="79"/>
      <c r="J204" s="319">
        <f t="shared" si="30"/>
        <v>0</v>
      </c>
      <c r="K204" s="316" t="s">
        <v>1</v>
      </c>
      <c r="L204" s="223"/>
      <c r="M204" s="320" t="s">
        <v>1</v>
      </c>
      <c r="N204" s="321" t="s">
        <v>42</v>
      </c>
      <c r="O204" s="322">
        <v>0</v>
      </c>
      <c r="P204" s="322">
        <f t="shared" si="31"/>
        <v>0</v>
      </c>
      <c r="Q204" s="322">
        <v>0</v>
      </c>
      <c r="R204" s="322">
        <f t="shared" si="32"/>
        <v>0</v>
      </c>
      <c r="S204" s="322">
        <v>0</v>
      </c>
      <c r="T204" s="323">
        <f t="shared" si="33"/>
        <v>0</v>
      </c>
      <c r="U204" s="222"/>
      <c r="V204" s="222"/>
      <c r="W204" s="222"/>
      <c r="X204" s="222"/>
      <c r="Y204" s="222"/>
      <c r="Z204" s="222"/>
      <c r="AA204" s="222"/>
      <c r="AB204" s="222"/>
      <c r="AC204" s="222"/>
      <c r="AD204" s="222"/>
      <c r="AE204" s="222"/>
      <c r="AR204" s="324" t="s">
        <v>153</v>
      </c>
      <c r="AT204" s="324" t="s">
        <v>148</v>
      </c>
      <c r="AU204" s="324" t="s">
        <v>83</v>
      </c>
      <c r="AY204" s="214" t="s">
        <v>146</v>
      </c>
      <c r="BE204" s="325">
        <f t="shared" si="34"/>
        <v>0</v>
      </c>
      <c r="BF204" s="325">
        <f t="shared" si="35"/>
        <v>0</v>
      </c>
      <c r="BG204" s="325">
        <f t="shared" si="36"/>
        <v>0</v>
      </c>
      <c r="BH204" s="325">
        <f t="shared" si="37"/>
        <v>0</v>
      </c>
      <c r="BI204" s="325">
        <f t="shared" si="38"/>
        <v>0</v>
      </c>
      <c r="BJ204" s="214" t="s">
        <v>81</v>
      </c>
      <c r="BK204" s="325">
        <f t="shared" si="39"/>
        <v>0</v>
      </c>
      <c r="BL204" s="214" t="s">
        <v>153</v>
      </c>
      <c r="BM204" s="324" t="s">
        <v>1552</v>
      </c>
    </row>
    <row r="205" spans="1:65" s="225" customFormat="1" ht="16.5" customHeight="1">
      <c r="A205" s="222"/>
      <c r="B205" s="223"/>
      <c r="C205" s="314" t="s">
        <v>435</v>
      </c>
      <c r="D205" s="314" t="s">
        <v>148</v>
      </c>
      <c r="E205" s="315" t="s">
        <v>1553</v>
      </c>
      <c r="F205" s="316" t="s">
        <v>1554</v>
      </c>
      <c r="G205" s="317" t="s">
        <v>1361</v>
      </c>
      <c r="H205" s="318">
        <v>1</v>
      </c>
      <c r="I205" s="79"/>
      <c r="J205" s="319">
        <f t="shared" si="30"/>
        <v>0</v>
      </c>
      <c r="K205" s="316" t="s">
        <v>1</v>
      </c>
      <c r="L205" s="223"/>
      <c r="M205" s="320" t="s">
        <v>1</v>
      </c>
      <c r="N205" s="321" t="s">
        <v>42</v>
      </c>
      <c r="O205" s="322">
        <v>0</v>
      </c>
      <c r="P205" s="322">
        <f t="shared" si="31"/>
        <v>0</v>
      </c>
      <c r="Q205" s="322">
        <v>0</v>
      </c>
      <c r="R205" s="322">
        <f t="shared" si="32"/>
        <v>0</v>
      </c>
      <c r="S205" s="322">
        <v>0</v>
      </c>
      <c r="T205" s="323">
        <f t="shared" si="33"/>
        <v>0</v>
      </c>
      <c r="U205" s="222"/>
      <c r="V205" s="222"/>
      <c r="W205" s="222"/>
      <c r="X205" s="222"/>
      <c r="Y205" s="222"/>
      <c r="Z205" s="222"/>
      <c r="AA205" s="222"/>
      <c r="AB205" s="222"/>
      <c r="AC205" s="222"/>
      <c r="AD205" s="222"/>
      <c r="AE205" s="222"/>
      <c r="AR205" s="324" t="s">
        <v>153</v>
      </c>
      <c r="AT205" s="324" t="s">
        <v>148</v>
      </c>
      <c r="AU205" s="324" t="s">
        <v>83</v>
      </c>
      <c r="AY205" s="214" t="s">
        <v>146</v>
      </c>
      <c r="BE205" s="325">
        <f t="shared" si="34"/>
        <v>0</v>
      </c>
      <c r="BF205" s="325">
        <f t="shared" si="35"/>
        <v>0</v>
      </c>
      <c r="BG205" s="325">
        <f t="shared" si="36"/>
        <v>0</v>
      </c>
      <c r="BH205" s="325">
        <f t="shared" si="37"/>
        <v>0</v>
      </c>
      <c r="BI205" s="325">
        <f t="shared" si="38"/>
        <v>0</v>
      </c>
      <c r="BJ205" s="214" t="s">
        <v>81</v>
      </c>
      <c r="BK205" s="325">
        <f t="shared" si="39"/>
        <v>0</v>
      </c>
      <c r="BL205" s="214" t="s">
        <v>153</v>
      </c>
      <c r="BM205" s="324" t="s">
        <v>1555</v>
      </c>
    </row>
    <row r="206" spans="2:63" s="297" customFormat="1" ht="22.9" customHeight="1">
      <c r="B206" s="298"/>
      <c r="D206" s="299" t="s">
        <v>75</v>
      </c>
      <c r="E206" s="660" t="s">
        <v>1556</v>
      </c>
      <c r="F206" s="660" t="s">
        <v>1557</v>
      </c>
      <c r="I206" s="501"/>
      <c r="J206" s="311">
        <f>SUM(J207:J210)</f>
        <v>0</v>
      </c>
      <c r="L206" s="298"/>
      <c r="M206" s="303"/>
      <c r="N206" s="304"/>
      <c r="O206" s="304"/>
      <c r="P206" s="305">
        <f>SUM(P207:P210)</f>
        <v>0</v>
      </c>
      <c r="Q206" s="304"/>
      <c r="R206" s="305">
        <f>SUM(R207:R210)</f>
        <v>0</v>
      </c>
      <c r="S206" s="304"/>
      <c r="T206" s="313">
        <f>SUM(T207:T210)</f>
        <v>0</v>
      </c>
      <c r="AR206" s="299" t="s">
        <v>81</v>
      </c>
      <c r="AT206" s="308" t="s">
        <v>75</v>
      </c>
      <c r="AU206" s="308" t="s">
        <v>81</v>
      </c>
      <c r="AY206" s="299" t="s">
        <v>146</v>
      </c>
      <c r="BK206" s="309">
        <f>SUM(BK207:BK210)</f>
        <v>0</v>
      </c>
    </row>
    <row r="207" spans="1:65" s="225" customFormat="1" ht="16.5" customHeight="1">
      <c r="A207" s="222"/>
      <c r="B207" s="223"/>
      <c r="C207" s="314" t="s">
        <v>440</v>
      </c>
      <c r="D207" s="314" t="s">
        <v>148</v>
      </c>
      <c r="E207" s="315" t="s">
        <v>1558</v>
      </c>
      <c r="F207" s="316" t="s">
        <v>1559</v>
      </c>
      <c r="G207" s="317" t="s">
        <v>158</v>
      </c>
      <c r="H207" s="318">
        <v>300</v>
      </c>
      <c r="I207" s="79"/>
      <c r="J207" s="319">
        <f>ROUND(I207*H207,2)</f>
        <v>0</v>
      </c>
      <c r="K207" s="316" t="s">
        <v>1</v>
      </c>
      <c r="L207" s="223"/>
      <c r="M207" s="320" t="s">
        <v>1</v>
      </c>
      <c r="N207" s="321" t="s">
        <v>42</v>
      </c>
      <c r="O207" s="322">
        <v>0</v>
      </c>
      <c r="P207" s="322">
        <f>O207*H207</f>
        <v>0</v>
      </c>
      <c r="Q207" s="322">
        <v>0</v>
      </c>
      <c r="R207" s="322">
        <f>Q207*H207</f>
        <v>0</v>
      </c>
      <c r="S207" s="322">
        <v>0</v>
      </c>
      <c r="T207" s="323">
        <f>S207*H207</f>
        <v>0</v>
      </c>
      <c r="U207" s="222"/>
      <c r="V207" s="222"/>
      <c r="W207" s="222"/>
      <c r="X207" s="222"/>
      <c r="Y207" s="222"/>
      <c r="Z207" s="222"/>
      <c r="AA207" s="222"/>
      <c r="AB207" s="222"/>
      <c r="AC207" s="222"/>
      <c r="AD207" s="222"/>
      <c r="AE207" s="222"/>
      <c r="AR207" s="324" t="s">
        <v>153</v>
      </c>
      <c r="AT207" s="324" t="s">
        <v>148</v>
      </c>
      <c r="AU207" s="324" t="s">
        <v>83</v>
      </c>
      <c r="AY207" s="214" t="s">
        <v>146</v>
      </c>
      <c r="BE207" s="325">
        <f>IF(N207="základní",J207,0)</f>
        <v>0</v>
      </c>
      <c r="BF207" s="325">
        <f>IF(N207="snížená",J207,0)</f>
        <v>0</v>
      </c>
      <c r="BG207" s="325">
        <f>IF(N207="zákl. přenesená",J207,0)</f>
        <v>0</v>
      </c>
      <c r="BH207" s="325">
        <f>IF(N207="sníž. přenesená",J207,0)</f>
        <v>0</v>
      </c>
      <c r="BI207" s="325">
        <f>IF(N207="nulová",J207,0)</f>
        <v>0</v>
      </c>
      <c r="BJ207" s="214" t="s">
        <v>81</v>
      </c>
      <c r="BK207" s="325">
        <f>ROUND(I207*H207,2)</f>
        <v>0</v>
      </c>
      <c r="BL207" s="214" t="s">
        <v>153</v>
      </c>
      <c r="BM207" s="324" t="s">
        <v>1560</v>
      </c>
    </row>
    <row r="208" spans="1:65" s="225" customFormat="1" ht="16.5" customHeight="1">
      <c r="A208" s="222"/>
      <c r="B208" s="223"/>
      <c r="C208" s="314" t="s">
        <v>446</v>
      </c>
      <c r="D208" s="314" t="s">
        <v>148</v>
      </c>
      <c r="E208" s="315" t="s">
        <v>1561</v>
      </c>
      <c r="F208" s="316" t="s">
        <v>1562</v>
      </c>
      <c r="G208" s="317" t="s">
        <v>158</v>
      </c>
      <c r="H208" s="318">
        <v>50</v>
      </c>
      <c r="I208" s="79"/>
      <c r="J208" s="319">
        <f>ROUND(I208*H208,2)</f>
        <v>0</v>
      </c>
      <c r="K208" s="316" t="s">
        <v>1</v>
      </c>
      <c r="L208" s="223"/>
      <c r="M208" s="320" t="s">
        <v>1</v>
      </c>
      <c r="N208" s="321" t="s">
        <v>42</v>
      </c>
      <c r="O208" s="322">
        <v>0</v>
      </c>
      <c r="P208" s="322">
        <f>O208*H208</f>
        <v>0</v>
      </c>
      <c r="Q208" s="322">
        <v>0</v>
      </c>
      <c r="R208" s="322">
        <f>Q208*H208</f>
        <v>0</v>
      </c>
      <c r="S208" s="322">
        <v>0</v>
      </c>
      <c r="T208" s="323">
        <f>S208*H208</f>
        <v>0</v>
      </c>
      <c r="U208" s="222"/>
      <c r="V208" s="222"/>
      <c r="W208" s="222"/>
      <c r="X208" s="222"/>
      <c r="Y208" s="222"/>
      <c r="Z208" s="222"/>
      <c r="AA208" s="222"/>
      <c r="AB208" s="222"/>
      <c r="AC208" s="222"/>
      <c r="AD208" s="222"/>
      <c r="AE208" s="222"/>
      <c r="AR208" s="324" t="s">
        <v>153</v>
      </c>
      <c r="AT208" s="324" t="s">
        <v>148</v>
      </c>
      <c r="AU208" s="324" t="s">
        <v>83</v>
      </c>
      <c r="AY208" s="214" t="s">
        <v>146</v>
      </c>
      <c r="BE208" s="325">
        <f>IF(N208="základní",J208,0)</f>
        <v>0</v>
      </c>
      <c r="BF208" s="325">
        <f>IF(N208="snížená",J208,0)</f>
        <v>0</v>
      </c>
      <c r="BG208" s="325">
        <f>IF(N208="zákl. přenesená",J208,0)</f>
        <v>0</v>
      </c>
      <c r="BH208" s="325">
        <f>IF(N208="sníž. přenesená",J208,0)</f>
        <v>0</v>
      </c>
      <c r="BI208" s="325">
        <f>IF(N208="nulová",J208,0)</f>
        <v>0</v>
      </c>
      <c r="BJ208" s="214" t="s">
        <v>81</v>
      </c>
      <c r="BK208" s="325">
        <f>ROUND(I208*H208,2)</f>
        <v>0</v>
      </c>
      <c r="BL208" s="214" t="s">
        <v>153</v>
      </c>
      <c r="BM208" s="324" t="s">
        <v>1563</v>
      </c>
    </row>
    <row r="209" spans="1:65" s="225" customFormat="1" ht="16.5" customHeight="1">
      <c r="A209" s="222"/>
      <c r="B209" s="223"/>
      <c r="C209" s="314" t="s">
        <v>450</v>
      </c>
      <c r="D209" s="314" t="s">
        <v>148</v>
      </c>
      <c r="E209" s="315" t="s">
        <v>1564</v>
      </c>
      <c r="F209" s="316" t="s">
        <v>1565</v>
      </c>
      <c r="G209" s="317" t="s">
        <v>1361</v>
      </c>
      <c r="H209" s="318">
        <v>3</v>
      </c>
      <c r="I209" s="79"/>
      <c r="J209" s="319">
        <f>ROUND(I209*H209,2)</f>
        <v>0</v>
      </c>
      <c r="K209" s="316" t="s">
        <v>1</v>
      </c>
      <c r="L209" s="223"/>
      <c r="M209" s="320" t="s">
        <v>1</v>
      </c>
      <c r="N209" s="321" t="s">
        <v>42</v>
      </c>
      <c r="O209" s="322">
        <v>0</v>
      </c>
      <c r="P209" s="322">
        <f>O209*H209</f>
        <v>0</v>
      </c>
      <c r="Q209" s="322">
        <v>0</v>
      </c>
      <c r="R209" s="322">
        <f>Q209*H209</f>
        <v>0</v>
      </c>
      <c r="S209" s="322">
        <v>0</v>
      </c>
      <c r="T209" s="323">
        <f>S209*H209</f>
        <v>0</v>
      </c>
      <c r="U209" s="222"/>
      <c r="V209" s="222"/>
      <c r="W209" s="222"/>
      <c r="X209" s="222"/>
      <c r="Y209" s="222"/>
      <c r="Z209" s="222"/>
      <c r="AA209" s="222"/>
      <c r="AB209" s="222"/>
      <c r="AC209" s="222"/>
      <c r="AD209" s="222"/>
      <c r="AE209" s="222"/>
      <c r="AR209" s="324" t="s">
        <v>153</v>
      </c>
      <c r="AT209" s="324" t="s">
        <v>148</v>
      </c>
      <c r="AU209" s="324" t="s">
        <v>83</v>
      </c>
      <c r="AY209" s="214" t="s">
        <v>146</v>
      </c>
      <c r="BE209" s="325">
        <f>IF(N209="základní",J209,0)</f>
        <v>0</v>
      </c>
      <c r="BF209" s="325">
        <f>IF(N209="snížená",J209,0)</f>
        <v>0</v>
      </c>
      <c r="BG209" s="325">
        <f>IF(N209="zákl. přenesená",J209,0)</f>
        <v>0</v>
      </c>
      <c r="BH209" s="325">
        <f>IF(N209="sníž. přenesená",J209,0)</f>
        <v>0</v>
      </c>
      <c r="BI209" s="325">
        <f>IF(N209="nulová",J209,0)</f>
        <v>0</v>
      </c>
      <c r="BJ209" s="214" t="s">
        <v>81</v>
      </c>
      <c r="BK209" s="325">
        <f>ROUND(I209*H209,2)</f>
        <v>0</v>
      </c>
      <c r="BL209" s="214" t="s">
        <v>153</v>
      </c>
      <c r="BM209" s="324" t="s">
        <v>1566</v>
      </c>
    </row>
    <row r="210" spans="1:65" s="225" customFormat="1" ht="24.2" customHeight="1">
      <c r="A210" s="222"/>
      <c r="B210" s="223"/>
      <c r="C210" s="314" t="s">
        <v>455</v>
      </c>
      <c r="D210" s="314" t="s">
        <v>148</v>
      </c>
      <c r="E210" s="315" t="s">
        <v>1567</v>
      </c>
      <c r="F210" s="316" t="s">
        <v>1568</v>
      </c>
      <c r="G210" s="317" t="s">
        <v>1361</v>
      </c>
      <c r="H210" s="318">
        <v>10</v>
      </c>
      <c r="I210" s="79"/>
      <c r="J210" s="319">
        <f>ROUND(I210*H210,2)</f>
        <v>0</v>
      </c>
      <c r="K210" s="316" t="s">
        <v>1</v>
      </c>
      <c r="L210" s="223"/>
      <c r="M210" s="320" t="s">
        <v>1</v>
      </c>
      <c r="N210" s="321" t="s">
        <v>42</v>
      </c>
      <c r="O210" s="322">
        <v>0</v>
      </c>
      <c r="P210" s="322">
        <f>O210*H210</f>
        <v>0</v>
      </c>
      <c r="Q210" s="322">
        <v>0</v>
      </c>
      <c r="R210" s="322">
        <f>Q210*H210</f>
        <v>0</v>
      </c>
      <c r="S210" s="322">
        <v>0</v>
      </c>
      <c r="T210" s="323">
        <f>S210*H210</f>
        <v>0</v>
      </c>
      <c r="U210" s="222"/>
      <c r="V210" s="222"/>
      <c r="W210" s="222"/>
      <c r="X210" s="222"/>
      <c r="Y210" s="222"/>
      <c r="Z210" s="222"/>
      <c r="AA210" s="222"/>
      <c r="AB210" s="222"/>
      <c r="AC210" s="222"/>
      <c r="AD210" s="222"/>
      <c r="AE210" s="222"/>
      <c r="AR210" s="324" t="s">
        <v>153</v>
      </c>
      <c r="AT210" s="324" t="s">
        <v>148</v>
      </c>
      <c r="AU210" s="324" t="s">
        <v>83</v>
      </c>
      <c r="AY210" s="214" t="s">
        <v>146</v>
      </c>
      <c r="BE210" s="325">
        <f>IF(N210="základní",J210,0)</f>
        <v>0</v>
      </c>
      <c r="BF210" s="325">
        <f>IF(N210="snížená",J210,0)</f>
        <v>0</v>
      </c>
      <c r="BG210" s="325">
        <f>IF(N210="zákl. přenesená",J210,0)</f>
        <v>0</v>
      </c>
      <c r="BH210" s="325">
        <f>IF(N210="sníž. přenesená",J210,0)</f>
        <v>0</v>
      </c>
      <c r="BI210" s="325">
        <f>IF(N210="nulová",J210,0)</f>
        <v>0</v>
      </c>
      <c r="BJ210" s="214" t="s">
        <v>81</v>
      </c>
      <c r="BK210" s="325">
        <f>ROUND(I210*H210,2)</f>
        <v>0</v>
      </c>
      <c r="BL210" s="214" t="s">
        <v>153</v>
      </c>
      <c r="BM210" s="324" t="s">
        <v>1569</v>
      </c>
    </row>
    <row r="211" spans="2:63" s="297" customFormat="1" ht="22.9" customHeight="1">
      <c r="B211" s="298"/>
      <c r="D211" s="299" t="s">
        <v>75</v>
      </c>
      <c r="E211" s="660" t="s">
        <v>1570</v>
      </c>
      <c r="F211" s="660" t="s">
        <v>1571</v>
      </c>
      <c r="I211" s="501"/>
      <c r="J211" s="311">
        <f>SUM(J212:J238)</f>
        <v>0</v>
      </c>
      <c r="L211" s="298"/>
      <c r="M211" s="303"/>
      <c r="N211" s="304"/>
      <c r="O211" s="304"/>
      <c r="P211" s="305">
        <f>SUM(P212:P238)</f>
        <v>0</v>
      </c>
      <c r="Q211" s="304"/>
      <c r="R211" s="305">
        <f>SUM(R212:R238)</f>
        <v>0</v>
      </c>
      <c r="S211" s="304"/>
      <c r="T211" s="313">
        <f>SUM(T212:T238)</f>
        <v>0</v>
      </c>
      <c r="AR211" s="299" t="s">
        <v>81</v>
      </c>
      <c r="AT211" s="308" t="s">
        <v>75</v>
      </c>
      <c r="AU211" s="308" t="s">
        <v>81</v>
      </c>
      <c r="AY211" s="299" t="s">
        <v>146</v>
      </c>
      <c r="BK211" s="309">
        <f>SUM(BK212:BK238)</f>
        <v>0</v>
      </c>
    </row>
    <row r="212" spans="1:65" s="225" customFormat="1" ht="16.5" customHeight="1">
      <c r="A212" s="222"/>
      <c r="B212" s="223"/>
      <c r="C212" s="314" t="s">
        <v>457</v>
      </c>
      <c r="D212" s="314" t="s">
        <v>148</v>
      </c>
      <c r="E212" s="315" t="s">
        <v>1572</v>
      </c>
      <c r="F212" s="316" t="s">
        <v>1573</v>
      </c>
      <c r="G212" s="317" t="s">
        <v>1361</v>
      </c>
      <c r="H212" s="318">
        <v>20</v>
      </c>
      <c r="I212" s="79"/>
      <c r="J212" s="319">
        <f aca="true" t="shared" si="40" ref="J212:J238">ROUND(I212*H212,2)</f>
        <v>0</v>
      </c>
      <c r="K212" s="316" t="s">
        <v>1</v>
      </c>
      <c r="L212" s="223"/>
      <c r="M212" s="320" t="s">
        <v>1</v>
      </c>
      <c r="N212" s="321" t="s">
        <v>42</v>
      </c>
      <c r="O212" s="322">
        <v>0</v>
      </c>
      <c r="P212" s="322">
        <f aca="true" t="shared" si="41" ref="P212:P238">O212*H212</f>
        <v>0</v>
      </c>
      <c r="Q212" s="322">
        <v>0</v>
      </c>
      <c r="R212" s="322">
        <f aca="true" t="shared" si="42" ref="R212:R238">Q212*H212</f>
        <v>0</v>
      </c>
      <c r="S212" s="322">
        <v>0</v>
      </c>
      <c r="T212" s="323">
        <f aca="true" t="shared" si="43" ref="T212:T238">S212*H212</f>
        <v>0</v>
      </c>
      <c r="U212" s="222"/>
      <c r="V212" s="222"/>
      <c r="W212" s="222"/>
      <c r="X212" s="222"/>
      <c r="Y212" s="222"/>
      <c r="Z212" s="222"/>
      <c r="AA212" s="222"/>
      <c r="AB212" s="222"/>
      <c r="AC212" s="222"/>
      <c r="AD212" s="222"/>
      <c r="AE212" s="222"/>
      <c r="AR212" s="324" t="s">
        <v>153</v>
      </c>
      <c r="AT212" s="324" t="s">
        <v>148</v>
      </c>
      <c r="AU212" s="324" t="s">
        <v>83</v>
      </c>
      <c r="AY212" s="214" t="s">
        <v>146</v>
      </c>
      <c r="BE212" s="325">
        <f aca="true" t="shared" si="44" ref="BE212:BE238">IF(N212="základní",J212,0)</f>
        <v>0</v>
      </c>
      <c r="BF212" s="325">
        <f aca="true" t="shared" si="45" ref="BF212:BF238">IF(N212="snížená",J212,0)</f>
        <v>0</v>
      </c>
      <c r="BG212" s="325">
        <f aca="true" t="shared" si="46" ref="BG212:BG238">IF(N212="zákl. přenesená",J212,0)</f>
        <v>0</v>
      </c>
      <c r="BH212" s="325">
        <f aca="true" t="shared" si="47" ref="BH212:BH238">IF(N212="sníž. přenesená",J212,0)</f>
        <v>0</v>
      </c>
      <c r="BI212" s="325">
        <f aca="true" t="shared" si="48" ref="BI212:BI238">IF(N212="nulová",J212,0)</f>
        <v>0</v>
      </c>
      <c r="BJ212" s="214" t="s">
        <v>81</v>
      </c>
      <c r="BK212" s="325">
        <f aca="true" t="shared" si="49" ref="BK212:BK238">ROUND(I212*H212,2)</f>
        <v>0</v>
      </c>
      <c r="BL212" s="214" t="s">
        <v>153</v>
      </c>
      <c r="BM212" s="324" t="s">
        <v>1574</v>
      </c>
    </row>
    <row r="213" spans="1:65" s="225" customFormat="1" ht="24.2" customHeight="1">
      <c r="A213" s="222"/>
      <c r="B213" s="223"/>
      <c r="C213" s="314" t="s">
        <v>459</v>
      </c>
      <c r="D213" s="314" t="s">
        <v>148</v>
      </c>
      <c r="E213" s="315" t="s">
        <v>1575</v>
      </c>
      <c r="F213" s="316" t="s">
        <v>1576</v>
      </c>
      <c r="G213" s="317" t="s">
        <v>1361</v>
      </c>
      <c r="H213" s="318">
        <v>60</v>
      </c>
      <c r="I213" s="79"/>
      <c r="J213" s="319">
        <f t="shared" si="40"/>
        <v>0</v>
      </c>
      <c r="K213" s="316" t="s">
        <v>1</v>
      </c>
      <c r="L213" s="223"/>
      <c r="M213" s="320" t="s">
        <v>1</v>
      </c>
      <c r="N213" s="321" t="s">
        <v>42</v>
      </c>
      <c r="O213" s="322">
        <v>0</v>
      </c>
      <c r="P213" s="322">
        <f t="shared" si="41"/>
        <v>0</v>
      </c>
      <c r="Q213" s="322">
        <v>0</v>
      </c>
      <c r="R213" s="322">
        <f t="shared" si="42"/>
        <v>0</v>
      </c>
      <c r="S213" s="322">
        <v>0</v>
      </c>
      <c r="T213" s="323">
        <f t="shared" si="43"/>
        <v>0</v>
      </c>
      <c r="U213" s="222"/>
      <c r="V213" s="222"/>
      <c r="W213" s="222"/>
      <c r="X213" s="222"/>
      <c r="Y213" s="222"/>
      <c r="Z213" s="222"/>
      <c r="AA213" s="222"/>
      <c r="AB213" s="222"/>
      <c r="AC213" s="222"/>
      <c r="AD213" s="222"/>
      <c r="AE213" s="222"/>
      <c r="AR213" s="324" t="s">
        <v>153</v>
      </c>
      <c r="AT213" s="324" t="s">
        <v>148</v>
      </c>
      <c r="AU213" s="324" t="s">
        <v>83</v>
      </c>
      <c r="AY213" s="214" t="s">
        <v>146</v>
      </c>
      <c r="BE213" s="325">
        <f t="shared" si="44"/>
        <v>0</v>
      </c>
      <c r="BF213" s="325">
        <f t="shared" si="45"/>
        <v>0</v>
      </c>
      <c r="BG213" s="325">
        <f t="shared" si="46"/>
        <v>0</v>
      </c>
      <c r="BH213" s="325">
        <f t="shared" si="47"/>
        <v>0</v>
      </c>
      <c r="BI213" s="325">
        <f t="shared" si="48"/>
        <v>0</v>
      </c>
      <c r="BJ213" s="214" t="s">
        <v>81</v>
      </c>
      <c r="BK213" s="325">
        <f t="shared" si="49"/>
        <v>0</v>
      </c>
      <c r="BL213" s="214" t="s">
        <v>153</v>
      </c>
      <c r="BM213" s="324" t="s">
        <v>1577</v>
      </c>
    </row>
    <row r="214" spans="1:65" s="225" customFormat="1" ht="16.5" customHeight="1">
      <c r="A214" s="222"/>
      <c r="B214" s="223"/>
      <c r="C214" s="314" t="s">
        <v>463</v>
      </c>
      <c r="D214" s="314" t="s">
        <v>148</v>
      </c>
      <c r="E214" s="315" t="s">
        <v>1578</v>
      </c>
      <c r="F214" s="316" t="s">
        <v>1579</v>
      </c>
      <c r="G214" s="317" t="s">
        <v>1361</v>
      </c>
      <c r="H214" s="318">
        <v>90</v>
      </c>
      <c r="I214" s="79"/>
      <c r="J214" s="319">
        <f t="shared" si="40"/>
        <v>0</v>
      </c>
      <c r="K214" s="316" t="s">
        <v>1</v>
      </c>
      <c r="L214" s="223"/>
      <c r="M214" s="320" t="s">
        <v>1</v>
      </c>
      <c r="N214" s="321" t="s">
        <v>42</v>
      </c>
      <c r="O214" s="322">
        <v>0</v>
      </c>
      <c r="P214" s="322">
        <f t="shared" si="41"/>
        <v>0</v>
      </c>
      <c r="Q214" s="322">
        <v>0</v>
      </c>
      <c r="R214" s="322">
        <f t="shared" si="42"/>
        <v>0</v>
      </c>
      <c r="S214" s="322">
        <v>0</v>
      </c>
      <c r="T214" s="323">
        <f t="shared" si="43"/>
        <v>0</v>
      </c>
      <c r="U214" s="222"/>
      <c r="V214" s="222"/>
      <c r="W214" s="222"/>
      <c r="X214" s="222"/>
      <c r="Y214" s="222"/>
      <c r="Z214" s="222"/>
      <c r="AA214" s="222"/>
      <c r="AB214" s="222"/>
      <c r="AC214" s="222"/>
      <c r="AD214" s="222"/>
      <c r="AE214" s="222"/>
      <c r="AR214" s="324" t="s">
        <v>153</v>
      </c>
      <c r="AT214" s="324" t="s">
        <v>148</v>
      </c>
      <c r="AU214" s="324" t="s">
        <v>83</v>
      </c>
      <c r="AY214" s="214" t="s">
        <v>146</v>
      </c>
      <c r="BE214" s="325">
        <f t="shared" si="44"/>
        <v>0</v>
      </c>
      <c r="BF214" s="325">
        <f t="shared" si="45"/>
        <v>0</v>
      </c>
      <c r="BG214" s="325">
        <f t="shared" si="46"/>
        <v>0</v>
      </c>
      <c r="BH214" s="325">
        <f t="shared" si="47"/>
        <v>0</v>
      </c>
      <c r="BI214" s="325">
        <f t="shared" si="48"/>
        <v>0</v>
      </c>
      <c r="BJ214" s="214" t="s">
        <v>81</v>
      </c>
      <c r="BK214" s="325">
        <f t="shared" si="49"/>
        <v>0</v>
      </c>
      <c r="BL214" s="214" t="s">
        <v>153</v>
      </c>
      <c r="BM214" s="324" t="s">
        <v>1580</v>
      </c>
    </row>
    <row r="215" spans="1:65" s="225" customFormat="1" ht="16.5" customHeight="1">
      <c r="A215" s="222"/>
      <c r="B215" s="223"/>
      <c r="C215" s="314" t="s">
        <v>469</v>
      </c>
      <c r="D215" s="314" t="s">
        <v>148</v>
      </c>
      <c r="E215" s="315" t="s">
        <v>1581</v>
      </c>
      <c r="F215" s="316" t="s">
        <v>1582</v>
      </c>
      <c r="G215" s="317" t="s">
        <v>1361</v>
      </c>
      <c r="H215" s="318">
        <v>50</v>
      </c>
      <c r="I215" s="79"/>
      <c r="J215" s="319">
        <f t="shared" si="40"/>
        <v>0</v>
      </c>
      <c r="K215" s="316" t="s">
        <v>1</v>
      </c>
      <c r="L215" s="223"/>
      <c r="M215" s="320" t="s">
        <v>1</v>
      </c>
      <c r="N215" s="321" t="s">
        <v>42</v>
      </c>
      <c r="O215" s="322">
        <v>0</v>
      </c>
      <c r="P215" s="322">
        <f t="shared" si="41"/>
        <v>0</v>
      </c>
      <c r="Q215" s="322">
        <v>0</v>
      </c>
      <c r="R215" s="322">
        <f t="shared" si="42"/>
        <v>0</v>
      </c>
      <c r="S215" s="322">
        <v>0</v>
      </c>
      <c r="T215" s="323">
        <f t="shared" si="43"/>
        <v>0</v>
      </c>
      <c r="U215" s="222"/>
      <c r="V215" s="222"/>
      <c r="W215" s="222"/>
      <c r="X215" s="222"/>
      <c r="Y215" s="222"/>
      <c r="Z215" s="222"/>
      <c r="AA215" s="222"/>
      <c r="AB215" s="222"/>
      <c r="AC215" s="222"/>
      <c r="AD215" s="222"/>
      <c r="AE215" s="222"/>
      <c r="AR215" s="324" t="s">
        <v>153</v>
      </c>
      <c r="AT215" s="324" t="s">
        <v>148</v>
      </c>
      <c r="AU215" s="324" t="s">
        <v>83</v>
      </c>
      <c r="AY215" s="214" t="s">
        <v>146</v>
      </c>
      <c r="BE215" s="325">
        <f t="shared" si="44"/>
        <v>0</v>
      </c>
      <c r="BF215" s="325">
        <f t="shared" si="45"/>
        <v>0</v>
      </c>
      <c r="BG215" s="325">
        <f t="shared" si="46"/>
        <v>0</v>
      </c>
      <c r="BH215" s="325">
        <f t="shared" si="47"/>
        <v>0</v>
      </c>
      <c r="BI215" s="325">
        <f t="shared" si="48"/>
        <v>0</v>
      </c>
      <c r="BJ215" s="214" t="s">
        <v>81</v>
      </c>
      <c r="BK215" s="325">
        <f t="shared" si="49"/>
        <v>0</v>
      </c>
      <c r="BL215" s="214" t="s">
        <v>153</v>
      </c>
      <c r="BM215" s="324" t="s">
        <v>1583</v>
      </c>
    </row>
    <row r="216" spans="1:65" s="225" customFormat="1" ht="24.2" customHeight="1">
      <c r="A216" s="222"/>
      <c r="B216" s="223"/>
      <c r="C216" s="314" t="s">
        <v>473</v>
      </c>
      <c r="D216" s="314" t="s">
        <v>148</v>
      </c>
      <c r="E216" s="315" t="s">
        <v>1584</v>
      </c>
      <c r="F216" s="316" t="s">
        <v>1585</v>
      </c>
      <c r="G216" s="317" t="s">
        <v>1361</v>
      </c>
      <c r="H216" s="318">
        <v>30</v>
      </c>
      <c r="I216" s="79"/>
      <c r="J216" s="319">
        <f t="shared" si="40"/>
        <v>0</v>
      </c>
      <c r="K216" s="316" t="s">
        <v>1</v>
      </c>
      <c r="L216" s="223"/>
      <c r="M216" s="320" t="s">
        <v>1</v>
      </c>
      <c r="N216" s="321" t="s">
        <v>42</v>
      </c>
      <c r="O216" s="322">
        <v>0</v>
      </c>
      <c r="P216" s="322">
        <f t="shared" si="41"/>
        <v>0</v>
      </c>
      <c r="Q216" s="322">
        <v>0</v>
      </c>
      <c r="R216" s="322">
        <f t="shared" si="42"/>
        <v>0</v>
      </c>
      <c r="S216" s="322">
        <v>0</v>
      </c>
      <c r="T216" s="323">
        <f t="shared" si="43"/>
        <v>0</v>
      </c>
      <c r="U216" s="222"/>
      <c r="V216" s="222"/>
      <c r="W216" s="222"/>
      <c r="X216" s="222"/>
      <c r="Y216" s="222"/>
      <c r="Z216" s="222"/>
      <c r="AA216" s="222"/>
      <c r="AB216" s="222"/>
      <c r="AC216" s="222"/>
      <c r="AD216" s="222"/>
      <c r="AE216" s="222"/>
      <c r="AR216" s="324" t="s">
        <v>153</v>
      </c>
      <c r="AT216" s="324" t="s">
        <v>148</v>
      </c>
      <c r="AU216" s="324" t="s">
        <v>83</v>
      </c>
      <c r="AY216" s="214" t="s">
        <v>146</v>
      </c>
      <c r="BE216" s="325">
        <f t="shared" si="44"/>
        <v>0</v>
      </c>
      <c r="BF216" s="325">
        <f t="shared" si="45"/>
        <v>0</v>
      </c>
      <c r="BG216" s="325">
        <f t="shared" si="46"/>
        <v>0</v>
      </c>
      <c r="BH216" s="325">
        <f t="shared" si="47"/>
        <v>0</v>
      </c>
      <c r="BI216" s="325">
        <f t="shared" si="48"/>
        <v>0</v>
      </c>
      <c r="BJ216" s="214" t="s">
        <v>81</v>
      </c>
      <c r="BK216" s="325">
        <f t="shared" si="49"/>
        <v>0</v>
      </c>
      <c r="BL216" s="214" t="s">
        <v>153</v>
      </c>
      <c r="BM216" s="324" t="s">
        <v>1586</v>
      </c>
    </row>
    <row r="217" spans="1:65" s="225" customFormat="1" ht="24.2" customHeight="1">
      <c r="A217" s="222"/>
      <c r="B217" s="223"/>
      <c r="C217" s="314" t="s">
        <v>474</v>
      </c>
      <c r="D217" s="314" t="s">
        <v>148</v>
      </c>
      <c r="E217" s="315" t="s">
        <v>1587</v>
      </c>
      <c r="F217" s="316" t="s">
        <v>1588</v>
      </c>
      <c r="G217" s="317" t="s">
        <v>1361</v>
      </c>
      <c r="H217" s="318">
        <v>12</v>
      </c>
      <c r="I217" s="79"/>
      <c r="J217" s="319">
        <f t="shared" si="40"/>
        <v>0</v>
      </c>
      <c r="K217" s="316" t="s">
        <v>1</v>
      </c>
      <c r="L217" s="223"/>
      <c r="M217" s="320" t="s">
        <v>1</v>
      </c>
      <c r="N217" s="321" t="s">
        <v>42</v>
      </c>
      <c r="O217" s="322">
        <v>0</v>
      </c>
      <c r="P217" s="322">
        <f t="shared" si="41"/>
        <v>0</v>
      </c>
      <c r="Q217" s="322">
        <v>0</v>
      </c>
      <c r="R217" s="322">
        <f t="shared" si="42"/>
        <v>0</v>
      </c>
      <c r="S217" s="322">
        <v>0</v>
      </c>
      <c r="T217" s="323">
        <f t="shared" si="43"/>
        <v>0</v>
      </c>
      <c r="U217" s="222"/>
      <c r="V217" s="222"/>
      <c r="W217" s="222"/>
      <c r="X217" s="222"/>
      <c r="Y217" s="222"/>
      <c r="Z217" s="222"/>
      <c r="AA217" s="222"/>
      <c r="AB217" s="222"/>
      <c r="AC217" s="222"/>
      <c r="AD217" s="222"/>
      <c r="AE217" s="222"/>
      <c r="AR217" s="324" t="s">
        <v>153</v>
      </c>
      <c r="AT217" s="324" t="s">
        <v>148</v>
      </c>
      <c r="AU217" s="324" t="s">
        <v>83</v>
      </c>
      <c r="AY217" s="214" t="s">
        <v>146</v>
      </c>
      <c r="BE217" s="325">
        <f t="shared" si="44"/>
        <v>0</v>
      </c>
      <c r="BF217" s="325">
        <f t="shared" si="45"/>
        <v>0</v>
      </c>
      <c r="BG217" s="325">
        <f t="shared" si="46"/>
        <v>0</v>
      </c>
      <c r="BH217" s="325">
        <f t="shared" si="47"/>
        <v>0</v>
      </c>
      <c r="BI217" s="325">
        <f t="shared" si="48"/>
        <v>0</v>
      </c>
      <c r="BJ217" s="214" t="s">
        <v>81</v>
      </c>
      <c r="BK217" s="325">
        <f t="shared" si="49"/>
        <v>0</v>
      </c>
      <c r="BL217" s="214" t="s">
        <v>153</v>
      </c>
      <c r="BM217" s="324" t="s">
        <v>1589</v>
      </c>
    </row>
    <row r="218" spans="1:65" s="225" customFormat="1" ht="24.2" customHeight="1">
      <c r="A218" s="222"/>
      <c r="B218" s="223"/>
      <c r="C218" s="314" t="s">
        <v>478</v>
      </c>
      <c r="D218" s="314" t="s">
        <v>148</v>
      </c>
      <c r="E218" s="315" t="s">
        <v>1590</v>
      </c>
      <c r="F218" s="316" t="s">
        <v>1591</v>
      </c>
      <c r="G218" s="317" t="s">
        <v>1361</v>
      </c>
      <c r="H218" s="318">
        <v>8</v>
      </c>
      <c r="I218" s="79"/>
      <c r="J218" s="319">
        <f t="shared" si="40"/>
        <v>0</v>
      </c>
      <c r="K218" s="316" t="s">
        <v>1</v>
      </c>
      <c r="L218" s="223"/>
      <c r="M218" s="320" t="s">
        <v>1</v>
      </c>
      <c r="N218" s="321" t="s">
        <v>42</v>
      </c>
      <c r="O218" s="322">
        <v>0</v>
      </c>
      <c r="P218" s="322">
        <f t="shared" si="41"/>
        <v>0</v>
      </c>
      <c r="Q218" s="322">
        <v>0</v>
      </c>
      <c r="R218" s="322">
        <f t="shared" si="42"/>
        <v>0</v>
      </c>
      <c r="S218" s="322">
        <v>0</v>
      </c>
      <c r="T218" s="323">
        <f t="shared" si="43"/>
        <v>0</v>
      </c>
      <c r="U218" s="222"/>
      <c r="V218" s="222"/>
      <c r="W218" s="222"/>
      <c r="X218" s="222"/>
      <c r="Y218" s="222"/>
      <c r="Z218" s="222"/>
      <c r="AA218" s="222"/>
      <c r="AB218" s="222"/>
      <c r="AC218" s="222"/>
      <c r="AD218" s="222"/>
      <c r="AE218" s="222"/>
      <c r="AR218" s="324" t="s">
        <v>153</v>
      </c>
      <c r="AT218" s="324" t="s">
        <v>148</v>
      </c>
      <c r="AU218" s="324" t="s">
        <v>83</v>
      </c>
      <c r="AY218" s="214" t="s">
        <v>146</v>
      </c>
      <c r="BE218" s="325">
        <f t="shared" si="44"/>
        <v>0</v>
      </c>
      <c r="BF218" s="325">
        <f t="shared" si="45"/>
        <v>0</v>
      </c>
      <c r="BG218" s="325">
        <f t="shared" si="46"/>
        <v>0</v>
      </c>
      <c r="BH218" s="325">
        <f t="shared" si="47"/>
        <v>0</v>
      </c>
      <c r="BI218" s="325">
        <f t="shared" si="48"/>
        <v>0</v>
      </c>
      <c r="BJ218" s="214" t="s">
        <v>81</v>
      </c>
      <c r="BK218" s="325">
        <f t="shared" si="49"/>
        <v>0</v>
      </c>
      <c r="BL218" s="214" t="s">
        <v>153</v>
      </c>
      <c r="BM218" s="324" t="s">
        <v>1592</v>
      </c>
    </row>
    <row r="219" spans="1:65" s="225" customFormat="1" ht="24.2" customHeight="1">
      <c r="A219" s="222"/>
      <c r="B219" s="223"/>
      <c r="C219" s="314" t="s">
        <v>482</v>
      </c>
      <c r="D219" s="314" t="s">
        <v>148</v>
      </c>
      <c r="E219" s="315" t="s">
        <v>1593</v>
      </c>
      <c r="F219" s="316" t="s">
        <v>1594</v>
      </c>
      <c r="G219" s="317" t="s">
        <v>1361</v>
      </c>
      <c r="H219" s="318">
        <v>48</v>
      </c>
      <c r="I219" s="79"/>
      <c r="J219" s="319">
        <f t="shared" si="40"/>
        <v>0</v>
      </c>
      <c r="K219" s="316" t="s">
        <v>1</v>
      </c>
      <c r="L219" s="223"/>
      <c r="M219" s="320" t="s">
        <v>1</v>
      </c>
      <c r="N219" s="321" t="s">
        <v>42</v>
      </c>
      <c r="O219" s="322">
        <v>0</v>
      </c>
      <c r="P219" s="322">
        <f t="shared" si="41"/>
        <v>0</v>
      </c>
      <c r="Q219" s="322">
        <v>0</v>
      </c>
      <c r="R219" s="322">
        <f t="shared" si="42"/>
        <v>0</v>
      </c>
      <c r="S219" s="322">
        <v>0</v>
      </c>
      <c r="T219" s="323">
        <f t="shared" si="43"/>
        <v>0</v>
      </c>
      <c r="U219" s="222"/>
      <c r="V219" s="222"/>
      <c r="W219" s="222"/>
      <c r="X219" s="222"/>
      <c r="Y219" s="222"/>
      <c r="Z219" s="222"/>
      <c r="AA219" s="222"/>
      <c r="AB219" s="222"/>
      <c r="AC219" s="222"/>
      <c r="AD219" s="222"/>
      <c r="AE219" s="222"/>
      <c r="AR219" s="324" t="s">
        <v>153</v>
      </c>
      <c r="AT219" s="324" t="s">
        <v>148</v>
      </c>
      <c r="AU219" s="324" t="s">
        <v>83</v>
      </c>
      <c r="AY219" s="214" t="s">
        <v>146</v>
      </c>
      <c r="BE219" s="325">
        <f t="shared" si="44"/>
        <v>0</v>
      </c>
      <c r="BF219" s="325">
        <f t="shared" si="45"/>
        <v>0</v>
      </c>
      <c r="BG219" s="325">
        <f t="shared" si="46"/>
        <v>0</v>
      </c>
      <c r="BH219" s="325">
        <f t="shared" si="47"/>
        <v>0</v>
      </c>
      <c r="BI219" s="325">
        <f t="shared" si="48"/>
        <v>0</v>
      </c>
      <c r="BJ219" s="214" t="s">
        <v>81</v>
      </c>
      <c r="BK219" s="325">
        <f t="shared" si="49"/>
        <v>0</v>
      </c>
      <c r="BL219" s="214" t="s">
        <v>153</v>
      </c>
      <c r="BM219" s="324" t="s">
        <v>1595</v>
      </c>
    </row>
    <row r="220" spans="1:65" s="225" customFormat="1" ht="24.2" customHeight="1">
      <c r="A220" s="222"/>
      <c r="B220" s="223"/>
      <c r="C220" s="314" t="s">
        <v>487</v>
      </c>
      <c r="D220" s="314" t="s">
        <v>148</v>
      </c>
      <c r="E220" s="315" t="s">
        <v>1596</v>
      </c>
      <c r="F220" s="316" t="s">
        <v>1597</v>
      </c>
      <c r="G220" s="317" t="s">
        <v>1361</v>
      </c>
      <c r="H220" s="318">
        <v>6</v>
      </c>
      <c r="I220" s="79"/>
      <c r="J220" s="319">
        <f t="shared" si="40"/>
        <v>0</v>
      </c>
      <c r="K220" s="316" t="s">
        <v>1</v>
      </c>
      <c r="L220" s="223"/>
      <c r="M220" s="320" t="s">
        <v>1</v>
      </c>
      <c r="N220" s="321" t="s">
        <v>42</v>
      </c>
      <c r="O220" s="322">
        <v>0</v>
      </c>
      <c r="P220" s="322">
        <f t="shared" si="41"/>
        <v>0</v>
      </c>
      <c r="Q220" s="322">
        <v>0</v>
      </c>
      <c r="R220" s="322">
        <f t="shared" si="42"/>
        <v>0</v>
      </c>
      <c r="S220" s="322">
        <v>0</v>
      </c>
      <c r="T220" s="323">
        <f t="shared" si="43"/>
        <v>0</v>
      </c>
      <c r="U220" s="222"/>
      <c r="V220" s="222"/>
      <c r="W220" s="222"/>
      <c r="X220" s="222"/>
      <c r="Y220" s="222"/>
      <c r="Z220" s="222"/>
      <c r="AA220" s="222"/>
      <c r="AB220" s="222"/>
      <c r="AC220" s="222"/>
      <c r="AD220" s="222"/>
      <c r="AE220" s="222"/>
      <c r="AR220" s="324" t="s">
        <v>153</v>
      </c>
      <c r="AT220" s="324" t="s">
        <v>148</v>
      </c>
      <c r="AU220" s="324" t="s">
        <v>83</v>
      </c>
      <c r="AY220" s="214" t="s">
        <v>146</v>
      </c>
      <c r="BE220" s="325">
        <f t="shared" si="44"/>
        <v>0</v>
      </c>
      <c r="BF220" s="325">
        <f t="shared" si="45"/>
        <v>0</v>
      </c>
      <c r="BG220" s="325">
        <f t="shared" si="46"/>
        <v>0</v>
      </c>
      <c r="BH220" s="325">
        <f t="shared" si="47"/>
        <v>0</v>
      </c>
      <c r="BI220" s="325">
        <f t="shared" si="48"/>
        <v>0</v>
      </c>
      <c r="BJ220" s="214" t="s">
        <v>81</v>
      </c>
      <c r="BK220" s="325">
        <f t="shared" si="49"/>
        <v>0</v>
      </c>
      <c r="BL220" s="214" t="s">
        <v>153</v>
      </c>
      <c r="BM220" s="324" t="s">
        <v>1598</v>
      </c>
    </row>
    <row r="221" spans="1:65" s="225" customFormat="1" ht="24.2" customHeight="1">
      <c r="A221" s="222"/>
      <c r="B221" s="223"/>
      <c r="C221" s="314" t="s">
        <v>491</v>
      </c>
      <c r="D221" s="314" t="s">
        <v>148</v>
      </c>
      <c r="E221" s="315" t="s">
        <v>1599</v>
      </c>
      <c r="F221" s="316" t="s">
        <v>1600</v>
      </c>
      <c r="G221" s="317" t="s">
        <v>1361</v>
      </c>
      <c r="H221" s="318">
        <v>10</v>
      </c>
      <c r="I221" s="79"/>
      <c r="J221" s="319">
        <f t="shared" si="40"/>
        <v>0</v>
      </c>
      <c r="K221" s="316" t="s">
        <v>1</v>
      </c>
      <c r="L221" s="223"/>
      <c r="M221" s="320" t="s">
        <v>1</v>
      </c>
      <c r="N221" s="321" t="s">
        <v>42</v>
      </c>
      <c r="O221" s="322">
        <v>0</v>
      </c>
      <c r="P221" s="322">
        <f t="shared" si="41"/>
        <v>0</v>
      </c>
      <c r="Q221" s="322">
        <v>0</v>
      </c>
      <c r="R221" s="322">
        <f t="shared" si="42"/>
        <v>0</v>
      </c>
      <c r="S221" s="322">
        <v>0</v>
      </c>
      <c r="T221" s="323">
        <f t="shared" si="43"/>
        <v>0</v>
      </c>
      <c r="U221" s="222"/>
      <c r="V221" s="222"/>
      <c r="W221" s="222"/>
      <c r="X221" s="222"/>
      <c r="Y221" s="222"/>
      <c r="Z221" s="222"/>
      <c r="AA221" s="222"/>
      <c r="AB221" s="222"/>
      <c r="AC221" s="222"/>
      <c r="AD221" s="222"/>
      <c r="AE221" s="222"/>
      <c r="AR221" s="324" t="s">
        <v>153</v>
      </c>
      <c r="AT221" s="324" t="s">
        <v>148</v>
      </c>
      <c r="AU221" s="324" t="s">
        <v>83</v>
      </c>
      <c r="AY221" s="214" t="s">
        <v>146</v>
      </c>
      <c r="BE221" s="325">
        <f t="shared" si="44"/>
        <v>0</v>
      </c>
      <c r="BF221" s="325">
        <f t="shared" si="45"/>
        <v>0</v>
      </c>
      <c r="BG221" s="325">
        <f t="shared" si="46"/>
        <v>0</v>
      </c>
      <c r="BH221" s="325">
        <f t="shared" si="47"/>
        <v>0</v>
      </c>
      <c r="BI221" s="325">
        <f t="shared" si="48"/>
        <v>0</v>
      </c>
      <c r="BJ221" s="214" t="s">
        <v>81</v>
      </c>
      <c r="BK221" s="325">
        <f t="shared" si="49"/>
        <v>0</v>
      </c>
      <c r="BL221" s="214" t="s">
        <v>153</v>
      </c>
      <c r="BM221" s="324" t="s">
        <v>1601</v>
      </c>
    </row>
    <row r="222" spans="1:65" s="225" customFormat="1" ht="16.5" customHeight="1">
      <c r="A222" s="222"/>
      <c r="B222" s="223"/>
      <c r="C222" s="314" t="s">
        <v>496</v>
      </c>
      <c r="D222" s="314" t="s">
        <v>148</v>
      </c>
      <c r="E222" s="315" t="s">
        <v>1602</v>
      </c>
      <c r="F222" s="316" t="s">
        <v>1603</v>
      </c>
      <c r="G222" s="317" t="s">
        <v>1361</v>
      </c>
      <c r="H222" s="318">
        <v>10</v>
      </c>
      <c r="I222" s="79"/>
      <c r="J222" s="319">
        <f t="shared" si="40"/>
        <v>0</v>
      </c>
      <c r="K222" s="316" t="s">
        <v>1</v>
      </c>
      <c r="L222" s="223"/>
      <c r="M222" s="320" t="s">
        <v>1</v>
      </c>
      <c r="N222" s="321" t="s">
        <v>42</v>
      </c>
      <c r="O222" s="322">
        <v>0</v>
      </c>
      <c r="P222" s="322">
        <f t="shared" si="41"/>
        <v>0</v>
      </c>
      <c r="Q222" s="322">
        <v>0</v>
      </c>
      <c r="R222" s="322">
        <f t="shared" si="42"/>
        <v>0</v>
      </c>
      <c r="S222" s="322">
        <v>0</v>
      </c>
      <c r="T222" s="323">
        <f t="shared" si="43"/>
        <v>0</v>
      </c>
      <c r="U222" s="222"/>
      <c r="V222" s="222"/>
      <c r="W222" s="222"/>
      <c r="X222" s="222"/>
      <c r="Y222" s="222"/>
      <c r="Z222" s="222"/>
      <c r="AA222" s="222"/>
      <c r="AB222" s="222"/>
      <c r="AC222" s="222"/>
      <c r="AD222" s="222"/>
      <c r="AE222" s="222"/>
      <c r="AR222" s="324" t="s">
        <v>153</v>
      </c>
      <c r="AT222" s="324" t="s">
        <v>148</v>
      </c>
      <c r="AU222" s="324" t="s">
        <v>83</v>
      </c>
      <c r="AY222" s="214" t="s">
        <v>146</v>
      </c>
      <c r="BE222" s="325">
        <f t="shared" si="44"/>
        <v>0</v>
      </c>
      <c r="BF222" s="325">
        <f t="shared" si="45"/>
        <v>0</v>
      </c>
      <c r="BG222" s="325">
        <f t="shared" si="46"/>
        <v>0</v>
      </c>
      <c r="BH222" s="325">
        <f t="shared" si="47"/>
        <v>0</v>
      </c>
      <c r="BI222" s="325">
        <f t="shared" si="48"/>
        <v>0</v>
      </c>
      <c r="BJ222" s="214" t="s">
        <v>81</v>
      </c>
      <c r="BK222" s="325">
        <f t="shared" si="49"/>
        <v>0</v>
      </c>
      <c r="BL222" s="214" t="s">
        <v>153</v>
      </c>
      <c r="BM222" s="324" t="s">
        <v>1604</v>
      </c>
    </row>
    <row r="223" spans="1:65" s="225" customFormat="1" ht="16.5" customHeight="1">
      <c r="A223" s="222"/>
      <c r="B223" s="223"/>
      <c r="C223" s="314" t="s">
        <v>500</v>
      </c>
      <c r="D223" s="314" t="s">
        <v>148</v>
      </c>
      <c r="E223" s="315" t="s">
        <v>1605</v>
      </c>
      <c r="F223" s="316" t="s">
        <v>1606</v>
      </c>
      <c r="G223" s="317" t="s">
        <v>1361</v>
      </c>
      <c r="H223" s="318">
        <v>10</v>
      </c>
      <c r="I223" s="79"/>
      <c r="J223" s="319">
        <f t="shared" si="40"/>
        <v>0</v>
      </c>
      <c r="K223" s="316" t="s">
        <v>1</v>
      </c>
      <c r="L223" s="223"/>
      <c r="M223" s="320" t="s">
        <v>1</v>
      </c>
      <c r="N223" s="321" t="s">
        <v>42</v>
      </c>
      <c r="O223" s="322">
        <v>0</v>
      </c>
      <c r="P223" s="322">
        <f t="shared" si="41"/>
        <v>0</v>
      </c>
      <c r="Q223" s="322">
        <v>0</v>
      </c>
      <c r="R223" s="322">
        <f t="shared" si="42"/>
        <v>0</v>
      </c>
      <c r="S223" s="322">
        <v>0</v>
      </c>
      <c r="T223" s="323">
        <f t="shared" si="43"/>
        <v>0</v>
      </c>
      <c r="U223" s="222"/>
      <c r="V223" s="222"/>
      <c r="W223" s="222"/>
      <c r="X223" s="222"/>
      <c r="Y223" s="222"/>
      <c r="Z223" s="222"/>
      <c r="AA223" s="222"/>
      <c r="AB223" s="222"/>
      <c r="AC223" s="222"/>
      <c r="AD223" s="222"/>
      <c r="AE223" s="222"/>
      <c r="AR223" s="324" t="s">
        <v>153</v>
      </c>
      <c r="AT223" s="324" t="s">
        <v>148</v>
      </c>
      <c r="AU223" s="324" t="s">
        <v>83</v>
      </c>
      <c r="AY223" s="214" t="s">
        <v>146</v>
      </c>
      <c r="BE223" s="325">
        <f t="shared" si="44"/>
        <v>0</v>
      </c>
      <c r="BF223" s="325">
        <f t="shared" si="45"/>
        <v>0</v>
      </c>
      <c r="BG223" s="325">
        <f t="shared" si="46"/>
        <v>0</v>
      </c>
      <c r="BH223" s="325">
        <f t="shared" si="47"/>
        <v>0</v>
      </c>
      <c r="BI223" s="325">
        <f t="shared" si="48"/>
        <v>0</v>
      </c>
      <c r="BJ223" s="214" t="s">
        <v>81</v>
      </c>
      <c r="BK223" s="325">
        <f t="shared" si="49"/>
        <v>0</v>
      </c>
      <c r="BL223" s="214" t="s">
        <v>153</v>
      </c>
      <c r="BM223" s="324" t="s">
        <v>1607</v>
      </c>
    </row>
    <row r="224" spans="1:65" s="225" customFormat="1" ht="24.2" customHeight="1">
      <c r="A224" s="222"/>
      <c r="B224" s="223"/>
      <c r="C224" s="314" t="s">
        <v>502</v>
      </c>
      <c r="D224" s="314" t="s">
        <v>148</v>
      </c>
      <c r="E224" s="315" t="s">
        <v>1608</v>
      </c>
      <c r="F224" s="316" t="s">
        <v>1609</v>
      </c>
      <c r="G224" s="317" t="s">
        <v>1361</v>
      </c>
      <c r="H224" s="318">
        <v>10</v>
      </c>
      <c r="I224" s="79"/>
      <c r="J224" s="319">
        <f t="shared" si="40"/>
        <v>0</v>
      </c>
      <c r="K224" s="316" t="s">
        <v>1</v>
      </c>
      <c r="L224" s="223"/>
      <c r="M224" s="320" t="s">
        <v>1</v>
      </c>
      <c r="N224" s="321" t="s">
        <v>42</v>
      </c>
      <c r="O224" s="322">
        <v>0</v>
      </c>
      <c r="P224" s="322">
        <f t="shared" si="41"/>
        <v>0</v>
      </c>
      <c r="Q224" s="322">
        <v>0</v>
      </c>
      <c r="R224" s="322">
        <f t="shared" si="42"/>
        <v>0</v>
      </c>
      <c r="S224" s="322">
        <v>0</v>
      </c>
      <c r="T224" s="323">
        <f t="shared" si="43"/>
        <v>0</v>
      </c>
      <c r="U224" s="222"/>
      <c r="V224" s="222"/>
      <c r="W224" s="222"/>
      <c r="X224" s="222"/>
      <c r="Y224" s="222"/>
      <c r="Z224" s="222"/>
      <c r="AA224" s="222"/>
      <c r="AB224" s="222"/>
      <c r="AC224" s="222"/>
      <c r="AD224" s="222"/>
      <c r="AE224" s="222"/>
      <c r="AR224" s="324" t="s">
        <v>153</v>
      </c>
      <c r="AT224" s="324" t="s">
        <v>148</v>
      </c>
      <c r="AU224" s="324" t="s">
        <v>83</v>
      </c>
      <c r="AY224" s="214" t="s">
        <v>146</v>
      </c>
      <c r="BE224" s="325">
        <f t="shared" si="44"/>
        <v>0</v>
      </c>
      <c r="BF224" s="325">
        <f t="shared" si="45"/>
        <v>0</v>
      </c>
      <c r="BG224" s="325">
        <f t="shared" si="46"/>
        <v>0</v>
      </c>
      <c r="BH224" s="325">
        <f t="shared" si="47"/>
        <v>0</v>
      </c>
      <c r="BI224" s="325">
        <f t="shared" si="48"/>
        <v>0</v>
      </c>
      <c r="BJ224" s="214" t="s">
        <v>81</v>
      </c>
      <c r="BK224" s="325">
        <f t="shared" si="49"/>
        <v>0</v>
      </c>
      <c r="BL224" s="214" t="s">
        <v>153</v>
      </c>
      <c r="BM224" s="324" t="s">
        <v>1610</v>
      </c>
    </row>
    <row r="225" spans="1:65" s="225" customFormat="1" ht="24.2" customHeight="1">
      <c r="A225" s="222"/>
      <c r="B225" s="223"/>
      <c r="C225" s="314" t="s">
        <v>503</v>
      </c>
      <c r="D225" s="314" t="s">
        <v>148</v>
      </c>
      <c r="E225" s="315" t="s">
        <v>1611</v>
      </c>
      <c r="F225" s="316" t="s">
        <v>1612</v>
      </c>
      <c r="G225" s="317" t="s">
        <v>1361</v>
      </c>
      <c r="H225" s="318">
        <v>20</v>
      </c>
      <c r="I225" s="79"/>
      <c r="J225" s="319">
        <f t="shared" si="40"/>
        <v>0</v>
      </c>
      <c r="K225" s="316" t="s">
        <v>1</v>
      </c>
      <c r="L225" s="223"/>
      <c r="M225" s="320" t="s">
        <v>1</v>
      </c>
      <c r="N225" s="321" t="s">
        <v>42</v>
      </c>
      <c r="O225" s="322">
        <v>0</v>
      </c>
      <c r="P225" s="322">
        <f t="shared" si="41"/>
        <v>0</v>
      </c>
      <c r="Q225" s="322">
        <v>0</v>
      </c>
      <c r="R225" s="322">
        <f t="shared" si="42"/>
        <v>0</v>
      </c>
      <c r="S225" s="322">
        <v>0</v>
      </c>
      <c r="T225" s="323">
        <f t="shared" si="43"/>
        <v>0</v>
      </c>
      <c r="U225" s="222"/>
      <c r="V225" s="222"/>
      <c r="W225" s="222"/>
      <c r="X225" s="222"/>
      <c r="Y225" s="222"/>
      <c r="Z225" s="222"/>
      <c r="AA225" s="222"/>
      <c r="AB225" s="222"/>
      <c r="AC225" s="222"/>
      <c r="AD225" s="222"/>
      <c r="AE225" s="222"/>
      <c r="AR225" s="324" t="s">
        <v>153</v>
      </c>
      <c r="AT225" s="324" t="s">
        <v>148</v>
      </c>
      <c r="AU225" s="324" t="s">
        <v>83</v>
      </c>
      <c r="AY225" s="214" t="s">
        <v>146</v>
      </c>
      <c r="BE225" s="325">
        <f t="shared" si="44"/>
        <v>0</v>
      </c>
      <c r="BF225" s="325">
        <f t="shared" si="45"/>
        <v>0</v>
      </c>
      <c r="BG225" s="325">
        <f t="shared" si="46"/>
        <v>0</v>
      </c>
      <c r="BH225" s="325">
        <f t="shared" si="47"/>
        <v>0</v>
      </c>
      <c r="BI225" s="325">
        <f t="shared" si="48"/>
        <v>0</v>
      </c>
      <c r="BJ225" s="214" t="s">
        <v>81</v>
      </c>
      <c r="BK225" s="325">
        <f t="shared" si="49"/>
        <v>0</v>
      </c>
      <c r="BL225" s="214" t="s">
        <v>153</v>
      </c>
      <c r="BM225" s="324" t="s">
        <v>1613</v>
      </c>
    </row>
    <row r="226" spans="1:65" s="225" customFormat="1" ht="16.5" customHeight="1">
      <c r="A226" s="222"/>
      <c r="B226" s="223"/>
      <c r="C226" s="314" t="s">
        <v>513</v>
      </c>
      <c r="D226" s="314" t="s">
        <v>148</v>
      </c>
      <c r="E226" s="315" t="s">
        <v>1614</v>
      </c>
      <c r="F226" s="316" t="s">
        <v>1615</v>
      </c>
      <c r="G226" s="317" t="s">
        <v>1361</v>
      </c>
      <c r="H226" s="318">
        <v>1</v>
      </c>
      <c r="I226" s="79"/>
      <c r="J226" s="319">
        <f t="shared" si="40"/>
        <v>0</v>
      </c>
      <c r="K226" s="316" t="s">
        <v>1</v>
      </c>
      <c r="L226" s="223"/>
      <c r="M226" s="320" t="s">
        <v>1</v>
      </c>
      <c r="N226" s="321" t="s">
        <v>42</v>
      </c>
      <c r="O226" s="322">
        <v>0</v>
      </c>
      <c r="P226" s="322">
        <f t="shared" si="41"/>
        <v>0</v>
      </c>
      <c r="Q226" s="322">
        <v>0</v>
      </c>
      <c r="R226" s="322">
        <f t="shared" si="42"/>
        <v>0</v>
      </c>
      <c r="S226" s="322">
        <v>0</v>
      </c>
      <c r="T226" s="323">
        <f t="shared" si="43"/>
        <v>0</v>
      </c>
      <c r="U226" s="222"/>
      <c r="V226" s="222"/>
      <c r="W226" s="222"/>
      <c r="X226" s="222"/>
      <c r="Y226" s="222"/>
      <c r="Z226" s="222"/>
      <c r="AA226" s="222"/>
      <c r="AB226" s="222"/>
      <c r="AC226" s="222"/>
      <c r="AD226" s="222"/>
      <c r="AE226" s="222"/>
      <c r="AR226" s="324" t="s">
        <v>153</v>
      </c>
      <c r="AT226" s="324" t="s">
        <v>148</v>
      </c>
      <c r="AU226" s="324" t="s">
        <v>83</v>
      </c>
      <c r="AY226" s="214" t="s">
        <v>146</v>
      </c>
      <c r="BE226" s="325">
        <f t="shared" si="44"/>
        <v>0</v>
      </c>
      <c r="BF226" s="325">
        <f t="shared" si="45"/>
        <v>0</v>
      </c>
      <c r="BG226" s="325">
        <f t="shared" si="46"/>
        <v>0</v>
      </c>
      <c r="BH226" s="325">
        <f t="shared" si="47"/>
        <v>0</v>
      </c>
      <c r="BI226" s="325">
        <f t="shared" si="48"/>
        <v>0</v>
      </c>
      <c r="BJ226" s="214" t="s">
        <v>81</v>
      </c>
      <c r="BK226" s="325">
        <f t="shared" si="49"/>
        <v>0</v>
      </c>
      <c r="BL226" s="214" t="s">
        <v>153</v>
      </c>
      <c r="BM226" s="324" t="s">
        <v>1616</v>
      </c>
    </row>
    <row r="227" spans="1:65" s="225" customFormat="1" ht="24.2" customHeight="1">
      <c r="A227" s="222"/>
      <c r="B227" s="223"/>
      <c r="C227" s="314" t="s">
        <v>517</v>
      </c>
      <c r="D227" s="314" t="s">
        <v>148</v>
      </c>
      <c r="E227" s="315" t="s">
        <v>1617</v>
      </c>
      <c r="F227" s="316" t="s">
        <v>1618</v>
      </c>
      <c r="G227" s="317" t="s">
        <v>1548</v>
      </c>
      <c r="H227" s="318">
        <v>12</v>
      </c>
      <c r="I227" s="79"/>
      <c r="J227" s="319">
        <f t="shared" si="40"/>
        <v>0</v>
      </c>
      <c r="K227" s="316" t="s">
        <v>1</v>
      </c>
      <c r="L227" s="223"/>
      <c r="M227" s="320" t="s">
        <v>1</v>
      </c>
      <c r="N227" s="321" t="s">
        <v>42</v>
      </c>
      <c r="O227" s="322">
        <v>0</v>
      </c>
      <c r="P227" s="322">
        <f t="shared" si="41"/>
        <v>0</v>
      </c>
      <c r="Q227" s="322">
        <v>0</v>
      </c>
      <c r="R227" s="322">
        <f t="shared" si="42"/>
        <v>0</v>
      </c>
      <c r="S227" s="322">
        <v>0</v>
      </c>
      <c r="T227" s="323">
        <f t="shared" si="43"/>
        <v>0</v>
      </c>
      <c r="U227" s="222"/>
      <c r="V227" s="222"/>
      <c r="W227" s="222"/>
      <c r="X227" s="222"/>
      <c r="Y227" s="222"/>
      <c r="Z227" s="222"/>
      <c r="AA227" s="222"/>
      <c r="AB227" s="222"/>
      <c r="AC227" s="222"/>
      <c r="AD227" s="222"/>
      <c r="AE227" s="222"/>
      <c r="AR227" s="324" t="s">
        <v>153</v>
      </c>
      <c r="AT227" s="324" t="s">
        <v>148</v>
      </c>
      <c r="AU227" s="324" t="s">
        <v>83</v>
      </c>
      <c r="AY227" s="214" t="s">
        <v>146</v>
      </c>
      <c r="BE227" s="325">
        <f t="shared" si="44"/>
        <v>0</v>
      </c>
      <c r="BF227" s="325">
        <f t="shared" si="45"/>
        <v>0</v>
      </c>
      <c r="BG227" s="325">
        <f t="shared" si="46"/>
        <v>0</v>
      </c>
      <c r="BH227" s="325">
        <f t="shared" si="47"/>
        <v>0</v>
      </c>
      <c r="BI227" s="325">
        <f t="shared" si="48"/>
        <v>0</v>
      </c>
      <c r="BJ227" s="214" t="s">
        <v>81</v>
      </c>
      <c r="BK227" s="325">
        <f t="shared" si="49"/>
        <v>0</v>
      </c>
      <c r="BL227" s="214" t="s">
        <v>153</v>
      </c>
      <c r="BM227" s="324" t="s">
        <v>1619</v>
      </c>
    </row>
    <row r="228" spans="1:65" s="225" customFormat="1" ht="16.5" customHeight="1">
      <c r="A228" s="222"/>
      <c r="B228" s="223"/>
      <c r="C228" s="314" t="s">
        <v>520</v>
      </c>
      <c r="D228" s="314" t="s">
        <v>148</v>
      </c>
      <c r="E228" s="315" t="s">
        <v>1620</v>
      </c>
      <c r="F228" s="316" t="s">
        <v>1621</v>
      </c>
      <c r="G228" s="317" t="s">
        <v>158</v>
      </c>
      <c r="H228" s="318">
        <v>30</v>
      </c>
      <c r="I228" s="79"/>
      <c r="J228" s="319">
        <f t="shared" si="40"/>
        <v>0</v>
      </c>
      <c r="K228" s="316" t="s">
        <v>1</v>
      </c>
      <c r="L228" s="223"/>
      <c r="M228" s="320" t="s">
        <v>1</v>
      </c>
      <c r="N228" s="321" t="s">
        <v>42</v>
      </c>
      <c r="O228" s="322">
        <v>0</v>
      </c>
      <c r="P228" s="322">
        <f t="shared" si="41"/>
        <v>0</v>
      </c>
      <c r="Q228" s="322">
        <v>0</v>
      </c>
      <c r="R228" s="322">
        <f t="shared" si="42"/>
        <v>0</v>
      </c>
      <c r="S228" s="322">
        <v>0</v>
      </c>
      <c r="T228" s="323">
        <f t="shared" si="43"/>
        <v>0</v>
      </c>
      <c r="U228" s="222"/>
      <c r="V228" s="222"/>
      <c r="W228" s="222"/>
      <c r="X228" s="222"/>
      <c r="Y228" s="222"/>
      <c r="Z228" s="222"/>
      <c r="AA228" s="222"/>
      <c r="AB228" s="222"/>
      <c r="AC228" s="222"/>
      <c r="AD228" s="222"/>
      <c r="AE228" s="222"/>
      <c r="AR228" s="324" t="s">
        <v>153</v>
      </c>
      <c r="AT228" s="324" t="s">
        <v>148</v>
      </c>
      <c r="AU228" s="324" t="s">
        <v>83</v>
      </c>
      <c r="AY228" s="214" t="s">
        <v>146</v>
      </c>
      <c r="BE228" s="325">
        <f t="shared" si="44"/>
        <v>0</v>
      </c>
      <c r="BF228" s="325">
        <f t="shared" si="45"/>
        <v>0</v>
      </c>
      <c r="BG228" s="325">
        <f t="shared" si="46"/>
        <v>0</v>
      </c>
      <c r="BH228" s="325">
        <f t="shared" si="47"/>
        <v>0</v>
      </c>
      <c r="BI228" s="325">
        <f t="shared" si="48"/>
        <v>0</v>
      </c>
      <c r="BJ228" s="214" t="s">
        <v>81</v>
      </c>
      <c r="BK228" s="325">
        <f t="shared" si="49"/>
        <v>0</v>
      </c>
      <c r="BL228" s="214" t="s">
        <v>153</v>
      </c>
      <c r="BM228" s="324" t="s">
        <v>1622</v>
      </c>
    </row>
    <row r="229" spans="1:65" s="225" customFormat="1" ht="24.2" customHeight="1">
      <c r="A229" s="222"/>
      <c r="B229" s="223"/>
      <c r="C229" s="314" t="s">
        <v>523</v>
      </c>
      <c r="D229" s="314" t="s">
        <v>148</v>
      </c>
      <c r="E229" s="315" t="s">
        <v>1623</v>
      </c>
      <c r="F229" s="316" t="s">
        <v>1624</v>
      </c>
      <c r="G229" s="317" t="s">
        <v>1361</v>
      </c>
      <c r="H229" s="318">
        <v>160</v>
      </c>
      <c r="I229" s="79"/>
      <c r="J229" s="319">
        <f t="shared" si="40"/>
        <v>0</v>
      </c>
      <c r="K229" s="316" t="s">
        <v>1</v>
      </c>
      <c r="L229" s="223"/>
      <c r="M229" s="320" t="s">
        <v>1</v>
      </c>
      <c r="N229" s="321" t="s">
        <v>42</v>
      </c>
      <c r="O229" s="322">
        <v>0</v>
      </c>
      <c r="P229" s="322">
        <f t="shared" si="41"/>
        <v>0</v>
      </c>
      <c r="Q229" s="322">
        <v>0</v>
      </c>
      <c r="R229" s="322">
        <f t="shared" si="42"/>
        <v>0</v>
      </c>
      <c r="S229" s="322">
        <v>0</v>
      </c>
      <c r="T229" s="323">
        <f t="shared" si="43"/>
        <v>0</v>
      </c>
      <c r="U229" s="222"/>
      <c r="V229" s="222"/>
      <c r="W229" s="222"/>
      <c r="X229" s="222"/>
      <c r="Y229" s="222"/>
      <c r="Z229" s="222"/>
      <c r="AA229" s="222"/>
      <c r="AB229" s="222"/>
      <c r="AC229" s="222"/>
      <c r="AD229" s="222"/>
      <c r="AE229" s="222"/>
      <c r="AR229" s="324" t="s">
        <v>153</v>
      </c>
      <c r="AT229" s="324" t="s">
        <v>148</v>
      </c>
      <c r="AU229" s="324" t="s">
        <v>83</v>
      </c>
      <c r="AY229" s="214" t="s">
        <v>146</v>
      </c>
      <c r="BE229" s="325">
        <f t="shared" si="44"/>
        <v>0</v>
      </c>
      <c r="BF229" s="325">
        <f t="shared" si="45"/>
        <v>0</v>
      </c>
      <c r="BG229" s="325">
        <f t="shared" si="46"/>
        <v>0</v>
      </c>
      <c r="BH229" s="325">
        <f t="shared" si="47"/>
        <v>0</v>
      </c>
      <c r="BI229" s="325">
        <f t="shared" si="48"/>
        <v>0</v>
      </c>
      <c r="BJ229" s="214" t="s">
        <v>81</v>
      </c>
      <c r="BK229" s="325">
        <f t="shared" si="49"/>
        <v>0</v>
      </c>
      <c r="BL229" s="214" t="s">
        <v>153</v>
      </c>
      <c r="BM229" s="324" t="s">
        <v>1625</v>
      </c>
    </row>
    <row r="230" spans="1:65" s="225" customFormat="1" ht="24.2" customHeight="1">
      <c r="A230" s="222"/>
      <c r="B230" s="223"/>
      <c r="C230" s="314" t="s">
        <v>529</v>
      </c>
      <c r="D230" s="314" t="s">
        <v>148</v>
      </c>
      <c r="E230" s="315" t="s">
        <v>1626</v>
      </c>
      <c r="F230" s="316" t="s">
        <v>1627</v>
      </c>
      <c r="G230" s="317" t="s">
        <v>158</v>
      </c>
      <c r="H230" s="318">
        <v>140</v>
      </c>
      <c r="I230" s="79"/>
      <c r="J230" s="319">
        <f t="shared" si="40"/>
        <v>0</v>
      </c>
      <c r="K230" s="316" t="s">
        <v>1</v>
      </c>
      <c r="L230" s="223"/>
      <c r="M230" s="320" t="s">
        <v>1</v>
      </c>
      <c r="N230" s="321" t="s">
        <v>42</v>
      </c>
      <c r="O230" s="322">
        <v>0</v>
      </c>
      <c r="P230" s="322">
        <f t="shared" si="41"/>
        <v>0</v>
      </c>
      <c r="Q230" s="322">
        <v>0</v>
      </c>
      <c r="R230" s="322">
        <f t="shared" si="42"/>
        <v>0</v>
      </c>
      <c r="S230" s="322">
        <v>0</v>
      </c>
      <c r="T230" s="323">
        <f t="shared" si="43"/>
        <v>0</v>
      </c>
      <c r="U230" s="222"/>
      <c r="V230" s="222"/>
      <c r="W230" s="222"/>
      <c r="X230" s="222"/>
      <c r="Y230" s="222"/>
      <c r="Z230" s="222"/>
      <c r="AA230" s="222"/>
      <c r="AB230" s="222"/>
      <c r="AC230" s="222"/>
      <c r="AD230" s="222"/>
      <c r="AE230" s="222"/>
      <c r="AR230" s="324" t="s">
        <v>153</v>
      </c>
      <c r="AT230" s="324" t="s">
        <v>148</v>
      </c>
      <c r="AU230" s="324" t="s">
        <v>83</v>
      </c>
      <c r="AY230" s="214" t="s">
        <v>146</v>
      </c>
      <c r="BE230" s="325">
        <f t="shared" si="44"/>
        <v>0</v>
      </c>
      <c r="BF230" s="325">
        <f t="shared" si="45"/>
        <v>0</v>
      </c>
      <c r="BG230" s="325">
        <f t="shared" si="46"/>
        <v>0</v>
      </c>
      <c r="BH230" s="325">
        <f t="shared" si="47"/>
        <v>0</v>
      </c>
      <c r="BI230" s="325">
        <f t="shared" si="48"/>
        <v>0</v>
      </c>
      <c r="BJ230" s="214" t="s">
        <v>81</v>
      </c>
      <c r="BK230" s="325">
        <f t="shared" si="49"/>
        <v>0</v>
      </c>
      <c r="BL230" s="214" t="s">
        <v>153</v>
      </c>
      <c r="BM230" s="324" t="s">
        <v>1628</v>
      </c>
    </row>
    <row r="231" spans="1:65" s="225" customFormat="1" ht="16.5" customHeight="1">
      <c r="A231" s="222"/>
      <c r="B231" s="223"/>
      <c r="C231" s="314" t="s">
        <v>539</v>
      </c>
      <c r="D231" s="314" t="s">
        <v>148</v>
      </c>
      <c r="E231" s="315" t="s">
        <v>1629</v>
      </c>
      <c r="F231" s="316" t="s">
        <v>1630</v>
      </c>
      <c r="G231" s="317" t="s">
        <v>158</v>
      </c>
      <c r="H231" s="318">
        <v>140</v>
      </c>
      <c r="I231" s="79"/>
      <c r="J231" s="319">
        <f t="shared" si="40"/>
        <v>0</v>
      </c>
      <c r="K231" s="316" t="s">
        <v>1</v>
      </c>
      <c r="L231" s="223"/>
      <c r="M231" s="320" t="s">
        <v>1</v>
      </c>
      <c r="N231" s="321" t="s">
        <v>42</v>
      </c>
      <c r="O231" s="322">
        <v>0</v>
      </c>
      <c r="P231" s="322">
        <f t="shared" si="41"/>
        <v>0</v>
      </c>
      <c r="Q231" s="322">
        <v>0</v>
      </c>
      <c r="R231" s="322">
        <f t="shared" si="42"/>
        <v>0</v>
      </c>
      <c r="S231" s="322">
        <v>0</v>
      </c>
      <c r="T231" s="323">
        <f t="shared" si="43"/>
        <v>0</v>
      </c>
      <c r="U231" s="222"/>
      <c r="V231" s="222"/>
      <c r="W231" s="222"/>
      <c r="X231" s="222"/>
      <c r="Y231" s="222"/>
      <c r="Z231" s="222"/>
      <c r="AA231" s="222"/>
      <c r="AB231" s="222"/>
      <c r="AC231" s="222"/>
      <c r="AD231" s="222"/>
      <c r="AE231" s="222"/>
      <c r="AR231" s="324" t="s">
        <v>153</v>
      </c>
      <c r="AT231" s="324" t="s">
        <v>148</v>
      </c>
      <c r="AU231" s="324" t="s">
        <v>83</v>
      </c>
      <c r="AY231" s="214" t="s">
        <v>146</v>
      </c>
      <c r="BE231" s="325">
        <f t="shared" si="44"/>
        <v>0</v>
      </c>
      <c r="BF231" s="325">
        <f t="shared" si="45"/>
        <v>0</v>
      </c>
      <c r="BG231" s="325">
        <f t="shared" si="46"/>
        <v>0</v>
      </c>
      <c r="BH231" s="325">
        <f t="shared" si="47"/>
        <v>0</v>
      </c>
      <c r="BI231" s="325">
        <f t="shared" si="48"/>
        <v>0</v>
      </c>
      <c r="BJ231" s="214" t="s">
        <v>81</v>
      </c>
      <c r="BK231" s="325">
        <f t="shared" si="49"/>
        <v>0</v>
      </c>
      <c r="BL231" s="214" t="s">
        <v>153</v>
      </c>
      <c r="BM231" s="324" t="s">
        <v>1631</v>
      </c>
    </row>
    <row r="232" spans="1:65" s="225" customFormat="1" ht="16.5" customHeight="1">
      <c r="A232" s="222"/>
      <c r="B232" s="223"/>
      <c r="C232" s="314" t="s">
        <v>542</v>
      </c>
      <c r="D232" s="314" t="s">
        <v>148</v>
      </c>
      <c r="E232" s="315" t="s">
        <v>1632</v>
      </c>
      <c r="F232" s="316" t="s">
        <v>1633</v>
      </c>
      <c r="G232" s="317" t="s">
        <v>1361</v>
      </c>
      <c r="H232" s="318">
        <v>14</v>
      </c>
      <c r="I232" s="79"/>
      <c r="J232" s="319">
        <f t="shared" si="40"/>
        <v>0</v>
      </c>
      <c r="K232" s="316" t="s">
        <v>1</v>
      </c>
      <c r="L232" s="223"/>
      <c r="M232" s="320" t="s">
        <v>1</v>
      </c>
      <c r="N232" s="321" t="s">
        <v>42</v>
      </c>
      <c r="O232" s="322">
        <v>0</v>
      </c>
      <c r="P232" s="322">
        <f t="shared" si="41"/>
        <v>0</v>
      </c>
      <c r="Q232" s="322">
        <v>0</v>
      </c>
      <c r="R232" s="322">
        <f t="shared" si="42"/>
        <v>0</v>
      </c>
      <c r="S232" s="322">
        <v>0</v>
      </c>
      <c r="T232" s="323">
        <f t="shared" si="43"/>
        <v>0</v>
      </c>
      <c r="U232" s="222"/>
      <c r="V232" s="222"/>
      <c r="W232" s="222"/>
      <c r="X232" s="222"/>
      <c r="Y232" s="222"/>
      <c r="Z232" s="222"/>
      <c r="AA232" s="222"/>
      <c r="AB232" s="222"/>
      <c r="AC232" s="222"/>
      <c r="AD232" s="222"/>
      <c r="AE232" s="222"/>
      <c r="AR232" s="324" t="s">
        <v>153</v>
      </c>
      <c r="AT232" s="324" t="s">
        <v>148</v>
      </c>
      <c r="AU232" s="324" t="s">
        <v>83</v>
      </c>
      <c r="AY232" s="214" t="s">
        <v>146</v>
      </c>
      <c r="BE232" s="325">
        <f t="shared" si="44"/>
        <v>0</v>
      </c>
      <c r="BF232" s="325">
        <f t="shared" si="45"/>
        <v>0</v>
      </c>
      <c r="BG232" s="325">
        <f t="shared" si="46"/>
        <v>0</v>
      </c>
      <c r="BH232" s="325">
        <f t="shared" si="47"/>
        <v>0</v>
      </c>
      <c r="BI232" s="325">
        <f t="shared" si="48"/>
        <v>0</v>
      </c>
      <c r="BJ232" s="214" t="s">
        <v>81</v>
      </c>
      <c r="BK232" s="325">
        <f t="shared" si="49"/>
        <v>0</v>
      </c>
      <c r="BL232" s="214" t="s">
        <v>153</v>
      </c>
      <c r="BM232" s="324" t="s">
        <v>1634</v>
      </c>
    </row>
    <row r="233" spans="1:65" s="225" customFormat="1" ht="21.75" customHeight="1">
      <c r="A233" s="222"/>
      <c r="B233" s="223"/>
      <c r="C233" s="314" t="s">
        <v>550</v>
      </c>
      <c r="D233" s="314" t="s">
        <v>148</v>
      </c>
      <c r="E233" s="315" t="s">
        <v>1635</v>
      </c>
      <c r="F233" s="316" t="s">
        <v>1636</v>
      </c>
      <c r="G233" s="317" t="s">
        <v>1361</v>
      </c>
      <c r="H233" s="318">
        <v>14</v>
      </c>
      <c r="I233" s="79"/>
      <c r="J233" s="319">
        <f t="shared" si="40"/>
        <v>0</v>
      </c>
      <c r="K233" s="316" t="s">
        <v>1</v>
      </c>
      <c r="L233" s="223"/>
      <c r="M233" s="320" t="s">
        <v>1</v>
      </c>
      <c r="N233" s="321" t="s">
        <v>42</v>
      </c>
      <c r="O233" s="322">
        <v>0</v>
      </c>
      <c r="P233" s="322">
        <f t="shared" si="41"/>
        <v>0</v>
      </c>
      <c r="Q233" s="322">
        <v>0</v>
      </c>
      <c r="R233" s="322">
        <f t="shared" si="42"/>
        <v>0</v>
      </c>
      <c r="S233" s="322">
        <v>0</v>
      </c>
      <c r="T233" s="323">
        <f t="shared" si="43"/>
        <v>0</v>
      </c>
      <c r="U233" s="222"/>
      <c r="V233" s="222"/>
      <c r="W233" s="222"/>
      <c r="X233" s="222"/>
      <c r="Y233" s="222"/>
      <c r="Z233" s="222"/>
      <c r="AA233" s="222"/>
      <c r="AB233" s="222"/>
      <c r="AC233" s="222"/>
      <c r="AD233" s="222"/>
      <c r="AE233" s="222"/>
      <c r="AR233" s="324" t="s">
        <v>153</v>
      </c>
      <c r="AT233" s="324" t="s">
        <v>148</v>
      </c>
      <c r="AU233" s="324" t="s">
        <v>83</v>
      </c>
      <c r="AY233" s="214" t="s">
        <v>146</v>
      </c>
      <c r="BE233" s="325">
        <f t="shared" si="44"/>
        <v>0</v>
      </c>
      <c r="BF233" s="325">
        <f t="shared" si="45"/>
        <v>0</v>
      </c>
      <c r="BG233" s="325">
        <f t="shared" si="46"/>
        <v>0</v>
      </c>
      <c r="BH233" s="325">
        <f t="shared" si="47"/>
        <v>0</v>
      </c>
      <c r="BI233" s="325">
        <f t="shared" si="48"/>
        <v>0</v>
      </c>
      <c r="BJ233" s="214" t="s">
        <v>81</v>
      </c>
      <c r="BK233" s="325">
        <f t="shared" si="49"/>
        <v>0</v>
      </c>
      <c r="BL233" s="214" t="s">
        <v>153</v>
      </c>
      <c r="BM233" s="324" t="s">
        <v>1637</v>
      </c>
    </row>
    <row r="234" spans="1:65" s="225" customFormat="1" ht="21.75" customHeight="1">
      <c r="A234" s="222"/>
      <c r="B234" s="223"/>
      <c r="C234" s="314" t="s">
        <v>551</v>
      </c>
      <c r="D234" s="314" t="s">
        <v>148</v>
      </c>
      <c r="E234" s="315" t="s">
        <v>1638</v>
      </c>
      <c r="F234" s="316" t="s">
        <v>1639</v>
      </c>
      <c r="G234" s="317" t="s">
        <v>1361</v>
      </c>
      <c r="H234" s="318">
        <v>14</v>
      </c>
      <c r="I234" s="79"/>
      <c r="J234" s="319">
        <f t="shared" si="40"/>
        <v>0</v>
      </c>
      <c r="K234" s="316" t="s">
        <v>1</v>
      </c>
      <c r="L234" s="223"/>
      <c r="M234" s="320" t="s">
        <v>1</v>
      </c>
      <c r="N234" s="321" t="s">
        <v>42</v>
      </c>
      <c r="O234" s="322">
        <v>0</v>
      </c>
      <c r="P234" s="322">
        <f t="shared" si="41"/>
        <v>0</v>
      </c>
      <c r="Q234" s="322">
        <v>0</v>
      </c>
      <c r="R234" s="322">
        <f t="shared" si="42"/>
        <v>0</v>
      </c>
      <c r="S234" s="322">
        <v>0</v>
      </c>
      <c r="T234" s="323">
        <f t="shared" si="43"/>
        <v>0</v>
      </c>
      <c r="U234" s="222"/>
      <c r="V234" s="222"/>
      <c r="W234" s="222"/>
      <c r="X234" s="222"/>
      <c r="Y234" s="222"/>
      <c r="Z234" s="222"/>
      <c r="AA234" s="222"/>
      <c r="AB234" s="222"/>
      <c r="AC234" s="222"/>
      <c r="AD234" s="222"/>
      <c r="AE234" s="222"/>
      <c r="AR234" s="324" t="s">
        <v>153</v>
      </c>
      <c r="AT234" s="324" t="s">
        <v>148</v>
      </c>
      <c r="AU234" s="324" t="s">
        <v>83</v>
      </c>
      <c r="AY234" s="214" t="s">
        <v>146</v>
      </c>
      <c r="BE234" s="325">
        <f t="shared" si="44"/>
        <v>0</v>
      </c>
      <c r="BF234" s="325">
        <f t="shared" si="45"/>
        <v>0</v>
      </c>
      <c r="BG234" s="325">
        <f t="shared" si="46"/>
        <v>0</v>
      </c>
      <c r="BH234" s="325">
        <f t="shared" si="47"/>
        <v>0</v>
      </c>
      <c r="BI234" s="325">
        <f t="shared" si="48"/>
        <v>0</v>
      </c>
      <c r="BJ234" s="214" t="s">
        <v>81</v>
      </c>
      <c r="BK234" s="325">
        <f t="shared" si="49"/>
        <v>0</v>
      </c>
      <c r="BL234" s="214" t="s">
        <v>153</v>
      </c>
      <c r="BM234" s="324" t="s">
        <v>1640</v>
      </c>
    </row>
    <row r="235" spans="1:65" s="225" customFormat="1" ht="24.2" customHeight="1">
      <c r="A235" s="222"/>
      <c r="B235" s="223"/>
      <c r="C235" s="314" t="s">
        <v>552</v>
      </c>
      <c r="D235" s="314" t="s">
        <v>148</v>
      </c>
      <c r="E235" s="315" t="s">
        <v>1641</v>
      </c>
      <c r="F235" s="316" t="s">
        <v>1642</v>
      </c>
      <c r="G235" s="317" t="s">
        <v>1548</v>
      </c>
      <c r="H235" s="318">
        <v>12</v>
      </c>
      <c r="I235" s="79"/>
      <c r="J235" s="319">
        <f t="shared" si="40"/>
        <v>0</v>
      </c>
      <c r="K235" s="316" t="s">
        <v>1</v>
      </c>
      <c r="L235" s="223"/>
      <c r="M235" s="320" t="s">
        <v>1</v>
      </c>
      <c r="N235" s="321" t="s">
        <v>42</v>
      </c>
      <c r="O235" s="322">
        <v>0</v>
      </c>
      <c r="P235" s="322">
        <f t="shared" si="41"/>
        <v>0</v>
      </c>
      <c r="Q235" s="322">
        <v>0</v>
      </c>
      <c r="R235" s="322">
        <f t="shared" si="42"/>
        <v>0</v>
      </c>
      <c r="S235" s="322">
        <v>0</v>
      </c>
      <c r="T235" s="323">
        <f t="shared" si="43"/>
        <v>0</v>
      </c>
      <c r="U235" s="222"/>
      <c r="V235" s="222"/>
      <c r="W235" s="222"/>
      <c r="X235" s="222"/>
      <c r="Y235" s="222"/>
      <c r="Z235" s="222"/>
      <c r="AA235" s="222"/>
      <c r="AB235" s="222"/>
      <c r="AC235" s="222"/>
      <c r="AD235" s="222"/>
      <c r="AE235" s="222"/>
      <c r="AR235" s="324" t="s">
        <v>153</v>
      </c>
      <c r="AT235" s="324" t="s">
        <v>148</v>
      </c>
      <c r="AU235" s="324" t="s">
        <v>83</v>
      </c>
      <c r="AY235" s="214" t="s">
        <v>146</v>
      </c>
      <c r="BE235" s="325">
        <f t="shared" si="44"/>
        <v>0</v>
      </c>
      <c r="BF235" s="325">
        <f t="shared" si="45"/>
        <v>0</v>
      </c>
      <c r="BG235" s="325">
        <f t="shared" si="46"/>
        <v>0</v>
      </c>
      <c r="BH235" s="325">
        <f t="shared" si="47"/>
        <v>0</v>
      </c>
      <c r="BI235" s="325">
        <f t="shared" si="48"/>
        <v>0</v>
      </c>
      <c r="BJ235" s="214" t="s">
        <v>81</v>
      </c>
      <c r="BK235" s="325">
        <f t="shared" si="49"/>
        <v>0</v>
      </c>
      <c r="BL235" s="214" t="s">
        <v>153</v>
      </c>
      <c r="BM235" s="324" t="s">
        <v>1643</v>
      </c>
    </row>
    <row r="236" spans="1:65" s="225" customFormat="1" ht="16.5" customHeight="1">
      <c r="A236" s="222"/>
      <c r="B236" s="223"/>
      <c r="C236" s="314" t="s">
        <v>553</v>
      </c>
      <c r="D236" s="314" t="s">
        <v>148</v>
      </c>
      <c r="E236" s="315" t="s">
        <v>1644</v>
      </c>
      <c r="F236" s="316" t="s">
        <v>1645</v>
      </c>
      <c r="G236" s="317" t="s">
        <v>883</v>
      </c>
      <c r="H236" s="318">
        <v>1</v>
      </c>
      <c r="I236" s="79"/>
      <c r="J236" s="319">
        <f t="shared" si="40"/>
        <v>0</v>
      </c>
      <c r="K236" s="316" t="s">
        <v>1</v>
      </c>
      <c r="L236" s="223"/>
      <c r="M236" s="320" t="s">
        <v>1</v>
      </c>
      <c r="N236" s="321" t="s">
        <v>42</v>
      </c>
      <c r="O236" s="322">
        <v>0</v>
      </c>
      <c r="P236" s="322">
        <f t="shared" si="41"/>
        <v>0</v>
      </c>
      <c r="Q236" s="322">
        <v>0</v>
      </c>
      <c r="R236" s="322">
        <f t="shared" si="42"/>
        <v>0</v>
      </c>
      <c r="S236" s="322">
        <v>0</v>
      </c>
      <c r="T236" s="323">
        <f t="shared" si="43"/>
        <v>0</v>
      </c>
      <c r="U236" s="222"/>
      <c r="V236" s="222"/>
      <c r="W236" s="222"/>
      <c r="X236" s="222"/>
      <c r="Y236" s="222"/>
      <c r="Z236" s="222"/>
      <c r="AA236" s="222"/>
      <c r="AB236" s="222"/>
      <c r="AC236" s="222"/>
      <c r="AD236" s="222"/>
      <c r="AE236" s="222"/>
      <c r="AR236" s="324" t="s">
        <v>153</v>
      </c>
      <c r="AT236" s="324" t="s">
        <v>148</v>
      </c>
      <c r="AU236" s="324" t="s">
        <v>83</v>
      </c>
      <c r="AY236" s="214" t="s">
        <v>146</v>
      </c>
      <c r="BE236" s="325">
        <f t="shared" si="44"/>
        <v>0</v>
      </c>
      <c r="BF236" s="325">
        <f t="shared" si="45"/>
        <v>0</v>
      </c>
      <c r="BG236" s="325">
        <f t="shared" si="46"/>
        <v>0</v>
      </c>
      <c r="BH236" s="325">
        <f t="shared" si="47"/>
        <v>0</v>
      </c>
      <c r="BI236" s="325">
        <f t="shared" si="48"/>
        <v>0</v>
      </c>
      <c r="BJ236" s="214" t="s">
        <v>81</v>
      </c>
      <c r="BK236" s="325">
        <f t="shared" si="49"/>
        <v>0</v>
      </c>
      <c r="BL236" s="214" t="s">
        <v>153</v>
      </c>
      <c r="BM236" s="324" t="s">
        <v>1646</v>
      </c>
    </row>
    <row r="237" spans="1:65" s="225" customFormat="1" ht="16.5" customHeight="1">
      <c r="A237" s="222"/>
      <c r="B237" s="223"/>
      <c r="C237" s="314" t="s">
        <v>554</v>
      </c>
      <c r="D237" s="314" t="s">
        <v>148</v>
      </c>
      <c r="E237" s="315" t="s">
        <v>1647</v>
      </c>
      <c r="F237" s="316" t="s">
        <v>1648</v>
      </c>
      <c r="G237" s="317" t="s">
        <v>883</v>
      </c>
      <c r="H237" s="318">
        <v>1</v>
      </c>
      <c r="I237" s="79"/>
      <c r="J237" s="319">
        <f t="shared" si="40"/>
        <v>0</v>
      </c>
      <c r="K237" s="316" t="s">
        <v>1</v>
      </c>
      <c r="L237" s="223"/>
      <c r="M237" s="320" t="s">
        <v>1</v>
      </c>
      <c r="N237" s="321" t="s">
        <v>42</v>
      </c>
      <c r="O237" s="322">
        <v>0</v>
      </c>
      <c r="P237" s="322">
        <f t="shared" si="41"/>
        <v>0</v>
      </c>
      <c r="Q237" s="322">
        <v>0</v>
      </c>
      <c r="R237" s="322">
        <f t="shared" si="42"/>
        <v>0</v>
      </c>
      <c r="S237" s="322">
        <v>0</v>
      </c>
      <c r="T237" s="323">
        <f t="shared" si="43"/>
        <v>0</v>
      </c>
      <c r="U237" s="222"/>
      <c r="V237" s="222"/>
      <c r="W237" s="222"/>
      <c r="X237" s="222"/>
      <c r="Y237" s="222"/>
      <c r="Z237" s="222"/>
      <c r="AA237" s="222"/>
      <c r="AB237" s="222"/>
      <c r="AC237" s="222"/>
      <c r="AD237" s="222"/>
      <c r="AE237" s="222"/>
      <c r="AR237" s="324" t="s">
        <v>153</v>
      </c>
      <c r="AT237" s="324" t="s">
        <v>148</v>
      </c>
      <c r="AU237" s="324" t="s">
        <v>83</v>
      </c>
      <c r="AY237" s="214" t="s">
        <v>146</v>
      </c>
      <c r="BE237" s="325">
        <f t="shared" si="44"/>
        <v>0</v>
      </c>
      <c r="BF237" s="325">
        <f t="shared" si="45"/>
        <v>0</v>
      </c>
      <c r="BG237" s="325">
        <f t="shared" si="46"/>
        <v>0</v>
      </c>
      <c r="BH237" s="325">
        <f t="shared" si="47"/>
        <v>0</v>
      </c>
      <c r="BI237" s="325">
        <f t="shared" si="48"/>
        <v>0</v>
      </c>
      <c r="BJ237" s="214" t="s">
        <v>81</v>
      </c>
      <c r="BK237" s="325">
        <f t="shared" si="49"/>
        <v>0</v>
      </c>
      <c r="BL237" s="214" t="s">
        <v>153</v>
      </c>
      <c r="BM237" s="324" t="s">
        <v>1649</v>
      </c>
    </row>
    <row r="238" spans="1:65" s="225" customFormat="1" ht="37.9" customHeight="1">
      <c r="A238" s="222"/>
      <c r="B238" s="223"/>
      <c r="C238" s="314">
        <v>92</v>
      </c>
      <c r="D238" s="314" t="s">
        <v>148</v>
      </c>
      <c r="E238" s="315" t="s">
        <v>1652</v>
      </c>
      <c r="F238" s="316" t="s">
        <v>1653</v>
      </c>
      <c r="G238" s="317" t="s">
        <v>883</v>
      </c>
      <c r="H238" s="318">
        <v>1</v>
      </c>
      <c r="I238" s="79"/>
      <c r="J238" s="319">
        <f t="shared" si="40"/>
        <v>0</v>
      </c>
      <c r="K238" s="316" t="s">
        <v>1</v>
      </c>
      <c r="L238" s="223"/>
      <c r="M238" s="320" t="s">
        <v>1</v>
      </c>
      <c r="N238" s="321" t="s">
        <v>42</v>
      </c>
      <c r="O238" s="322">
        <v>0</v>
      </c>
      <c r="P238" s="322">
        <f t="shared" si="41"/>
        <v>0</v>
      </c>
      <c r="Q238" s="322">
        <v>0</v>
      </c>
      <c r="R238" s="322">
        <f t="shared" si="42"/>
        <v>0</v>
      </c>
      <c r="S238" s="322">
        <v>0</v>
      </c>
      <c r="T238" s="323">
        <f t="shared" si="43"/>
        <v>0</v>
      </c>
      <c r="U238" s="222"/>
      <c r="V238" s="222"/>
      <c r="W238" s="222"/>
      <c r="X238" s="222"/>
      <c r="Y238" s="222"/>
      <c r="Z238" s="222"/>
      <c r="AA238" s="222"/>
      <c r="AB238" s="222"/>
      <c r="AC238" s="222"/>
      <c r="AD238" s="222"/>
      <c r="AE238" s="222"/>
      <c r="AR238" s="324" t="s">
        <v>153</v>
      </c>
      <c r="AT238" s="324" t="s">
        <v>148</v>
      </c>
      <c r="AU238" s="324" t="s">
        <v>83</v>
      </c>
      <c r="AY238" s="214" t="s">
        <v>146</v>
      </c>
      <c r="BE238" s="325">
        <f t="shared" si="44"/>
        <v>0</v>
      </c>
      <c r="BF238" s="325">
        <f t="shared" si="45"/>
        <v>0</v>
      </c>
      <c r="BG238" s="325">
        <f t="shared" si="46"/>
        <v>0</v>
      </c>
      <c r="BH238" s="325">
        <f t="shared" si="47"/>
        <v>0</v>
      </c>
      <c r="BI238" s="325">
        <f t="shared" si="48"/>
        <v>0</v>
      </c>
      <c r="BJ238" s="214" t="s">
        <v>81</v>
      </c>
      <c r="BK238" s="325">
        <f t="shared" si="49"/>
        <v>0</v>
      </c>
      <c r="BL238" s="214" t="s">
        <v>153</v>
      </c>
      <c r="BM238" s="324" t="s">
        <v>1654</v>
      </c>
    </row>
    <row r="239" spans="2:63" s="297" customFormat="1" ht="25.9" customHeight="1">
      <c r="B239" s="298"/>
      <c r="D239" s="299" t="s">
        <v>75</v>
      </c>
      <c r="E239" s="300" t="s">
        <v>3779</v>
      </c>
      <c r="F239" s="300" t="s">
        <v>3788</v>
      </c>
      <c r="I239" s="501"/>
      <c r="J239" s="301">
        <f>SUM(J240:J248)</f>
        <v>0</v>
      </c>
      <c r="L239" s="298"/>
      <c r="M239" s="303"/>
      <c r="N239" s="304"/>
      <c r="O239" s="304"/>
      <c r="P239" s="305">
        <f>SUM(P240:P248)</f>
        <v>0</v>
      </c>
      <c r="Q239" s="304"/>
      <c r="R239" s="305">
        <f>SUM(R240:R248)</f>
        <v>0</v>
      </c>
      <c r="S239" s="304"/>
      <c r="T239" s="313">
        <f>SUM(T240:T248)</f>
        <v>0</v>
      </c>
      <c r="AR239" s="299" t="s">
        <v>81</v>
      </c>
      <c r="AT239" s="308" t="s">
        <v>75</v>
      </c>
      <c r="AU239" s="308" t="s">
        <v>76</v>
      </c>
      <c r="AY239" s="299" t="s">
        <v>146</v>
      </c>
      <c r="BK239" s="309">
        <f>SUM(BK240:BK248)</f>
        <v>0</v>
      </c>
    </row>
    <row r="240" spans="1:65" s="225" customFormat="1" ht="24.2" customHeight="1">
      <c r="A240" s="222"/>
      <c r="B240" s="223"/>
      <c r="C240" s="314" t="s">
        <v>565</v>
      </c>
      <c r="D240" s="314" t="s">
        <v>148</v>
      </c>
      <c r="E240" s="315" t="s">
        <v>1655</v>
      </c>
      <c r="F240" s="316" t="s">
        <v>1656</v>
      </c>
      <c r="G240" s="317" t="s">
        <v>1657</v>
      </c>
      <c r="H240" s="318">
        <v>0.95</v>
      </c>
      <c r="I240" s="79"/>
      <c r="J240" s="319">
        <f aca="true" t="shared" si="50" ref="J240:J248">ROUND(I240*H240,2)</f>
        <v>0</v>
      </c>
      <c r="K240" s="316" t="s">
        <v>1</v>
      </c>
      <c r="L240" s="223"/>
      <c r="M240" s="320" t="s">
        <v>1</v>
      </c>
      <c r="N240" s="321" t="s">
        <v>42</v>
      </c>
      <c r="O240" s="322">
        <v>0</v>
      </c>
      <c r="P240" s="322">
        <f aca="true" t="shared" si="51" ref="P240:P248">O240*H240</f>
        <v>0</v>
      </c>
      <c r="Q240" s="322">
        <v>0</v>
      </c>
      <c r="R240" s="322">
        <f aca="true" t="shared" si="52" ref="R240:R248">Q240*H240</f>
        <v>0</v>
      </c>
      <c r="S240" s="322">
        <v>0</v>
      </c>
      <c r="T240" s="323">
        <f aca="true" t="shared" si="53" ref="T240:T248">S240*H240</f>
        <v>0</v>
      </c>
      <c r="U240" s="222"/>
      <c r="V240" s="222"/>
      <c r="W240" s="222"/>
      <c r="X240" s="222"/>
      <c r="Y240" s="222"/>
      <c r="Z240" s="222"/>
      <c r="AA240" s="222"/>
      <c r="AB240" s="222"/>
      <c r="AC240" s="222"/>
      <c r="AD240" s="222"/>
      <c r="AE240" s="222"/>
      <c r="AR240" s="324" t="s">
        <v>153</v>
      </c>
      <c r="AT240" s="324" t="s">
        <v>148</v>
      </c>
      <c r="AU240" s="324" t="s">
        <v>81</v>
      </c>
      <c r="AY240" s="214" t="s">
        <v>146</v>
      </c>
      <c r="BE240" s="325">
        <f aca="true" t="shared" si="54" ref="BE240:BE248">IF(N240="základní",J240,0)</f>
        <v>0</v>
      </c>
      <c r="BF240" s="325">
        <f aca="true" t="shared" si="55" ref="BF240:BF248">IF(N240="snížená",J240,0)</f>
        <v>0</v>
      </c>
      <c r="BG240" s="325">
        <f aca="true" t="shared" si="56" ref="BG240:BG248">IF(N240="zákl. přenesená",J240,0)</f>
        <v>0</v>
      </c>
      <c r="BH240" s="325">
        <f aca="true" t="shared" si="57" ref="BH240:BH248">IF(N240="sníž. přenesená",J240,0)</f>
        <v>0</v>
      </c>
      <c r="BI240" s="325">
        <f aca="true" t="shared" si="58" ref="BI240:BI248">IF(N240="nulová",J240,0)</f>
        <v>0</v>
      </c>
      <c r="BJ240" s="214" t="s">
        <v>81</v>
      </c>
      <c r="BK240" s="325">
        <f aca="true" t="shared" si="59" ref="BK240:BK248">ROUND(I240*H240,2)</f>
        <v>0</v>
      </c>
      <c r="BL240" s="214" t="s">
        <v>153</v>
      </c>
      <c r="BM240" s="324" t="s">
        <v>3780</v>
      </c>
    </row>
    <row r="241" spans="1:65" s="225" customFormat="1" ht="24.2" customHeight="1">
      <c r="A241" s="222"/>
      <c r="B241" s="223"/>
      <c r="C241" s="314" t="s">
        <v>567</v>
      </c>
      <c r="D241" s="314" t="s">
        <v>148</v>
      </c>
      <c r="E241" s="315" t="s">
        <v>1658</v>
      </c>
      <c r="F241" s="316" t="s">
        <v>3808</v>
      </c>
      <c r="G241" s="317" t="s">
        <v>158</v>
      </c>
      <c r="H241" s="318">
        <v>95</v>
      </c>
      <c r="I241" s="79"/>
      <c r="J241" s="319">
        <f t="shared" si="50"/>
        <v>0</v>
      </c>
      <c r="K241" s="316" t="s">
        <v>1</v>
      </c>
      <c r="L241" s="223"/>
      <c r="M241" s="320" t="s">
        <v>1</v>
      </c>
      <c r="N241" s="321" t="s">
        <v>42</v>
      </c>
      <c r="O241" s="322">
        <v>0</v>
      </c>
      <c r="P241" s="322">
        <f t="shared" si="51"/>
        <v>0</v>
      </c>
      <c r="Q241" s="322">
        <v>0</v>
      </c>
      <c r="R241" s="322">
        <f t="shared" si="52"/>
        <v>0</v>
      </c>
      <c r="S241" s="322">
        <v>0</v>
      </c>
      <c r="T241" s="323">
        <f t="shared" si="53"/>
        <v>0</v>
      </c>
      <c r="U241" s="222"/>
      <c r="V241" s="222"/>
      <c r="W241" s="222"/>
      <c r="X241" s="222"/>
      <c r="Y241" s="222"/>
      <c r="Z241" s="222"/>
      <c r="AA241" s="222"/>
      <c r="AB241" s="222"/>
      <c r="AC241" s="222"/>
      <c r="AD241" s="222"/>
      <c r="AE241" s="222"/>
      <c r="AR241" s="324" t="s">
        <v>153</v>
      </c>
      <c r="AT241" s="324" t="s">
        <v>148</v>
      </c>
      <c r="AU241" s="324" t="s">
        <v>81</v>
      </c>
      <c r="AY241" s="214" t="s">
        <v>146</v>
      </c>
      <c r="BE241" s="325">
        <f t="shared" si="54"/>
        <v>0</v>
      </c>
      <c r="BF241" s="325">
        <f t="shared" si="55"/>
        <v>0</v>
      </c>
      <c r="BG241" s="325">
        <f t="shared" si="56"/>
        <v>0</v>
      </c>
      <c r="BH241" s="325">
        <f t="shared" si="57"/>
        <v>0</v>
      </c>
      <c r="BI241" s="325">
        <f t="shared" si="58"/>
        <v>0</v>
      </c>
      <c r="BJ241" s="214" t="s">
        <v>81</v>
      </c>
      <c r="BK241" s="325">
        <f t="shared" si="59"/>
        <v>0</v>
      </c>
      <c r="BL241" s="214" t="s">
        <v>153</v>
      </c>
      <c r="BM241" s="324" t="s">
        <v>3781</v>
      </c>
    </row>
    <row r="242" spans="1:65" s="225" customFormat="1" ht="24.2" customHeight="1">
      <c r="A242" s="222"/>
      <c r="B242" s="223"/>
      <c r="C242" s="314" t="s">
        <v>570</v>
      </c>
      <c r="D242" s="314" t="s">
        <v>148</v>
      </c>
      <c r="E242" s="315" t="s">
        <v>1660</v>
      </c>
      <c r="F242" s="316" t="s">
        <v>3810</v>
      </c>
      <c r="G242" s="317" t="s">
        <v>158</v>
      </c>
      <c r="H242" s="318">
        <v>95</v>
      </c>
      <c r="I242" s="79"/>
      <c r="J242" s="319">
        <f t="shared" si="50"/>
        <v>0</v>
      </c>
      <c r="K242" s="316" t="s">
        <v>1</v>
      </c>
      <c r="L242" s="223"/>
      <c r="M242" s="320" t="s">
        <v>1</v>
      </c>
      <c r="N242" s="321" t="s">
        <v>42</v>
      </c>
      <c r="O242" s="322">
        <v>0</v>
      </c>
      <c r="P242" s="322">
        <f t="shared" si="51"/>
        <v>0</v>
      </c>
      <c r="Q242" s="322">
        <v>0</v>
      </c>
      <c r="R242" s="322">
        <f t="shared" si="52"/>
        <v>0</v>
      </c>
      <c r="S242" s="322">
        <v>0</v>
      </c>
      <c r="T242" s="323">
        <f t="shared" si="53"/>
        <v>0</v>
      </c>
      <c r="U242" s="222"/>
      <c r="V242" s="222"/>
      <c r="W242" s="222"/>
      <c r="X242" s="222"/>
      <c r="Y242" s="222"/>
      <c r="Z242" s="222"/>
      <c r="AA242" s="222"/>
      <c r="AB242" s="222"/>
      <c r="AC242" s="222"/>
      <c r="AD242" s="222"/>
      <c r="AE242" s="222"/>
      <c r="AR242" s="324" t="s">
        <v>153</v>
      </c>
      <c r="AT242" s="324" t="s">
        <v>148</v>
      </c>
      <c r="AU242" s="324" t="s">
        <v>81</v>
      </c>
      <c r="AY242" s="214" t="s">
        <v>146</v>
      </c>
      <c r="BE242" s="325">
        <f t="shared" si="54"/>
        <v>0</v>
      </c>
      <c r="BF242" s="325">
        <f t="shared" si="55"/>
        <v>0</v>
      </c>
      <c r="BG242" s="325">
        <f t="shared" si="56"/>
        <v>0</v>
      </c>
      <c r="BH242" s="325">
        <f t="shared" si="57"/>
        <v>0</v>
      </c>
      <c r="BI242" s="325">
        <f t="shared" si="58"/>
        <v>0</v>
      </c>
      <c r="BJ242" s="214" t="s">
        <v>81</v>
      </c>
      <c r="BK242" s="325">
        <f t="shared" si="59"/>
        <v>0</v>
      </c>
      <c r="BL242" s="214" t="s">
        <v>153</v>
      </c>
      <c r="BM242" s="324" t="s">
        <v>3782</v>
      </c>
    </row>
    <row r="243" spans="1:65" s="225" customFormat="1" ht="16.5" customHeight="1">
      <c r="A243" s="222"/>
      <c r="B243" s="223"/>
      <c r="C243" s="314" t="s">
        <v>572</v>
      </c>
      <c r="D243" s="314" t="s">
        <v>148</v>
      </c>
      <c r="E243" s="315" t="s">
        <v>1661</v>
      </c>
      <c r="F243" s="316" t="s">
        <v>1662</v>
      </c>
      <c r="G243" s="317" t="s">
        <v>158</v>
      </c>
      <c r="H243" s="318">
        <v>190</v>
      </c>
      <c r="I243" s="79"/>
      <c r="J243" s="319">
        <f t="shared" si="50"/>
        <v>0</v>
      </c>
      <c r="K243" s="316" t="s">
        <v>1</v>
      </c>
      <c r="L243" s="223"/>
      <c r="M243" s="320" t="s">
        <v>1</v>
      </c>
      <c r="N243" s="321" t="s">
        <v>42</v>
      </c>
      <c r="O243" s="322">
        <v>0</v>
      </c>
      <c r="P243" s="322">
        <f t="shared" si="51"/>
        <v>0</v>
      </c>
      <c r="Q243" s="322">
        <v>0</v>
      </c>
      <c r="R243" s="322">
        <f t="shared" si="52"/>
        <v>0</v>
      </c>
      <c r="S243" s="322">
        <v>0</v>
      </c>
      <c r="T243" s="323">
        <f t="shared" si="53"/>
        <v>0</v>
      </c>
      <c r="U243" s="222"/>
      <c r="V243" s="222"/>
      <c r="W243" s="222"/>
      <c r="X243" s="222"/>
      <c r="Y243" s="222"/>
      <c r="Z243" s="222"/>
      <c r="AA243" s="222"/>
      <c r="AB243" s="222"/>
      <c r="AC243" s="222"/>
      <c r="AD243" s="222"/>
      <c r="AE243" s="222"/>
      <c r="AR243" s="324" t="s">
        <v>153</v>
      </c>
      <c r="AT243" s="324" t="s">
        <v>148</v>
      </c>
      <c r="AU243" s="324" t="s">
        <v>81</v>
      </c>
      <c r="AY243" s="214" t="s">
        <v>146</v>
      </c>
      <c r="BE243" s="325">
        <f t="shared" si="54"/>
        <v>0</v>
      </c>
      <c r="BF243" s="325">
        <f t="shared" si="55"/>
        <v>0</v>
      </c>
      <c r="BG243" s="325">
        <f t="shared" si="56"/>
        <v>0</v>
      </c>
      <c r="BH243" s="325">
        <f t="shared" si="57"/>
        <v>0</v>
      </c>
      <c r="BI243" s="325">
        <f t="shared" si="58"/>
        <v>0</v>
      </c>
      <c r="BJ243" s="214" t="s">
        <v>81</v>
      </c>
      <c r="BK243" s="325">
        <f t="shared" si="59"/>
        <v>0</v>
      </c>
      <c r="BL243" s="214" t="s">
        <v>153</v>
      </c>
      <c r="BM243" s="324" t="s">
        <v>3783</v>
      </c>
    </row>
    <row r="244" spans="1:65" s="225" customFormat="1" ht="24.2" customHeight="1">
      <c r="A244" s="222"/>
      <c r="B244" s="223"/>
      <c r="C244" s="314" t="s">
        <v>576</v>
      </c>
      <c r="D244" s="314" t="s">
        <v>148</v>
      </c>
      <c r="E244" s="315" t="s">
        <v>1663</v>
      </c>
      <c r="F244" s="316" t="s">
        <v>3809</v>
      </c>
      <c r="G244" s="317" t="s">
        <v>158</v>
      </c>
      <c r="H244" s="318">
        <v>95</v>
      </c>
      <c r="I244" s="79"/>
      <c r="J244" s="319">
        <f t="shared" si="50"/>
        <v>0</v>
      </c>
      <c r="K244" s="316" t="s">
        <v>1</v>
      </c>
      <c r="L244" s="223"/>
      <c r="M244" s="320" t="s">
        <v>1</v>
      </c>
      <c r="N244" s="321" t="s">
        <v>42</v>
      </c>
      <c r="O244" s="322">
        <v>0</v>
      </c>
      <c r="P244" s="322">
        <f t="shared" si="51"/>
        <v>0</v>
      </c>
      <c r="Q244" s="322">
        <v>0</v>
      </c>
      <c r="R244" s="322">
        <f t="shared" si="52"/>
        <v>0</v>
      </c>
      <c r="S244" s="322">
        <v>0</v>
      </c>
      <c r="T244" s="323">
        <f t="shared" si="53"/>
        <v>0</v>
      </c>
      <c r="U244" s="222"/>
      <c r="V244" s="222"/>
      <c r="W244" s="222"/>
      <c r="X244" s="222"/>
      <c r="Y244" s="222"/>
      <c r="Z244" s="222"/>
      <c r="AA244" s="222"/>
      <c r="AB244" s="222"/>
      <c r="AC244" s="222"/>
      <c r="AD244" s="222"/>
      <c r="AE244" s="222"/>
      <c r="AR244" s="324" t="s">
        <v>153</v>
      </c>
      <c r="AT244" s="324" t="s">
        <v>148</v>
      </c>
      <c r="AU244" s="324" t="s">
        <v>81</v>
      </c>
      <c r="AY244" s="214" t="s">
        <v>146</v>
      </c>
      <c r="BE244" s="325">
        <f t="shared" si="54"/>
        <v>0</v>
      </c>
      <c r="BF244" s="325">
        <f t="shared" si="55"/>
        <v>0</v>
      </c>
      <c r="BG244" s="325">
        <f t="shared" si="56"/>
        <v>0</v>
      </c>
      <c r="BH244" s="325">
        <f t="shared" si="57"/>
        <v>0</v>
      </c>
      <c r="BI244" s="325">
        <f t="shared" si="58"/>
        <v>0</v>
      </c>
      <c r="BJ244" s="214" t="s">
        <v>81</v>
      </c>
      <c r="BK244" s="325">
        <f t="shared" si="59"/>
        <v>0</v>
      </c>
      <c r="BL244" s="214" t="s">
        <v>153</v>
      </c>
      <c r="BM244" s="324" t="s">
        <v>3784</v>
      </c>
    </row>
    <row r="245" spans="1:65" s="225" customFormat="1" ht="24.2" customHeight="1">
      <c r="A245" s="222"/>
      <c r="B245" s="223"/>
      <c r="C245" s="314" t="s">
        <v>581</v>
      </c>
      <c r="D245" s="314" t="s">
        <v>148</v>
      </c>
      <c r="E245" s="315" t="s">
        <v>1665</v>
      </c>
      <c r="F245" s="316" t="s">
        <v>3789</v>
      </c>
      <c r="G245" s="317" t="s">
        <v>158</v>
      </c>
      <c r="H245" s="318">
        <v>95</v>
      </c>
      <c r="I245" s="79"/>
      <c r="J245" s="319">
        <f t="shared" si="50"/>
        <v>0</v>
      </c>
      <c r="K245" s="316" t="s">
        <v>1</v>
      </c>
      <c r="L245" s="223"/>
      <c r="M245" s="320" t="s">
        <v>1</v>
      </c>
      <c r="N245" s="321" t="s">
        <v>42</v>
      </c>
      <c r="O245" s="322">
        <v>0</v>
      </c>
      <c r="P245" s="322">
        <f t="shared" si="51"/>
        <v>0</v>
      </c>
      <c r="Q245" s="322">
        <v>0</v>
      </c>
      <c r="R245" s="322">
        <f t="shared" si="52"/>
        <v>0</v>
      </c>
      <c r="S245" s="322">
        <v>0</v>
      </c>
      <c r="T245" s="323">
        <f t="shared" si="53"/>
        <v>0</v>
      </c>
      <c r="U245" s="222"/>
      <c r="V245" s="222"/>
      <c r="W245" s="222"/>
      <c r="X245" s="222"/>
      <c r="Y245" s="222"/>
      <c r="Z245" s="222"/>
      <c r="AA245" s="222"/>
      <c r="AB245" s="222"/>
      <c r="AC245" s="222"/>
      <c r="AD245" s="222"/>
      <c r="AE245" s="222"/>
      <c r="AR245" s="324" t="s">
        <v>153</v>
      </c>
      <c r="AT245" s="324" t="s">
        <v>148</v>
      </c>
      <c r="AU245" s="324" t="s">
        <v>81</v>
      </c>
      <c r="AY245" s="214" t="s">
        <v>146</v>
      </c>
      <c r="BE245" s="325">
        <f t="shared" si="54"/>
        <v>0</v>
      </c>
      <c r="BF245" s="325">
        <f t="shared" si="55"/>
        <v>0</v>
      </c>
      <c r="BG245" s="325">
        <f t="shared" si="56"/>
        <v>0</v>
      </c>
      <c r="BH245" s="325">
        <f t="shared" si="57"/>
        <v>0</v>
      </c>
      <c r="BI245" s="325">
        <f t="shared" si="58"/>
        <v>0</v>
      </c>
      <c r="BJ245" s="214" t="s">
        <v>81</v>
      </c>
      <c r="BK245" s="325">
        <f t="shared" si="59"/>
        <v>0</v>
      </c>
      <c r="BL245" s="214" t="s">
        <v>153</v>
      </c>
      <c r="BM245" s="324" t="s">
        <v>3785</v>
      </c>
    </row>
    <row r="246" spans="1:65" s="225" customFormat="1" ht="24.2" customHeight="1">
      <c r="A246" s="766"/>
      <c r="B246" s="223"/>
      <c r="C246" s="314">
        <v>100</v>
      </c>
      <c r="D246" s="314" t="s">
        <v>148</v>
      </c>
      <c r="E246" s="315"/>
      <c r="F246" s="316" t="s">
        <v>3862</v>
      </c>
      <c r="G246" s="317" t="s">
        <v>158</v>
      </c>
      <c r="H246" s="318">
        <v>240</v>
      </c>
      <c r="I246" s="79"/>
      <c r="J246" s="319">
        <f aca="true" t="shared" si="60" ref="J246">ROUND(I246*H246,2)</f>
        <v>0</v>
      </c>
      <c r="K246" s="316" t="s">
        <v>1</v>
      </c>
      <c r="L246" s="223"/>
      <c r="M246" s="320" t="s">
        <v>1</v>
      </c>
      <c r="N246" s="321" t="s">
        <v>42</v>
      </c>
      <c r="O246" s="322">
        <v>0</v>
      </c>
      <c r="P246" s="322">
        <f aca="true" t="shared" si="61" ref="P246">O246*H246</f>
        <v>0</v>
      </c>
      <c r="Q246" s="322">
        <v>0</v>
      </c>
      <c r="R246" s="322">
        <f aca="true" t="shared" si="62" ref="R246">Q246*H246</f>
        <v>0</v>
      </c>
      <c r="S246" s="322">
        <v>0</v>
      </c>
      <c r="T246" s="323">
        <f aca="true" t="shared" si="63" ref="T246">S246*H246</f>
        <v>0</v>
      </c>
      <c r="U246" s="766"/>
      <c r="V246" s="766"/>
      <c r="W246" s="766"/>
      <c r="X246" s="766"/>
      <c r="Y246" s="766"/>
      <c r="Z246" s="766"/>
      <c r="AA246" s="766"/>
      <c r="AB246" s="766"/>
      <c r="AC246" s="766"/>
      <c r="AD246" s="766"/>
      <c r="AE246" s="766"/>
      <c r="AR246" s="324" t="s">
        <v>153</v>
      </c>
      <c r="AT246" s="324" t="s">
        <v>148</v>
      </c>
      <c r="AU246" s="324" t="s">
        <v>81</v>
      </c>
      <c r="AY246" s="214" t="s">
        <v>146</v>
      </c>
      <c r="BE246" s="325">
        <f aca="true" t="shared" si="64" ref="BE246">IF(N246="základní",J246,0)</f>
        <v>0</v>
      </c>
      <c r="BF246" s="325">
        <f aca="true" t="shared" si="65" ref="BF246">IF(N246="snížená",J246,0)</f>
        <v>0</v>
      </c>
      <c r="BG246" s="325">
        <f aca="true" t="shared" si="66" ref="BG246">IF(N246="zákl. přenesená",J246,0)</f>
        <v>0</v>
      </c>
      <c r="BH246" s="325">
        <f aca="true" t="shared" si="67" ref="BH246">IF(N246="sníž. přenesená",J246,0)</f>
        <v>0</v>
      </c>
      <c r="BI246" s="325">
        <f aca="true" t="shared" si="68" ref="BI246">IF(N246="nulová",J246,0)</f>
        <v>0</v>
      </c>
      <c r="BJ246" s="214" t="s">
        <v>81</v>
      </c>
      <c r="BK246" s="325">
        <f aca="true" t="shared" si="69" ref="BK246">ROUND(I246*H246,2)</f>
        <v>0</v>
      </c>
      <c r="BL246" s="214" t="s">
        <v>153</v>
      </c>
      <c r="BM246" s="324" t="s">
        <v>3785</v>
      </c>
    </row>
    <row r="247" spans="1:65" s="225" customFormat="1" ht="44.25" customHeight="1">
      <c r="A247" s="766"/>
      <c r="B247" s="223"/>
      <c r="C247" s="314">
        <v>101</v>
      </c>
      <c r="D247" s="314" t="s">
        <v>148</v>
      </c>
      <c r="E247" s="315"/>
      <c r="F247" s="316" t="s">
        <v>3863</v>
      </c>
      <c r="G247" s="317" t="s">
        <v>1361</v>
      </c>
      <c r="H247" s="318">
        <v>2</v>
      </c>
      <c r="I247" s="79"/>
      <c r="J247" s="319">
        <f aca="true" t="shared" si="70" ref="J247">ROUND(I247*H247,2)</f>
        <v>0</v>
      </c>
      <c r="K247" s="316" t="s">
        <v>1</v>
      </c>
      <c r="L247" s="223"/>
      <c r="M247" s="320" t="s">
        <v>1</v>
      </c>
      <c r="N247" s="321" t="s">
        <v>42</v>
      </c>
      <c r="O247" s="322">
        <v>0</v>
      </c>
      <c r="P247" s="322">
        <f aca="true" t="shared" si="71" ref="P247">O247*H247</f>
        <v>0</v>
      </c>
      <c r="Q247" s="322">
        <v>0</v>
      </c>
      <c r="R247" s="322">
        <f aca="true" t="shared" si="72" ref="R247">Q247*H247</f>
        <v>0</v>
      </c>
      <c r="S247" s="322">
        <v>0</v>
      </c>
      <c r="T247" s="323">
        <f aca="true" t="shared" si="73" ref="T247">S247*H247</f>
        <v>0</v>
      </c>
      <c r="U247" s="766"/>
      <c r="V247" s="766"/>
      <c r="W247" s="766"/>
      <c r="X247" s="766"/>
      <c r="Y247" s="766"/>
      <c r="Z247" s="766"/>
      <c r="AA247" s="766"/>
      <c r="AB247" s="766"/>
      <c r="AC247" s="766"/>
      <c r="AD247" s="766"/>
      <c r="AE247" s="766"/>
      <c r="AR247" s="324" t="s">
        <v>153</v>
      </c>
      <c r="AT247" s="324" t="s">
        <v>148</v>
      </c>
      <c r="AU247" s="324" t="s">
        <v>81</v>
      </c>
      <c r="AY247" s="214" t="s">
        <v>146</v>
      </c>
      <c r="BE247" s="325">
        <f aca="true" t="shared" si="74" ref="BE247">IF(N247="základní",J247,0)</f>
        <v>0</v>
      </c>
      <c r="BF247" s="325">
        <f aca="true" t="shared" si="75" ref="BF247">IF(N247="snížená",J247,0)</f>
        <v>0</v>
      </c>
      <c r="BG247" s="325">
        <f aca="true" t="shared" si="76" ref="BG247">IF(N247="zákl. přenesená",J247,0)</f>
        <v>0</v>
      </c>
      <c r="BH247" s="325">
        <f aca="true" t="shared" si="77" ref="BH247">IF(N247="sníž. přenesená",J247,0)</f>
        <v>0</v>
      </c>
      <c r="BI247" s="325">
        <f aca="true" t="shared" si="78" ref="BI247">IF(N247="nulová",J247,0)</f>
        <v>0</v>
      </c>
      <c r="BJ247" s="214" t="s">
        <v>81</v>
      </c>
      <c r="BK247" s="325">
        <f aca="true" t="shared" si="79" ref="BK247">ROUND(I247*H247,2)</f>
        <v>0</v>
      </c>
      <c r="BL247" s="214" t="s">
        <v>153</v>
      </c>
      <c r="BM247" s="324" t="s">
        <v>3785</v>
      </c>
    </row>
    <row r="248" spans="1:65" s="225" customFormat="1" ht="24.2" customHeight="1">
      <c r="A248" s="222"/>
      <c r="B248" s="223"/>
      <c r="C248" s="314">
        <v>102</v>
      </c>
      <c r="D248" s="314" t="s">
        <v>148</v>
      </c>
      <c r="E248" s="315" t="s">
        <v>1666</v>
      </c>
      <c r="F248" s="316" t="s">
        <v>3852</v>
      </c>
      <c r="G248" s="317" t="s">
        <v>151</v>
      </c>
      <c r="H248" s="318">
        <v>95</v>
      </c>
      <c r="I248" s="79"/>
      <c r="J248" s="319">
        <f t="shared" si="50"/>
        <v>0</v>
      </c>
      <c r="K248" s="316" t="s">
        <v>1</v>
      </c>
      <c r="L248" s="223"/>
      <c r="M248" s="661" t="s">
        <v>1</v>
      </c>
      <c r="N248" s="662" t="s">
        <v>42</v>
      </c>
      <c r="O248" s="663">
        <v>0</v>
      </c>
      <c r="P248" s="663">
        <f t="shared" si="51"/>
        <v>0</v>
      </c>
      <c r="Q248" s="663">
        <v>0</v>
      </c>
      <c r="R248" s="663">
        <f t="shared" si="52"/>
        <v>0</v>
      </c>
      <c r="S248" s="663">
        <v>0</v>
      </c>
      <c r="T248" s="664">
        <f t="shared" si="53"/>
        <v>0</v>
      </c>
      <c r="U248" s="222"/>
      <c r="V248" s="222"/>
      <c r="W248" s="222"/>
      <c r="X248" s="222"/>
      <c r="Y248" s="222"/>
      <c r="Z248" s="222"/>
      <c r="AA248" s="222"/>
      <c r="AB248" s="222"/>
      <c r="AC248" s="222"/>
      <c r="AD248" s="222"/>
      <c r="AE248" s="222"/>
      <c r="AR248" s="324" t="s">
        <v>153</v>
      </c>
      <c r="AT248" s="324" t="s">
        <v>148</v>
      </c>
      <c r="AU248" s="324" t="s">
        <v>81</v>
      </c>
      <c r="AY248" s="214" t="s">
        <v>146</v>
      </c>
      <c r="BE248" s="325">
        <f t="shared" si="54"/>
        <v>0</v>
      </c>
      <c r="BF248" s="325">
        <f t="shared" si="55"/>
        <v>0</v>
      </c>
      <c r="BG248" s="325">
        <f t="shared" si="56"/>
        <v>0</v>
      </c>
      <c r="BH248" s="325">
        <f t="shared" si="57"/>
        <v>0</v>
      </c>
      <c r="BI248" s="325">
        <f t="shared" si="58"/>
        <v>0</v>
      </c>
      <c r="BJ248" s="214" t="s">
        <v>81</v>
      </c>
      <c r="BK248" s="325">
        <f t="shared" si="59"/>
        <v>0</v>
      </c>
      <c r="BL248" s="214" t="s">
        <v>153</v>
      </c>
      <c r="BM248" s="324" t="s">
        <v>3786</v>
      </c>
    </row>
    <row r="249" spans="1:31" s="225" customFormat="1" ht="12.75" customHeight="1">
      <c r="A249" s="222"/>
      <c r="B249" s="253"/>
      <c r="C249" s="254"/>
      <c r="D249" s="254"/>
      <c r="E249" s="254"/>
      <c r="F249" s="254"/>
      <c r="G249" s="254"/>
      <c r="H249" s="254"/>
      <c r="I249" s="509"/>
      <c r="J249" s="254"/>
      <c r="K249" s="254"/>
      <c r="L249" s="223"/>
      <c r="M249" s="222"/>
      <c r="O249" s="222"/>
      <c r="P249" s="222"/>
      <c r="Q249" s="222"/>
      <c r="R249" s="222"/>
      <c r="S249" s="222"/>
      <c r="T249" s="222"/>
      <c r="U249" s="222"/>
      <c r="V249" s="222"/>
      <c r="W249" s="222"/>
      <c r="X249" s="222"/>
      <c r="Y249" s="222"/>
      <c r="Z249" s="222"/>
      <c r="AA249" s="222"/>
      <c r="AB249" s="222"/>
      <c r="AC249" s="222"/>
      <c r="AD249" s="222"/>
      <c r="AE249" s="222"/>
    </row>
    <row r="250" spans="9:12" ht="12">
      <c r="I250" s="500"/>
      <c r="L250" s="223"/>
    </row>
    <row r="251" spans="1:31" s="225" customFormat="1" ht="16.5" customHeight="1">
      <c r="A251" s="222"/>
      <c r="B251" s="223"/>
      <c r="C251" s="222"/>
      <c r="D251" s="222"/>
      <c r="E251" s="842" t="s">
        <v>91</v>
      </c>
      <c r="F251" s="843"/>
      <c r="G251" s="843"/>
      <c r="H251" s="843"/>
      <c r="I251" s="669"/>
      <c r="J251" s="222"/>
      <c r="K251" s="222"/>
      <c r="L251" s="223"/>
      <c r="S251" s="222"/>
      <c r="T251" s="222"/>
      <c r="U251" s="222"/>
      <c r="V251" s="222"/>
      <c r="W251" s="222"/>
      <c r="X251" s="222"/>
      <c r="Y251" s="222"/>
      <c r="Z251" s="222"/>
      <c r="AA251" s="222"/>
      <c r="AB251" s="222"/>
      <c r="AC251" s="222"/>
      <c r="AD251" s="222"/>
      <c r="AE251" s="222"/>
    </row>
    <row r="252" spans="2:63" s="297" customFormat="1" ht="22.9" customHeight="1">
      <c r="B252" s="298"/>
      <c r="D252" s="299" t="s">
        <v>75</v>
      </c>
      <c r="E252" s="660" t="s">
        <v>75</v>
      </c>
      <c r="F252" s="660" t="s">
        <v>1378</v>
      </c>
      <c r="I252" s="501"/>
      <c r="J252" s="311">
        <f>SUM(J253:J258)</f>
        <v>0</v>
      </c>
      <c r="L252" s="298"/>
      <c r="M252" s="303"/>
      <c r="N252" s="304"/>
      <c r="O252" s="304"/>
      <c r="P252" s="305">
        <f>SUM(P253:P258)</f>
        <v>0</v>
      </c>
      <c r="Q252" s="304"/>
      <c r="R252" s="305">
        <f>SUM(R253:R258)</f>
        <v>0</v>
      </c>
      <c r="S252" s="304"/>
      <c r="T252" s="313">
        <f>SUM(T253:T258)</f>
        <v>0</v>
      </c>
      <c r="AR252" s="299" t="s">
        <v>81</v>
      </c>
      <c r="AT252" s="308" t="s">
        <v>75</v>
      </c>
      <c r="AU252" s="308" t="s">
        <v>81</v>
      </c>
      <c r="AY252" s="299" t="s">
        <v>146</v>
      </c>
      <c r="BK252" s="309">
        <f>SUM(BK253:BK258)</f>
        <v>0</v>
      </c>
    </row>
    <row r="253" spans="1:65" s="225" customFormat="1" ht="16.5" customHeight="1">
      <c r="A253" s="222"/>
      <c r="B253" s="223"/>
      <c r="C253" s="314" t="s">
        <v>81</v>
      </c>
      <c r="D253" s="314" t="s">
        <v>148</v>
      </c>
      <c r="E253" s="315" t="s">
        <v>2453</v>
      </c>
      <c r="F253" s="316" t="s">
        <v>2454</v>
      </c>
      <c r="G253" s="317" t="s">
        <v>158</v>
      </c>
      <c r="H253" s="318">
        <v>15</v>
      </c>
      <c r="I253" s="79"/>
      <c r="J253" s="319">
        <f aca="true" t="shared" si="80" ref="J253:J258">ROUND(I253*H253,2)</f>
        <v>0</v>
      </c>
      <c r="K253" s="316" t="s">
        <v>1</v>
      </c>
      <c r="L253" s="223"/>
      <c r="M253" s="320" t="s">
        <v>1</v>
      </c>
      <c r="N253" s="321" t="s">
        <v>42</v>
      </c>
      <c r="O253" s="322">
        <v>0</v>
      </c>
      <c r="P253" s="322">
        <f aca="true" t="shared" si="81" ref="P253:P258">O253*H253</f>
        <v>0</v>
      </c>
      <c r="Q253" s="322">
        <v>0</v>
      </c>
      <c r="R253" s="322">
        <f aca="true" t="shared" si="82" ref="R253:R258">Q253*H253</f>
        <v>0</v>
      </c>
      <c r="S253" s="322">
        <v>0</v>
      </c>
      <c r="T253" s="323">
        <f aca="true" t="shared" si="83" ref="T253:T258">S253*H253</f>
        <v>0</v>
      </c>
      <c r="U253" s="222"/>
      <c r="V253" s="222"/>
      <c r="W253" s="222"/>
      <c r="X253" s="222"/>
      <c r="Y253" s="222"/>
      <c r="Z253" s="222"/>
      <c r="AA253" s="222"/>
      <c r="AB253" s="222"/>
      <c r="AC253" s="222"/>
      <c r="AD253" s="222"/>
      <c r="AE253" s="222"/>
      <c r="AR253" s="324" t="s">
        <v>153</v>
      </c>
      <c r="AT253" s="324" t="s">
        <v>148</v>
      </c>
      <c r="AU253" s="324" t="s">
        <v>83</v>
      </c>
      <c r="AY253" s="214" t="s">
        <v>146</v>
      </c>
      <c r="BE253" s="325">
        <f aca="true" t="shared" si="84" ref="BE253:BE258">IF(N253="základní",J253,0)</f>
        <v>0</v>
      </c>
      <c r="BF253" s="325">
        <f aca="true" t="shared" si="85" ref="BF253:BF258">IF(N253="snížená",J253,0)</f>
        <v>0</v>
      </c>
      <c r="BG253" s="325">
        <f aca="true" t="shared" si="86" ref="BG253:BG258">IF(N253="zákl. přenesená",J253,0)</f>
        <v>0</v>
      </c>
      <c r="BH253" s="325">
        <f aca="true" t="shared" si="87" ref="BH253:BH258">IF(N253="sníž. přenesená",J253,0)</f>
        <v>0</v>
      </c>
      <c r="BI253" s="325">
        <f aca="true" t="shared" si="88" ref="BI253:BI258">IF(N253="nulová",J253,0)</f>
        <v>0</v>
      </c>
      <c r="BJ253" s="214" t="s">
        <v>81</v>
      </c>
      <c r="BK253" s="325">
        <f aca="true" t="shared" si="89" ref="BK253:BK258">ROUND(I253*H253,2)</f>
        <v>0</v>
      </c>
      <c r="BL253" s="214" t="s">
        <v>153</v>
      </c>
      <c r="BM253" s="324" t="s">
        <v>2455</v>
      </c>
    </row>
    <row r="254" spans="1:65" s="225" customFormat="1" ht="16.5" customHeight="1">
      <c r="A254" s="222"/>
      <c r="B254" s="223"/>
      <c r="C254" s="314" t="s">
        <v>83</v>
      </c>
      <c r="D254" s="314" t="s">
        <v>148</v>
      </c>
      <c r="E254" s="315" t="s">
        <v>1403</v>
      </c>
      <c r="F254" s="316" t="s">
        <v>1404</v>
      </c>
      <c r="G254" s="317" t="s">
        <v>158</v>
      </c>
      <c r="H254" s="318">
        <v>1100</v>
      </c>
      <c r="I254" s="79"/>
      <c r="J254" s="319">
        <f t="shared" si="80"/>
        <v>0</v>
      </c>
      <c r="K254" s="316" t="s">
        <v>1</v>
      </c>
      <c r="L254" s="223"/>
      <c r="M254" s="320" t="s">
        <v>1</v>
      </c>
      <c r="N254" s="321" t="s">
        <v>42</v>
      </c>
      <c r="O254" s="322">
        <v>0</v>
      </c>
      <c r="P254" s="322">
        <f t="shared" si="81"/>
        <v>0</v>
      </c>
      <c r="Q254" s="322">
        <v>0</v>
      </c>
      <c r="R254" s="322">
        <f t="shared" si="82"/>
        <v>0</v>
      </c>
      <c r="S254" s="322">
        <v>0</v>
      </c>
      <c r="T254" s="323">
        <f t="shared" si="83"/>
        <v>0</v>
      </c>
      <c r="U254" s="222"/>
      <c r="V254" s="222"/>
      <c r="W254" s="222"/>
      <c r="X254" s="222"/>
      <c r="Y254" s="222"/>
      <c r="Z254" s="222"/>
      <c r="AA254" s="222"/>
      <c r="AB254" s="222"/>
      <c r="AC254" s="222"/>
      <c r="AD254" s="222"/>
      <c r="AE254" s="222"/>
      <c r="AR254" s="324" t="s">
        <v>153</v>
      </c>
      <c r="AT254" s="324" t="s">
        <v>148</v>
      </c>
      <c r="AU254" s="324" t="s">
        <v>83</v>
      </c>
      <c r="AY254" s="214" t="s">
        <v>146</v>
      </c>
      <c r="BE254" s="325">
        <f t="shared" si="84"/>
        <v>0</v>
      </c>
      <c r="BF254" s="325">
        <f t="shared" si="85"/>
        <v>0</v>
      </c>
      <c r="BG254" s="325">
        <f t="shared" si="86"/>
        <v>0</v>
      </c>
      <c r="BH254" s="325">
        <f t="shared" si="87"/>
        <v>0</v>
      </c>
      <c r="BI254" s="325">
        <f t="shared" si="88"/>
        <v>0</v>
      </c>
      <c r="BJ254" s="214" t="s">
        <v>81</v>
      </c>
      <c r="BK254" s="325">
        <f t="shared" si="89"/>
        <v>0</v>
      </c>
      <c r="BL254" s="214" t="s">
        <v>153</v>
      </c>
      <c r="BM254" s="324" t="s">
        <v>2456</v>
      </c>
    </row>
    <row r="255" spans="1:65" s="225" customFormat="1" ht="16.5" customHeight="1">
      <c r="A255" s="222"/>
      <c r="B255" s="223"/>
      <c r="C255" s="314" t="s">
        <v>159</v>
      </c>
      <c r="D255" s="314" t="s">
        <v>148</v>
      </c>
      <c r="E255" s="315" t="s">
        <v>1397</v>
      </c>
      <c r="F255" s="316" t="s">
        <v>1398</v>
      </c>
      <c r="G255" s="317" t="s">
        <v>158</v>
      </c>
      <c r="H255" s="318">
        <v>80</v>
      </c>
      <c r="I255" s="79"/>
      <c r="J255" s="319">
        <f t="shared" si="80"/>
        <v>0</v>
      </c>
      <c r="K255" s="316" t="s">
        <v>1</v>
      </c>
      <c r="L255" s="223"/>
      <c r="M255" s="320" t="s">
        <v>1</v>
      </c>
      <c r="N255" s="321" t="s">
        <v>42</v>
      </c>
      <c r="O255" s="322">
        <v>0</v>
      </c>
      <c r="P255" s="322">
        <f t="shared" si="81"/>
        <v>0</v>
      </c>
      <c r="Q255" s="322">
        <v>0</v>
      </c>
      <c r="R255" s="322">
        <f t="shared" si="82"/>
        <v>0</v>
      </c>
      <c r="S255" s="322">
        <v>0</v>
      </c>
      <c r="T255" s="323">
        <f t="shared" si="83"/>
        <v>0</v>
      </c>
      <c r="U255" s="222"/>
      <c r="V255" s="222"/>
      <c r="W255" s="222"/>
      <c r="X255" s="222"/>
      <c r="Y255" s="222"/>
      <c r="Z255" s="222"/>
      <c r="AA255" s="222"/>
      <c r="AB255" s="222"/>
      <c r="AC255" s="222"/>
      <c r="AD255" s="222"/>
      <c r="AE255" s="222"/>
      <c r="AR255" s="324" t="s">
        <v>153</v>
      </c>
      <c r="AT255" s="324" t="s">
        <v>148</v>
      </c>
      <c r="AU255" s="324" t="s">
        <v>83</v>
      </c>
      <c r="AY255" s="214" t="s">
        <v>146</v>
      </c>
      <c r="BE255" s="325">
        <f t="shared" si="84"/>
        <v>0</v>
      </c>
      <c r="BF255" s="325">
        <f t="shared" si="85"/>
        <v>0</v>
      </c>
      <c r="BG255" s="325">
        <f t="shared" si="86"/>
        <v>0</v>
      </c>
      <c r="BH255" s="325">
        <f t="shared" si="87"/>
        <v>0</v>
      </c>
      <c r="BI255" s="325">
        <f t="shared" si="88"/>
        <v>0</v>
      </c>
      <c r="BJ255" s="214" t="s">
        <v>81</v>
      </c>
      <c r="BK255" s="325">
        <f t="shared" si="89"/>
        <v>0</v>
      </c>
      <c r="BL255" s="214" t="s">
        <v>153</v>
      </c>
      <c r="BM255" s="324" t="s">
        <v>2457</v>
      </c>
    </row>
    <row r="256" spans="1:65" s="225" customFormat="1" ht="24.2" customHeight="1">
      <c r="A256" s="222"/>
      <c r="B256" s="223"/>
      <c r="C256" s="314" t="s">
        <v>153</v>
      </c>
      <c r="D256" s="314" t="s">
        <v>148</v>
      </c>
      <c r="E256" s="315" t="s">
        <v>1382</v>
      </c>
      <c r="F256" s="316" t="s">
        <v>2458</v>
      </c>
      <c r="G256" s="317" t="s">
        <v>158</v>
      </c>
      <c r="H256" s="318">
        <v>60</v>
      </c>
      <c r="I256" s="79"/>
      <c r="J256" s="319">
        <f t="shared" si="80"/>
        <v>0</v>
      </c>
      <c r="K256" s="316" t="s">
        <v>1</v>
      </c>
      <c r="L256" s="223"/>
      <c r="M256" s="320" t="s">
        <v>1</v>
      </c>
      <c r="N256" s="321" t="s">
        <v>42</v>
      </c>
      <c r="O256" s="322">
        <v>0</v>
      </c>
      <c r="P256" s="322">
        <f t="shared" si="81"/>
        <v>0</v>
      </c>
      <c r="Q256" s="322">
        <v>0</v>
      </c>
      <c r="R256" s="322">
        <f t="shared" si="82"/>
        <v>0</v>
      </c>
      <c r="S256" s="322">
        <v>0</v>
      </c>
      <c r="T256" s="323">
        <f t="shared" si="83"/>
        <v>0</v>
      </c>
      <c r="U256" s="222"/>
      <c r="V256" s="222"/>
      <c r="W256" s="222"/>
      <c r="X256" s="222"/>
      <c r="Y256" s="222"/>
      <c r="Z256" s="222"/>
      <c r="AA256" s="222"/>
      <c r="AB256" s="222"/>
      <c r="AC256" s="222"/>
      <c r="AD256" s="222"/>
      <c r="AE256" s="222"/>
      <c r="AR256" s="324" t="s">
        <v>153</v>
      </c>
      <c r="AT256" s="324" t="s">
        <v>148</v>
      </c>
      <c r="AU256" s="324" t="s">
        <v>83</v>
      </c>
      <c r="AY256" s="214" t="s">
        <v>146</v>
      </c>
      <c r="BE256" s="325">
        <f t="shared" si="84"/>
        <v>0</v>
      </c>
      <c r="BF256" s="325">
        <f t="shared" si="85"/>
        <v>0</v>
      </c>
      <c r="BG256" s="325">
        <f t="shared" si="86"/>
        <v>0</v>
      </c>
      <c r="BH256" s="325">
        <f t="shared" si="87"/>
        <v>0</v>
      </c>
      <c r="BI256" s="325">
        <f t="shared" si="88"/>
        <v>0</v>
      </c>
      <c r="BJ256" s="214" t="s">
        <v>81</v>
      </c>
      <c r="BK256" s="325">
        <f t="shared" si="89"/>
        <v>0</v>
      </c>
      <c r="BL256" s="214" t="s">
        <v>153</v>
      </c>
      <c r="BM256" s="324" t="s">
        <v>2459</v>
      </c>
    </row>
    <row r="257" spans="1:65" s="225" customFormat="1" ht="16.5" customHeight="1">
      <c r="A257" s="222"/>
      <c r="B257" s="223"/>
      <c r="C257" s="314" t="s">
        <v>177</v>
      </c>
      <c r="D257" s="314" t="s">
        <v>148</v>
      </c>
      <c r="E257" s="315" t="s">
        <v>1406</v>
      </c>
      <c r="F257" s="316" t="s">
        <v>1407</v>
      </c>
      <c r="G257" s="317" t="s">
        <v>158</v>
      </c>
      <c r="H257" s="318">
        <v>472</v>
      </c>
      <c r="I257" s="79"/>
      <c r="J257" s="319">
        <f t="shared" si="80"/>
        <v>0</v>
      </c>
      <c r="K257" s="316" t="s">
        <v>1</v>
      </c>
      <c r="L257" s="223"/>
      <c r="M257" s="320" t="s">
        <v>1</v>
      </c>
      <c r="N257" s="321" t="s">
        <v>42</v>
      </c>
      <c r="O257" s="322">
        <v>0</v>
      </c>
      <c r="P257" s="322">
        <f t="shared" si="81"/>
        <v>0</v>
      </c>
      <c r="Q257" s="322">
        <v>0</v>
      </c>
      <c r="R257" s="322">
        <f t="shared" si="82"/>
        <v>0</v>
      </c>
      <c r="S257" s="322">
        <v>0</v>
      </c>
      <c r="T257" s="323">
        <f t="shared" si="83"/>
        <v>0</v>
      </c>
      <c r="U257" s="222"/>
      <c r="V257" s="222"/>
      <c r="W257" s="222"/>
      <c r="X257" s="222"/>
      <c r="Y257" s="222"/>
      <c r="Z257" s="222"/>
      <c r="AA257" s="222"/>
      <c r="AB257" s="222"/>
      <c r="AC257" s="222"/>
      <c r="AD257" s="222"/>
      <c r="AE257" s="222"/>
      <c r="AR257" s="324" t="s">
        <v>153</v>
      </c>
      <c r="AT257" s="324" t="s">
        <v>148</v>
      </c>
      <c r="AU257" s="324" t="s">
        <v>83</v>
      </c>
      <c r="AY257" s="214" t="s">
        <v>146</v>
      </c>
      <c r="BE257" s="325">
        <f t="shared" si="84"/>
        <v>0</v>
      </c>
      <c r="BF257" s="325">
        <f t="shared" si="85"/>
        <v>0</v>
      </c>
      <c r="BG257" s="325">
        <f t="shared" si="86"/>
        <v>0</v>
      </c>
      <c r="BH257" s="325">
        <f t="shared" si="87"/>
        <v>0</v>
      </c>
      <c r="BI257" s="325">
        <f t="shared" si="88"/>
        <v>0</v>
      </c>
      <c r="BJ257" s="214" t="s">
        <v>81</v>
      </c>
      <c r="BK257" s="325">
        <f t="shared" si="89"/>
        <v>0</v>
      </c>
      <c r="BL257" s="214" t="s">
        <v>153</v>
      </c>
      <c r="BM257" s="324" t="s">
        <v>2460</v>
      </c>
    </row>
    <row r="258" spans="1:65" s="225" customFormat="1" ht="33" customHeight="1">
      <c r="A258" s="222"/>
      <c r="B258" s="223"/>
      <c r="C258" s="314" t="s">
        <v>181</v>
      </c>
      <c r="D258" s="314" t="s">
        <v>148</v>
      </c>
      <c r="E258" s="315" t="s">
        <v>1432</v>
      </c>
      <c r="F258" s="316" t="s">
        <v>2461</v>
      </c>
      <c r="G258" s="317" t="s">
        <v>1361</v>
      </c>
      <c r="H258" s="318">
        <v>400</v>
      </c>
      <c r="I258" s="79"/>
      <c r="J258" s="319">
        <f t="shared" si="80"/>
        <v>0</v>
      </c>
      <c r="K258" s="316" t="s">
        <v>1</v>
      </c>
      <c r="L258" s="223"/>
      <c r="M258" s="320" t="s">
        <v>1</v>
      </c>
      <c r="N258" s="321" t="s">
        <v>42</v>
      </c>
      <c r="O258" s="322">
        <v>0</v>
      </c>
      <c r="P258" s="322">
        <f t="shared" si="81"/>
        <v>0</v>
      </c>
      <c r="Q258" s="322">
        <v>0</v>
      </c>
      <c r="R258" s="322">
        <f t="shared" si="82"/>
        <v>0</v>
      </c>
      <c r="S258" s="322">
        <v>0</v>
      </c>
      <c r="T258" s="323">
        <f t="shared" si="83"/>
        <v>0</v>
      </c>
      <c r="U258" s="222"/>
      <c r="V258" s="222"/>
      <c r="W258" s="222"/>
      <c r="X258" s="222"/>
      <c r="Y258" s="222"/>
      <c r="Z258" s="222"/>
      <c r="AA258" s="222"/>
      <c r="AB258" s="222"/>
      <c r="AC258" s="222"/>
      <c r="AD258" s="222"/>
      <c r="AE258" s="222"/>
      <c r="AR258" s="324" t="s">
        <v>153</v>
      </c>
      <c r="AT258" s="324" t="s">
        <v>148</v>
      </c>
      <c r="AU258" s="324" t="s">
        <v>83</v>
      </c>
      <c r="AY258" s="214" t="s">
        <v>146</v>
      </c>
      <c r="BE258" s="325">
        <f t="shared" si="84"/>
        <v>0</v>
      </c>
      <c r="BF258" s="325">
        <f t="shared" si="85"/>
        <v>0</v>
      </c>
      <c r="BG258" s="325">
        <f t="shared" si="86"/>
        <v>0</v>
      </c>
      <c r="BH258" s="325">
        <f t="shared" si="87"/>
        <v>0</v>
      </c>
      <c r="BI258" s="325">
        <f t="shared" si="88"/>
        <v>0</v>
      </c>
      <c r="BJ258" s="214" t="s">
        <v>81</v>
      </c>
      <c r="BK258" s="325">
        <f t="shared" si="89"/>
        <v>0</v>
      </c>
      <c r="BL258" s="214" t="s">
        <v>153</v>
      </c>
      <c r="BM258" s="324" t="s">
        <v>2462</v>
      </c>
    </row>
    <row r="259" spans="2:63" s="297" customFormat="1" ht="22.9" customHeight="1">
      <c r="B259" s="298"/>
      <c r="D259" s="299" t="s">
        <v>75</v>
      </c>
      <c r="E259" s="660" t="s">
        <v>1375</v>
      </c>
      <c r="F259" s="660" t="s">
        <v>1436</v>
      </c>
      <c r="I259" s="501"/>
      <c r="J259" s="311">
        <f>SUM(J260:J267)</f>
        <v>0</v>
      </c>
      <c r="L259" s="298"/>
      <c r="M259" s="303"/>
      <c r="N259" s="304"/>
      <c r="O259" s="304"/>
      <c r="P259" s="305">
        <f>SUM(P260:P267)</f>
        <v>0</v>
      </c>
      <c r="Q259" s="304"/>
      <c r="R259" s="305">
        <f>SUM(R260:R267)</f>
        <v>0</v>
      </c>
      <c r="S259" s="304"/>
      <c r="T259" s="313">
        <f>SUM(T260:T267)</f>
        <v>0</v>
      </c>
      <c r="AR259" s="299" t="s">
        <v>81</v>
      </c>
      <c r="AT259" s="308" t="s">
        <v>75</v>
      </c>
      <c r="AU259" s="308" t="s">
        <v>81</v>
      </c>
      <c r="AY259" s="299" t="s">
        <v>146</v>
      </c>
      <c r="BK259" s="309">
        <f>SUM(BK260:BK267)</f>
        <v>0</v>
      </c>
    </row>
    <row r="260" spans="1:65" s="225" customFormat="1" ht="33" customHeight="1">
      <c r="A260" s="222"/>
      <c r="B260" s="223"/>
      <c r="C260" s="314" t="s">
        <v>185</v>
      </c>
      <c r="D260" s="314" t="s">
        <v>148</v>
      </c>
      <c r="E260" s="315" t="s">
        <v>2463</v>
      </c>
      <c r="F260" s="316" t="s">
        <v>2464</v>
      </c>
      <c r="G260" s="317" t="s">
        <v>1361</v>
      </c>
      <c r="H260" s="318">
        <v>22</v>
      </c>
      <c r="I260" s="79"/>
      <c r="J260" s="319">
        <f aca="true" t="shared" si="90" ref="J260:J267">ROUND(I260*H260,2)</f>
        <v>0</v>
      </c>
      <c r="K260" s="316" t="s">
        <v>1</v>
      </c>
      <c r="L260" s="223"/>
      <c r="M260" s="320" t="s">
        <v>1</v>
      </c>
      <c r="N260" s="321" t="s">
        <v>42</v>
      </c>
      <c r="O260" s="322">
        <v>0</v>
      </c>
      <c r="P260" s="322">
        <f aca="true" t="shared" si="91" ref="P260:P267">O260*H260</f>
        <v>0</v>
      </c>
      <c r="Q260" s="322">
        <v>0</v>
      </c>
      <c r="R260" s="322">
        <f aca="true" t="shared" si="92" ref="R260:R267">Q260*H260</f>
        <v>0</v>
      </c>
      <c r="S260" s="322">
        <v>0</v>
      </c>
      <c r="T260" s="323">
        <f aca="true" t="shared" si="93" ref="T260:T267">S260*H260</f>
        <v>0</v>
      </c>
      <c r="U260" s="222"/>
      <c r="V260" s="222"/>
      <c r="W260" s="222"/>
      <c r="X260" s="222"/>
      <c r="Y260" s="222"/>
      <c r="Z260" s="222"/>
      <c r="AA260" s="222"/>
      <c r="AB260" s="222"/>
      <c r="AC260" s="222"/>
      <c r="AD260" s="222"/>
      <c r="AE260" s="222"/>
      <c r="AR260" s="324" t="s">
        <v>153</v>
      </c>
      <c r="AT260" s="324" t="s">
        <v>148</v>
      </c>
      <c r="AU260" s="324" t="s">
        <v>83</v>
      </c>
      <c r="AY260" s="214" t="s">
        <v>146</v>
      </c>
      <c r="BE260" s="325">
        <f aca="true" t="shared" si="94" ref="BE260:BE267">IF(N260="základní",J260,0)</f>
        <v>0</v>
      </c>
      <c r="BF260" s="325">
        <f aca="true" t="shared" si="95" ref="BF260:BF267">IF(N260="snížená",J260,0)</f>
        <v>0</v>
      </c>
      <c r="BG260" s="325">
        <f aca="true" t="shared" si="96" ref="BG260:BG267">IF(N260="zákl. přenesená",J260,0)</f>
        <v>0</v>
      </c>
      <c r="BH260" s="325">
        <f aca="true" t="shared" si="97" ref="BH260:BH267">IF(N260="sníž. přenesená",J260,0)</f>
        <v>0</v>
      </c>
      <c r="BI260" s="325">
        <f aca="true" t="shared" si="98" ref="BI260:BI267">IF(N260="nulová",J260,0)</f>
        <v>0</v>
      </c>
      <c r="BJ260" s="214" t="s">
        <v>81</v>
      </c>
      <c r="BK260" s="325">
        <f aca="true" t="shared" si="99" ref="BK260:BK267">ROUND(I260*H260,2)</f>
        <v>0</v>
      </c>
      <c r="BL260" s="214" t="s">
        <v>153</v>
      </c>
      <c r="BM260" s="324" t="s">
        <v>2465</v>
      </c>
    </row>
    <row r="261" spans="1:65" s="225" customFormat="1" ht="24.2" customHeight="1">
      <c r="A261" s="222"/>
      <c r="B261" s="223"/>
      <c r="C261" s="314" t="s">
        <v>189</v>
      </c>
      <c r="D261" s="314" t="s">
        <v>148</v>
      </c>
      <c r="E261" s="315" t="s">
        <v>2466</v>
      </c>
      <c r="F261" s="316" t="s">
        <v>2467</v>
      </c>
      <c r="G261" s="317" t="s">
        <v>1361</v>
      </c>
      <c r="H261" s="318">
        <v>10</v>
      </c>
      <c r="I261" s="79"/>
      <c r="J261" s="319">
        <f t="shared" si="90"/>
        <v>0</v>
      </c>
      <c r="K261" s="316" t="s">
        <v>1</v>
      </c>
      <c r="L261" s="223"/>
      <c r="M261" s="320" t="s">
        <v>1</v>
      </c>
      <c r="N261" s="321" t="s">
        <v>42</v>
      </c>
      <c r="O261" s="322">
        <v>0</v>
      </c>
      <c r="P261" s="322">
        <f t="shared" si="91"/>
        <v>0</v>
      </c>
      <c r="Q261" s="322">
        <v>0</v>
      </c>
      <c r="R261" s="322">
        <f t="shared" si="92"/>
        <v>0</v>
      </c>
      <c r="S261" s="322">
        <v>0</v>
      </c>
      <c r="T261" s="323">
        <f t="shared" si="93"/>
        <v>0</v>
      </c>
      <c r="U261" s="222"/>
      <c r="V261" s="222"/>
      <c r="W261" s="222"/>
      <c r="X261" s="222"/>
      <c r="Y261" s="222"/>
      <c r="Z261" s="222"/>
      <c r="AA261" s="222"/>
      <c r="AB261" s="222"/>
      <c r="AC261" s="222"/>
      <c r="AD261" s="222"/>
      <c r="AE261" s="222"/>
      <c r="AR261" s="324" t="s">
        <v>153</v>
      </c>
      <c r="AT261" s="324" t="s">
        <v>148</v>
      </c>
      <c r="AU261" s="324" t="s">
        <v>83</v>
      </c>
      <c r="AY261" s="214" t="s">
        <v>146</v>
      </c>
      <c r="BE261" s="325">
        <f t="shared" si="94"/>
        <v>0</v>
      </c>
      <c r="BF261" s="325">
        <f t="shared" si="95"/>
        <v>0</v>
      </c>
      <c r="BG261" s="325">
        <f t="shared" si="96"/>
        <v>0</v>
      </c>
      <c r="BH261" s="325">
        <f t="shared" si="97"/>
        <v>0</v>
      </c>
      <c r="BI261" s="325">
        <f t="shared" si="98"/>
        <v>0</v>
      </c>
      <c r="BJ261" s="214" t="s">
        <v>81</v>
      </c>
      <c r="BK261" s="325">
        <f t="shared" si="99"/>
        <v>0</v>
      </c>
      <c r="BL261" s="214" t="s">
        <v>153</v>
      </c>
      <c r="BM261" s="324" t="s">
        <v>2468</v>
      </c>
    </row>
    <row r="262" spans="1:65" s="225" customFormat="1" ht="37.9" customHeight="1">
      <c r="A262" s="222"/>
      <c r="B262" s="223"/>
      <c r="C262" s="314" t="s">
        <v>191</v>
      </c>
      <c r="D262" s="314" t="s">
        <v>148</v>
      </c>
      <c r="E262" s="315" t="s">
        <v>2469</v>
      </c>
      <c r="F262" s="316" t="s">
        <v>2470</v>
      </c>
      <c r="G262" s="317" t="s">
        <v>1361</v>
      </c>
      <c r="H262" s="318">
        <v>15</v>
      </c>
      <c r="I262" s="79"/>
      <c r="J262" s="319">
        <f t="shared" si="90"/>
        <v>0</v>
      </c>
      <c r="K262" s="316" t="s">
        <v>1</v>
      </c>
      <c r="L262" s="223"/>
      <c r="M262" s="320" t="s">
        <v>1</v>
      </c>
      <c r="N262" s="321" t="s">
        <v>42</v>
      </c>
      <c r="O262" s="322">
        <v>0</v>
      </c>
      <c r="P262" s="322">
        <f t="shared" si="91"/>
        <v>0</v>
      </c>
      <c r="Q262" s="322">
        <v>0</v>
      </c>
      <c r="R262" s="322">
        <f t="shared" si="92"/>
        <v>0</v>
      </c>
      <c r="S262" s="322">
        <v>0</v>
      </c>
      <c r="T262" s="323">
        <f t="shared" si="93"/>
        <v>0</v>
      </c>
      <c r="U262" s="222"/>
      <c r="V262" s="222"/>
      <c r="W262" s="222"/>
      <c r="X262" s="222"/>
      <c r="Y262" s="222"/>
      <c r="Z262" s="222"/>
      <c r="AA262" s="222"/>
      <c r="AB262" s="222"/>
      <c r="AC262" s="222"/>
      <c r="AD262" s="222"/>
      <c r="AE262" s="222"/>
      <c r="AR262" s="324" t="s">
        <v>153</v>
      </c>
      <c r="AT262" s="324" t="s">
        <v>148</v>
      </c>
      <c r="AU262" s="324" t="s">
        <v>83</v>
      </c>
      <c r="AY262" s="214" t="s">
        <v>146</v>
      </c>
      <c r="BE262" s="325">
        <f t="shared" si="94"/>
        <v>0</v>
      </c>
      <c r="BF262" s="325">
        <f t="shared" si="95"/>
        <v>0</v>
      </c>
      <c r="BG262" s="325">
        <f t="shared" si="96"/>
        <v>0</v>
      </c>
      <c r="BH262" s="325">
        <f t="shared" si="97"/>
        <v>0</v>
      </c>
      <c r="BI262" s="325">
        <f t="shared" si="98"/>
        <v>0</v>
      </c>
      <c r="BJ262" s="214" t="s">
        <v>81</v>
      </c>
      <c r="BK262" s="325">
        <f t="shared" si="99"/>
        <v>0</v>
      </c>
      <c r="BL262" s="214" t="s">
        <v>153</v>
      </c>
      <c r="BM262" s="324" t="s">
        <v>2471</v>
      </c>
    </row>
    <row r="263" spans="1:65" s="225" customFormat="1" ht="24.2" customHeight="1">
      <c r="A263" s="222"/>
      <c r="B263" s="223"/>
      <c r="C263" s="314" t="s">
        <v>196</v>
      </c>
      <c r="D263" s="314" t="s">
        <v>148</v>
      </c>
      <c r="E263" s="315" t="s">
        <v>2472</v>
      </c>
      <c r="F263" s="316" t="s">
        <v>2473</v>
      </c>
      <c r="G263" s="317" t="s">
        <v>1361</v>
      </c>
      <c r="H263" s="318">
        <v>2</v>
      </c>
      <c r="I263" s="79"/>
      <c r="J263" s="319">
        <f t="shared" si="90"/>
        <v>0</v>
      </c>
      <c r="K263" s="316" t="s">
        <v>1</v>
      </c>
      <c r="L263" s="223"/>
      <c r="M263" s="320" t="s">
        <v>1</v>
      </c>
      <c r="N263" s="321" t="s">
        <v>42</v>
      </c>
      <c r="O263" s="322">
        <v>0</v>
      </c>
      <c r="P263" s="322">
        <f t="shared" si="91"/>
        <v>0</v>
      </c>
      <c r="Q263" s="322">
        <v>0</v>
      </c>
      <c r="R263" s="322">
        <f t="shared" si="92"/>
        <v>0</v>
      </c>
      <c r="S263" s="322">
        <v>0</v>
      </c>
      <c r="T263" s="323">
        <f t="shared" si="93"/>
        <v>0</v>
      </c>
      <c r="U263" s="222"/>
      <c r="V263" s="222"/>
      <c r="W263" s="222"/>
      <c r="X263" s="222"/>
      <c r="Y263" s="222"/>
      <c r="Z263" s="222"/>
      <c r="AA263" s="222"/>
      <c r="AB263" s="222"/>
      <c r="AC263" s="222"/>
      <c r="AD263" s="222"/>
      <c r="AE263" s="222"/>
      <c r="AR263" s="324" t="s">
        <v>153</v>
      </c>
      <c r="AT263" s="324" t="s">
        <v>148</v>
      </c>
      <c r="AU263" s="324" t="s">
        <v>83</v>
      </c>
      <c r="AY263" s="214" t="s">
        <v>146</v>
      </c>
      <c r="BE263" s="325">
        <f t="shared" si="94"/>
        <v>0</v>
      </c>
      <c r="BF263" s="325">
        <f t="shared" si="95"/>
        <v>0</v>
      </c>
      <c r="BG263" s="325">
        <f t="shared" si="96"/>
        <v>0</v>
      </c>
      <c r="BH263" s="325">
        <f t="shared" si="97"/>
        <v>0</v>
      </c>
      <c r="BI263" s="325">
        <f t="shared" si="98"/>
        <v>0</v>
      </c>
      <c r="BJ263" s="214" t="s">
        <v>81</v>
      </c>
      <c r="BK263" s="325">
        <f t="shared" si="99"/>
        <v>0</v>
      </c>
      <c r="BL263" s="214" t="s">
        <v>153</v>
      </c>
      <c r="BM263" s="324" t="s">
        <v>2474</v>
      </c>
    </row>
    <row r="264" spans="1:65" s="225" customFormat="1" ht="37.9" customHeight="1">
      <c r="A264" s="222"/>
      <c r="B264" s="223"/>
      <c r="C264" s="314" t="s">
        <v>199</v>
      </c>
      <c r="D264" s="314" t="s">
        <v>148</v>
      </c>
      <c r="E264" s="315" t="s">
        <v>2475</v>
      </c>
      <c r="F264" s="316" t="s">
        <v>2476</v>
      </c>
      <c r="G264" s="317" t="s">
        <v>1361</v>
      </c>
      <c r="H264" s="318">
        <v>10</v>
      </c>
      <c r="I264" s="79"/>
      <c r="J264" s="319">
        <f t="shared" si="90"/>
        <v>0</v>
      </c>
      <c r="K264" s="316" t="s">
        <v>1</v>
      </c>
      <c r="L264" s="223"/>
      <c r="M264" s="320" t="s">
        <v>1</v>
      </c>
      <c r="N264" s="321" t="s">
        <v>42</v>
      </c>
      <c r="O264" s="322">
        <v>0</v>
      </c>
      <c r="P264" s="322">
        <f t="shared" si="91"/>
        <v>0</v>
      </c>
      <c r="Q264" s="322">
        <v>0</v>
      </c>
      <c r="R264" s="322">
        <f t="shared" si="92"/>
        <v>0</v>
      </c>
      <c r="S264" s="322">
        <v>0</v>
      </c>
      <c r="T264" s="323">
        <f t="shared" si="93"/>
        <v>0</v>
      </c>
      <c r="U264" s="222"/>
      <c r="V264" s="222"/>
      <c r="W264" s="222"/>
      <c r="X264" s="222"/>
      <c r="Y264" s="222"/>
      <c r="Z264" s="222"/>
      <c r="AA264" s="222"/>
      <c r="AB264" s="222"/>
      <c r="AC264" s="222"/>
      <c r="AD264" s="222"/>
      <c r="AE264" s="222"/>
      <c r="AR264" s="324" t="s">
        <v>153</v>
      </c>
      <c r="AT264" s="324" t="s">
        <v>148</v>
      </c>
      <c r="AU264" s="324" t="s">
        <v>83</v>
      </c>
      <c r="AY264" s="214" t="s">
        <v>146</v>
      </c>
      <c r="BE264" s="325">
        <f t="shared" si="94"/>
        <v>0</v>
      </c>
      <c r="BF264" s="325">
        <f t="shared" si="95"/>
        <v>0</v>
      </c>
      <c r="BG264" s="325">
        <f t="shared" si="96"/>
        <v>0</v>
      </c>
      <c r="BH264" s="325">
        <f t="shared" si="97"/>
        <v>0</v>
      </c>
      <c r="BI264" s="325">
        <f t="shared" si="98"/>
        <v>0</v>
      </c>
      <c r="BJ264" s="214" t="s">
        <v>81</v>
      </c>
      <c r="BK264" s="325">
        <f t="shared" si="99"/>
        <v>0</v>
      </c>
      <c r="BL264" s="214" t="s">
        <v>153</v>
      </c>
      <c r="BM264" s="324" t="s">
        <v>2477</v>
      </c>
    </row>
    <row r="265" spans="1:65" s="225" customFormat="1" ht="24.2" customHeight="1">
      <c r="A265" s="222"/>
      <c r="B265" s="223"/>
      <c r="C265" s="314" t="s">
        <v>203</v>
      </c>
      <c r="D265" s="314" t="s">
        <v>148</v>
      </c>
      <c r="E265" s="315" t="s">
        <v>2478</v>
      </c>
      <c r="F265" s="316" t="s">
        <v>2479</v>
      </c>
      <c r="G265" s="317" t="s">
        <v>1361</v>
      </c>
      <c r="H265" s="318">
        <v>49</v>
      </c>
      <c r="I265" s="79"/>
      <c r="J265" s="319">
        <f t="shared" si="90"/>
        <v>0</v>
      </c>
      <c r="K265" s="316" t="s">
        <v>1</v>
      </c>
      <c r="L265" s="223"/>
      <c r="M265" s="320" t="s">
        <v>1</v>
      </c>
      <c r="N265" s="321" t="s">
        <v>42</v>
      </c>
      <c r="O265" s="322">
        <v>0</v>
      </c>
      <c r="P265" s="322">
        <f t="shared" si="91"/>
        <v>0</v>
      </c>
      <c r="Q265" s="322">
        <v>0</v>
      </c>
      <c r="R265" s="322">
        <f t="shared" si="92"/>
        <v>0</v>
      </c>
      <c r="S265" s="322">
        <v>0</v>
      </c>
      <c r="T265" s="323">
        <f t="shared" si="93"/>
        <v>0</v>
      </c>
      <c r="U265" s="222"/>
      <c r="V265" s="222"/>
      <c r="W265" s="222"/>
      <c r="X265" s="222"/>
      <c r="Y265" s="222"/>
      <c r="Z265" s="222"/>
      <c r="AA265" s="222"/>
      <c r="AB265" s="222"/>
      <c r="AC265" s="222"/>
      <c r="AD265" s="222"/>
      <c r="AE265" s="222"/>
      <c r="AR265" s="324" t="s">
        <v>153</v>
      </c>
      <c r="AT265" s="324" t="s">
        <v>148</v>
      </c>
      <c r="AU265" s="324" t="s">
        <v>83</v>
      </c>
      <c r="AY265" s="214" t="s">
        <v>146</v>
      </c>
      <c r="BE265" s="325">
        <f t="shared" si="94"/>
        <v>0</v>
      </c>
      <c r="BF265" s="325">
        <f t="shared" si="95"/>
        <v>0</v>
      </c>
      <c r="BG265" s="325">
        <f t="shared" si="96"/>
        <v>0</v>
      </c>
      <c r="BH265" s="325">
        <f t="shared" si="97"/>
        <v>0</v>
      </c>
      <c r="BI265" s="325">
        <f t="shared" si="98"/>
        <v>0</v>
      </c>
      <c r="BJ265" s="214" t="s">
        <v>81</v>
      </c>
      <c r="BK265" s="325">
        <f t="shared" si="99"/>
        <v>0</v>
      </c>
      <c r="BL265" s="214" t="s">
        <v>153</v>
      </c>
      <c r="BM265" s="324" t="s">
        <v>2480</v>
      </c>
    </row>
    <row r="266" spans="1:65" s="225" customFormat="1" ht="24.2" customHeight="1">
      <c r="A266" s="222"/>
      <c r="B266" s="223"/>
      <c r="C266" s="314" t="s">
        <v>207</v>
      </c>
      <c r="D266" s="314" t="s">
        <v>148</v>
      </c>
      <c r="E266" s="315" t="s">
        <v>2481</v>
      </c>
      <c r="F266" s="316" t="s">
        <v>2482</v>
      </c>
      <c r="G266" s="317" t="s">
        <v>1361</v>
      </c>
      <c r="H266" s="318">
        <v>10</v>
      </c>
      <c r="I266" s="79"/>
      <c r="J266" s="319">
        <f t="shared" si="90"/>
        <v>0</v>
      </c>
      <c r="K266" s="316" t="s">
        <v>1</v>
      </c>
      <c r="L266" s="223"/>
      <c r="M266" s="320" t="s">
        <v>1</v>
      </c>
      <c r="N266" s="321" t="s">
        <v>42</v>
      </c>
      <c r="O266" s="322">
        <v>0</v>
      </c>
      <c r="P266" s="322">
        <f t="shared" si="91"/>
        <v>0</v>
      </c>
      <c r="Q266" s="322">
        <v>0</v>
      </c>
      <c r="R266" s="322">
        <f t="shared" si="92"/>
        <v>0</v>
      </c>
      <c r="S266" s="322">
        <v>0</v>
      </c>
      <c r="T266" s="323">
        <f t="shared" si="93"/>
        <v>0</v>
      </c>
      <c r="U266" s="222"/>
      <c r="V266" s="222"/>
      <c r="W266" s="222"/>
      <c r="X266" s="222"/>
      <c r="Y266" s="222"/>
      <c r="Z266" s="222"/>
      <c r="AA266" s="222"/>
      <c r="AB266" s="222"/>
      <c r="AC266" s="222"/>
      <c r="AD266" s="222"/>
      <c r="AE266" s="222"/>
      <c r="AR266" s="324" t="s">
        <v>153</v>
      </c>
      <c r="AT266" s="324" t="s">
        <v>148</v>
      </c>
      <c r="AU266" s="324" t="s">
        <v>83</v>
      </c>
      <c r="AY266" s="214" t="s">
        <v>146</v>
      </c>
      <c r="BE266" s="325">
        <f t="shared" si="94"/>
        <v>0</v>
      </c>
      <c r="BF266" s="325">
        <f t="shared" si="95"/>
        <v>0</v>
      </c>
      <c r="BG266" s="325">
        <f t="shared" si="96"/>
        <v>0</v>
      </c>
      <c r="BH266" s="325">
        <f t="shared" si="97"/>
        <v>0</v>
      </c>
      <c r="BI266" s="325">
        <f t="shared" si="98"/>
        <v>0</v>
      </c>
      <c r="BJ266" s="214" t="s">
        <v>81</v>
      </c>
      <c r="BK266" s="325">
        <f t="shared" si="99"/>
        <v>0</v>
      </c>
      <c r="BL266" s="214" t="s">
        <v>153</v>
      </c>
      <c r="BM266" s="324" t="s">
        <v>2483</v>
      </c>
    </row>
    <row r="267" spans="1:65" s="225" customFormat="1" ht="24.2" customHeight="1">
      <c r="A267" s="222"/>
      <c r="B267" s="223"/>
      <c r="C267" s="314" t="s">
        <v>209</v>
      </c>
      <c r="D267" s="314" t="s">
        <v>148</v>
      </c>
      <c r="E267" s="315" t="s">
        <v>1437</v>
      </c>
      <c r="F267" s="316" t="s">
        <v>1438</v>
      </c>
      <c r="G267" s="317" t="s">
        <v>1361</v>
      </c>
      <c r="H267" s="318">
        <v>59</v>
      </c>
      <c r="I267" s="79"/>
      <c r="J267" s="319">
        <f t="shared" si="90"/>
        <v>0</v>
      </c>
      <c r="K267" s="316" t="s">
        <v>1</v>
      </c>
      <c r="L267" s="223"/>
      <c r="M267" s="320" t="s">
        <v>1</v>
      </c>
      <c r="N267" s="321" t="s">
        <v>42</v>
      </c>
      <c r="O267" s="322">
        <v>0</v>
      </c>
      <c r="P267" s="322">
        <f t="shared" si="91"/>
        <v>0</v>
      </c>
      <c r="Q267" s="322">
        <v>0</v>
      </c>
      <c r="R267" s="322">
        <f t="shared" si="92"/>
        <v>0</v>
      </c>
      <c r="S267" s="322">
        <v>0</v>
      </c>
      <c r="T267" s="323">
        <f t="shared" si="93"/>
        <v>0</v>
      </c>
      <c r="U267" s="222"/>
      <c r="V267" s="222"/>
      <c r="W267" s="222"/>
      <c r="X267" s="222"/>
      <c r="Y267" s="222"/>
      <c r="Z267" s="222"/>
      <c r="AA267" s="222"/>
      <c r="AB267" s="222"/>
      <c r="AC267" s="222"/>
      <c r="AD267" s="222"/>
      <c r="AE267" s="222"/>
      <c r="AR267" s="324" t="s">
        <v>153</v>
      </c>
      <c r="AT267" s="324" t="s">
        <v>148</v>
      </c>
      <c r="AU267" s="324" t="s">
        <v>83</v>
      </c>
      <c r="AY267" s="214" t="s">
        <v>146</v>
      </c>
      <c r="BE267" s="325">
        <f t="shared" si="94"/>
        <v>0</v>
      </c>
      <c r="BF267" s="325">
        <f t="shared" si="95"/>
        <v>0</v>
      </c>
      <c r="BG267" s="325">
        <f t="shared" si="96"/>
        <v>0</v>
      </c>
      <c r="BH267" s="325">
        <f t="shared" si="97"/>
        <v>0</v>
      </c>
      <c r="BI267" s="325">
        <f t="shared" si="98"/>
        <v>0</v>
      </c>
      <c r="BJ267" s="214" t="s">
        <v>81</v>
      </c>
      <c r="BK267" s="325">
        <f t="shared" si="99"/>
        <v>0</v>
      </c>
      <c r="BL267" s="214" t="s">
        <v>153</v>
      </c>
      <c r="BM267" s="324" t="s">
        <v>2484</v>
      </c>
    </row>
    <row r="268" spans="2:63" s="297" customFormat="1" ht="22.9" customHeight="1">
      <c r="B268" s="298"/>
      <c r="D268" s="299" t="s">
        <v>75</v>
      </c>
      <c r="E268" s="660" t="s">
        <v>2485</v>
      </c>
      <c r="F268" s="660" t="s">
        <v>2486</v>
      </c>
      <c r="I268" s="501"/>
      <c r="J268" s="311">
        <f>SUM(J269:J271)</f>
        <v>0</v>
      </c>
      <c r="L268" s="298"/>
      <c r="M268" s="303"/>
      <c r="N268" s="304"/>
      <c r="O268" s="304"/>
      <c r="P268" s="305">
        <f>SUM(P269:P271)</f>
        <v>0</v>
      </c>
      <c r="Q268" s="304"/>
      <c r="R268" s="305">
        <f>SUM(R269:R271)</f>
        <v>0</v>
      </c>
      <c r="S268" s="304"/>
      <c r="T268" s="313">
        <f>SUM(T269:T271)</f>
        <v>0</v>
      </c>
      <c r="AR268" s="299" t="s">
        <v>81</v>
      </c>
      <c r="AT268" s="308" t="s">
        <v>75</v>
      </c>
      <c r="AU268" s="308" t="s">
        <v>81</v>
      </c>
      <c r="AY268" s="299" t="s">
        <v>146</v>
      </c>
      <c r="BK268" s="309">
        <f>SUM(BK269:BK271)</f>
        <v>0</v>
      </c>
    </row>
    <row r="269" spans="1:65" s="225" customFormat="1" ht="16.5" customHeight="1">
      <c r="A269" s="222"/>
      <c r="B269" s="223"/>
      <c r="C269" s="314" t="s">
        <v>8</v>
      </c>
      <c r="D269" s="314" t="s">
        <v>148</v>
      </c>
      <c r="E269" s="315" t="s">
        <v>2487</v>
      </c>
      <c r="F269" s="316" t="s">
        <v>2488</v>
      </c>
      <c r="G269" s="317" t="s">
        <v>1361</v>
      </c>
      <c r="H269" s="318">
        <v>12</v>
      </c>
      <c r="I269" s="79"/>
      <c r="J269" s="319">
        <f>ROUND(I269*H269,2)</f>
        <v>0</v>
      </c>
      <c r="K269" s="316" t="s">
        <v>1</v>
      </c>
      <c r="L269" s="223"/>
      <c r="M269" s="320" t="s">
        <v>1</v>
      </c>
      <c r="N269" s="321" t="s">
        <v>42</v>
      </c>
      <c r="O269" s="322">
        <v>0</v>
      </c>
      <c r="P269" s="322">
        <f>O269*H269</f>
        <v>0</v>
      </c>
      <c r="Q269" s="322">
        <v>0</v>
      </c>
      <c r="R269" s="322">
        <f>Q269*H269</f>
        <v>0</v>
      </c>
      <c r="S269" s="322">
        <v>0</v>
      </c>
      <c r="T269" s="323">
        <f>S269*H269</f>
        <v>0</v>
      </c>
      <c r="U269" s="222"/>
      <c r="V269" s="222"/>
      <c r="W269" s="222"/>
      <c r="X269" s="222"/>
      <c r="Y269" s="222"/>
      <c r="Z269" s="222"/>
      <c r="AA269" s="222"/>
      <c r="AB269" s="222"/>
      <c r="AC269" s="222"/>
      <c r="AD269" s="222"/>
      <c r="AE269" s="222"/>
      <c r="AR269" s="324" t="s">
        <v>153</v>
      </c>
      <c r="AT269" s="324" t="s">
        <v>148</v>
      </c>
      <c r="AU269" s="324" t="s">
        <v>83</v>
      </c>
      <c r="AY269" s="214" t="s">
        <v>146</v>
      </c>
      <c r="BE269" s="325">
        <f>IF(N269="základní",J269,0)</f>
        <v>0</v>
      </c>
      <c r="BF269" s="325">
        <f>IF(N269="snížená",J269,0)</f>
        <v>0</v>
      </c>
      <c r="BG269" s="325">
        <f>IF(N269="zákl. přenesená",J269,0)</f>
        <v>0</v>
      </c>
      <c r="BH269" s="325">
        <f>IF(N269="sníž. přenesená",J269,0)</f>
        <v>0</v>
      </c>
      <c r="BI269" s="325">
        <f>IF(N269="nulová",J269,0)</f>
        <v>0</v>
      </c>
      <c r="BJ269" s="214" t="s">
        <v>81</v>
      </c>
      <c r="BK269" s="325">
        <f>ROUND(I269*H269,2)</f>
        <v>0</v>
      </c>
      <c r="BL269" s="214" t="s">
        <v>153</v>
      </c>
      <c r="BM269" s="324" t="s">
        <v>2489</v>
      </c>
    </row>
    <row r="270" spans="1:65" s="225" customFormat="1" ht="16.5" customHeight="1">
      <c r="A270" s="222"/>
      <c r="B270" s="223"/>
      <c r="C270" s="314" t="s">
        <v>212</v>
      </c>
      <c r="D270" s="314" t="s">
        <v>148</v>
      </c>
      <c r="E270" s="315" t="s">
        <v>2490</v>
      </c>
      <c r="F270" s="316" t="s">
        <v>2491</v>
      </c>
      <c r="G270" s="317" t="s">
        <v>1361</v>
      </c>
      <c r="H270" s="318">
        <v>5</v>
      </c>
      <c r="I270" s="79"/>
      <c r="J270" s="319">
        <f>ROUND(I270*H270,2)</f>
        <v>0</v>
      </c>
      <c r="K270" s="316" t="s">
        <v>1</v>
      </c>
      <c r="L270" s="223"/>
      <c r="M270" s="320" t="s">
        <v>1</v>
      </c>
      <c r="N270" s="321" t="s">
        <v>42</v>
      </c>
      <c r="O270" s="322">
        <v>0</v>
      </c>
      <c r="P270" s="322">
        <f>O270*H270</f>
        <v>0</v>
      </c>
      <c r="Q270" s="322">
        <v>0</v>
      </c>
      <c r="R270" s="322">
        <f>Q270*H270</f>
        <v>0</v>
      </c>
      <c r="S270" s="322">
        <v>0</v>
      </c>
      <c r="T270" s="323">
        <f>S270*H270</f>
        <v>0</v>
      </c>
      <c r="U270" s="222"/>
      <c r="V270" s="222"/>
      <c r="W270" s="222"/>
      <c r="X270" s="222"/>
      <c r="Y270" s="222"/>
      <c r="Z270" s="222"/>
      <c r="AA270" s="222"/>
      <c r="AB270" s="222"/>
      <c r="AC270" s="222"/>
      <c r="AD270" s="222"/>
      <c r="AE270" s="222"/>
      <c r="AR270" s="324" t="s">
        <v>153</v>
      </c>
      <c r="AT270" s="324" t="s">
        <v>148</v>
      </c>
      <c r="AU270" s="324" t="s">
        <v>83</v>
      </c>
      <c r="AY270" s="214" t="s">
        <v>146</v>
      </c>
      <c r="BE270" s="325">
        <f>IF(N270="základní",J270,0)</f>
        <v>0</v>
      </c>
      <c r="BF270" s="325">
        <f>IF(N270="snížená",J270,0)</f>
        <v>0</v>
      </c>
      <c r="BG270" s="325">
        <f>IF(N270="zákl. přenesená",J270,0)</f>
        <v>0</v>
      </c>
      <c r="BH270" s="325">
        <f>IF(N270="sníž. přenesená",J270,0)</f>
        <v>0</v>
      </c>
      <c r="BI270" s="325">
        <f>IF(N270="nulová",J270,0)</f>
        <v>0</v>
      </c>
      <c r="BJ270" s="214" t="s">
        <v>81</v>
      </c>
      <c r="BK270" s="325">
        <f>ROUND(I270*H270,2)</f>
        <v>0</v>
      </c>
      <c r="BL270" s="214" t="s">
        <v>153</v>
      </c>
      <c r="BM270" s="324" t="s">
        <v>2492</v>
      </c>
    </row>
    <row r="271" spans="1:65" s="225" customFormat="1" ht="21.75" customHeight="1">
      <c r="A271" s="222"/>
      <c r="B271" s="223"/>
      <c r="C271" s="314" t="s">
        <v>213</v>
      </c>
      <c r="D271" s="314" t="s">
        <v>148</v>
      </c>
      <c r="E271" s="315" t="s">
        <v>2493</v>
      </c>
      <c r="F271" s="316" t="s">
        <v>2494</v>
      </c>
      <c r="G271" s="317" t="s">
        <v>1361</v>
      </c>
      <c r="H271" s="318">
        <v>1</v>
      </c>
      <c r="I271" s="79"/>
      <c r="J271" s="319">
        <f>ROUND(I271*H271,2)</f>
        <v>0</v>
      </c>
      <c r="K271" s="316" t="s">
        <v>1</v>
      </c>
      <c r="L271" s="223"/>
      <c r="M271" s="320" t="s">
        <v>1</v>
      </c>
      <c r="N271" s="321" t="s">
        <v>42</v>
      </c>
      <c r="O271" s="322">
        <v>0</v>
      </c>
      <c r="P271" s="322">
        <f>O271*H271</f>
        <v>0</v>
      </c>
      <c r="Q271" s="322">
        <v>0</v>
      </c>
      <c r="R271" s="322">
        <f>Q271*H271</f>
        <v>0</v>
      </c>
      <c r="S271" s="322">
        <v>0</v>
      </c>
      <c r="T271" s="323">
        <f>S271*H271</f>
        <v>0</v>
      </c>
      <c r="U271" s="222"/>
      <c r="V271" s="222"/>
      <c r="W271" s="222"/>
      <c r="X271" s="222"/>
      <c r="Y271" s="222"/>
      <c r="Z271" s="222"/>
      <c r="AA271" s="222"/>
      <c r="AB271" s="222"/>
      <c r="AC271" s="222"/>
      <c r="AD271" s="222"/>
      <c r="AE271" s="222"/>
      <c r="AR271" s="324" t="s">
        <v>153</v>
      </c>
      <c r="AT271" s="324" t="s">
        <v>148</v>
      </c>
      <c r="AU271" s="324" t="s">
        <v>83</v>
      </c>
      <c r="AY271" s="214" t="s">
        <v>146</v>
      </c>
      <c r="BE271" s="325">
        <f>IF(N271="základní",J271,0)</f>
        <v>0</v>
      </c>
      <c r="BF271" s="325">
        <f>IF(N271="snížená",J271,0)</f>
        <v>0</v>
      </c>
      <c r="BG271" s="325">
        <f>IF(N271="zákl. přenesená",J271,0)</f>
        <v>0</v>
      </c>
      <c r="BH271" s="325">
        <f>IF(N271="sníž. přenesená",J271,0)</f>
        <v>0</v>
      </c>
      <c r="BI271" s="325">
        <f>IF(N271="nulová",J271,0)</f>
        <v>0</v>
      </c>
      <c r="BJ271" s="214" t="s">
        <v>81</v>
      </c>
      <c r="BK271" s="325">
        <f>ROUND(I271*H271,2)</f>
        <v>0</v>
      </c>
      <c r="BL271" s="214" t="s">
        <v>153</v>
      </c>
      <c r="BM271" s="324" t="s">
        <v>2495</v>
      </c>
    </row>
    <row r="272" spans="2:63" s="297" customFormat="1" ht="22.9" customHeight="1">
      <c r="B272" s="298"/>
      <c r="D272" s="299" t="s">
        <v>75</v>
      </c>
      <c r="E272" s="660" t="s">
        <v>1377</v>
      </c>
      <c r="F272" s="660" t="s">
        <v>2496</v>
      </c>
      <c r="I272" s="501"/>
      <c r="J272" s="311">
        <f>SUM(J273:J291)</f>
        <v>0</v>
      </c>
      <c r="L272" s="298"/>
      <c r="M272" s="303"/>
      <c r="N272" s="304"/>
      <c r="O272" s="304"/>
      <c r="P272" s="305">
        <f>SUM(P273:P291)</f>
        <v>0</v>
      </c>
      <c r="Q272" s="304"/>
      <c r="R272" s="305">
        <f>SUM(R273:R291)</f>
        <v>0</v>
      </c>
      <c r="S272" s="304"/>
      <c r="T272" s="313">
        <f>SUM(T273:T291)</f>
        <v>0</v>
      </c>
      <c r="AR272" s="299" t="s">
        <v>81</v>
      </c>
      <c r="AT272" s="308" t="s">
        <v>75</v>
      </c>
      <c r="AU272" s="308" t="s">
        <v>81</v>
      </c>
      <c r="AY272" s="299" t="s">
        <v>146</v>
      </c>
      <c r="BK272" s="309">
        <f>SUM(BK273:BK291)</f>
        <v>0</v>
      </c>
    </row>
    <row r="273" spans="1:65" s="225" customFormat="1" ht="37.9" customHeight="1">
      <c r="A273" s="222"/>
      <c r="B273" s="223"/>
      <c r="C273" s="314" t="s">
        <v>217</v>
      </c>
      <c r="D273" s="314" t="s">
        <v>148</v>
      </c>
      <c r="E273" s="315" t="s">
        <v>2497</v>
      </c>
      <c r="F273" s="316" t="s">
        <v>2498</v>
      </c>
      <c r="G273" s="317" t="s">
        <v>1361</v>
      </c>
      <c r="H273" s="318">
        <v>22</v>
      </c>
      <c r="I273" s="79"/>
      <c r="J273" s="319">
        <f aca="true" t="shared" si="100" ref="J273:J291">ROUND(I273*H273,2)</f>
        <v>0</v>
      </c>
      <c r="K273" s="316" t="s">
        <v>1</v>
      </c>
      <c r="L273" s="223"/>
      <c r="M273" s="320" t="s">
        <v>1</v>
      </c>
      <c r="N273" s="321" t="s">
        <v>42</v>
      </c>
      <c r="O273" s="322">
        <v>0</v>
      </c>
      <c r="P273" s="322">
        <f aca="true" t="shared" si="101" ref="P273:P291">O273*H273</f>
        <v>0</v>
      </c>
      <c r="Q273" s="322">
        <v>0</v>
      </c>
      <c r="R273" s="322">
        <f aca="true" t="shared" si="102" ref="R273:R291">Q273*H273</f>
        <v>0</v>
      </c>
      <c r="S273" s="322">
        <v>0</v>
      </c>
      <c r="T273" s="323">
        <f aca="true" t="shared" si="103" ref="T273:T291">S273*H273</f>
        <v>0</v>
      </c>
      <c r="U273" s="222"/>
      <c r="V273" s="222"/>
      <c r="W273" s="222"/>
      <c r="X273" s="222"/>
      <c r="Y273" s="222"/>
      <c r="Z273" s="222"/>
      <c r="AA273" s="222"/>
      <c r="AB273" s="222"/>
      <c r="AC273" s="222"/>
      <c r="AD273" s="222"/>
      <c r="AE273" s="222"/>
      <c r="AR273" s="324" t="s">
        <v>153</v>
      </c>
      <c r="AT273" s="324" t="s">
        <v>148</v>
      </c>
      <c r="AU273" s="324" t="s">
        <v>83</v>
      </c>
      <c r="AY273" s="214" t="s">
        <v>146</v>
      </c>
      <c r="BE273" s="325">
        <f aca="true" t="shared" si="104" ref="BE273:BE291">IF(N273="základní",J273,0)</f>
        <v>0</v>
      </c>
      <c r="BF273" s="325">
        <f aca="true" t="shared" si="105" ref="BF273:BF291">IF(N273="snížená",J273,0)</f>
        <v>0</v>
      </c>
      <c r="BG273" s="325">
        <f aca="true" t="shared" si="106" ref="BG273:BG291">IF(N273="zákl. přenesená",J273,0)</f>
        <v>0</v>
      </c>
      <c r="BH273" s="325">
        <f aca="true" t="shared" si="107" ref="BH273:BH291">IF(N273="sníž. přenesená",J273,0)</f>
        <v>0</v>
      </c>
      <c r="BI273" s="325">
        <f aca="true" t="shared" si="108" ref="BI273:BI291">IF(N273="nulová",J273,0)</f>
        <v>0</v>
      </c>
      <c r="BJ273" s="214" t="s">
        <v>81</v>
      </c>
      <c r="BK273" s="325">
        <f aca="true" t="shared" si="109" ref="BK273:BK291">ROUND(I273*H273,2)</f>
        <v>0</v>
      </c>
      <c r="BL273" s="214" t="s">
        <v>153</v>
      </c>
      <c r="BM273" s="324" t="s">
        <v>2499</v>
      </c>
    </row>
    <row r="274" spans="1:65" s="225" customFormat="1" ht="37.9" customHeight="1">
      <c r="A274" s="222"/>
      <c r="B274" s="223"/>
      <c r="C274" s="314" t="s">
        <v>222</v>
      </c>
      <c r="D274" s="314" t="s">
        <v>148</v>
      </c>
      <c r="E274" s="315" t="s">
        <v>2500</v>
      </c>
      <c r="F274" s="316" t="s">
        <v>2501</v>
      </c>
      <c r="G274" s="317" t="s">
        <v>1361</v>
      </c>
      <c r="H274" s="318">
        <v>12</v>
      </c>
      <c r="I274" s="79"/>
      <c r="J274" s="319">
        <f t="shared" si="100"/>
        <v>0</v>
      </c>
      <c r="K274" s="316" t="s">
        <v>1</v>
      </c>
      <c r="L274" s="223"/>
      <c r="M274" s="320" t="s">
        <v>1</v>
      </c>
      <c r="N274" s="321" t="s">
        <v>42</v>
      </c>
      <c r="O274" s="322">
        <v>0</v>
      </c>
      <c r="P274" s="322">
        <f t="shared" si="101"/>
        <v>0</v>
      </c>
      <c r="Q274" s="322">
        <v>0</v>
      </c>
      <c r="R274" s="322">
        <f t="shared" si="102"/>
        <v>0</v>
      </c>
      <c r="S274" s="322">
        <v>0</v>
      </c>
      <c r="T274" s="323">
        <f t="shared" si="103"/>
        <v>0</v>
      </c>
      <c r="U274" s="222"/>
      <c r="V274" s="222"/>
      <c r="W274" s="222"/>
      <c r="X274" s="222"/>
      <c r="Y274" s="222"/>
      <c r="Z274" s="222"/>
      <c r="AA274" s="222"/>
      <c r="AB274" s="222"/>
      <c r="AC274" s="222"/>
      <c r="AD274" s="222"/>
      <c r="AE274" s="222"/>
      <c r="AR274" s="324" t="s">
        <v>153</v>
      </c>
      <c r="AT274" s="324" t="s">
        <v>148</v>
      </c>
      <c r="AU274" s="324" t="s">
        <v>83</v>
      </c>
      <c r="AY274" s="214" t="s">
        <v>146</v>
      </c>
      <c r="BE274" s="325">
        <f t="shared" si="104"/>
        <v>0</v>
      </c>
      <c r="BF274" s="325">
        <f t="shared" si="105"/>
        <v>0</v>
      </c>
      <c r="BG274" s="325">
        <f t="shared" si="106"/>
        <v>0</v>
      </c>
      <c r="BH274" s="325">
        <f t="shared" si="107"/>
        <v>0</v>
      </c>
      <c r="BI274" s="325">
        <f t="shared" si="108"/>
        <v>0</v>
      </c>
      <c r="BJ274" s="214" t="s">
        <v>81</v>
      </c>
      <c r="BK274" s="325">
        <f t="shared" si="109"/>
        <v>0</v>
      </c>
      <c r="BL274" s="214" t="s">
        <v>153</v>
      </c>
      <c r="BM274" s="324" t="s">
        <v>2502</v>
      </c>
    </row>
    <row r="275" spans="1:65" s="225" customFormat="1" ht="44.25" customHeight="1">
      <c r="A275" s="222"/>
      <c r="B275" s="223"/>
      <c r="C275" s="314" t="s">
        <v>228</v>
      </c>
      <c r="D275" s="314" t="s">
        <v>148</v>
      </c>
      <c r="E275" s="315" t="s">
        <v>2503</v>
      </c>
      <c r="F275" s="316" t="s">
        <v>2504</v>
      </c>
      <c r="G275" s="317" t="s">
        <v>1361</v>
      </c>
      <c r="H275" s="318">
        <v>5</v>
      </c>
      <c r="I275" s="79"/>
      <c r="J275" s="319">
        <f t="shared" si="100"/>
        <v>0</v>
      </c>
      <c r="K275" s="316" t="s">
        <v>1</v>
      </c>
      <c r="L275" s="223"/>
      <c r="M275" s="320" t="s">
        <v>1</v>
      </c>
      <c r="N275" s="321" t="s">
        <v>42</v>
      </c>
      <c r="O275" s="322">
        <v>0</v>
      </c>
      <c r="P275" s="322">
        <f t="shared" si="101"/>
        <v>0</v>
      </c>
      <c r="Q275" s="322">
        <v>0</v>
      </c>
      <c r="R275" s="322">
        <f t="shared" si="102"/>
        <v>0</v>
      </c>
      <c r="S275" s="322">
        <v>0</v>
      </c>
      <c r="T275" s="323">
        <f t="shared" si="103"/>
        <v>0</v>
      </c>
      <c r="U275" s="222"/>
      <c r="V275" s="222"/>
      <c r="W275" s="222"/>
      <c r="X275" s="222"/>
      <c r="Y275" s="222"/>
      <c r="Z275" s="222"/>
      <c r="AA275" s="222"/>
      <c r="AB275" s="222"/>
      <c r="AC275" s="222"/>
      <c r="AD275" s="222"/>
      <c r="AE275" s="222"/>
      <c r="AR275" s="324" t="s">
        <v>153</v>
      </c>
      <c r="AT275" s="324" t="s">
        <v>148</v>
      </c>
      <c r="AU275" s="324" t="s">
        <v>83</v>
      </c>
      <c r="AY275" s="214" t="s">
        <v>146</v>
      </c>
      <c r="BE275" s="325">
        <f t="shared" si="104"/>
        <v>0</v>
      </c>
      <c r="BF275" s="325">
        <f t="shared" si="105"/>
        <v>0</v>
      </c>
      <c r="BG275" s="325">
        <f t="shared" si="106"/>
        <v>0</v>
      </c>
      <c r="BH275" s="325">
        <f t="shared" si="107"/>
        <v>0</v>
      </c>
      <c r="BI275" s="325">
        <f t="shared" si="108"/>
        <v>0</v>
      </c>
      <c r="BJ275" s="214" t="s">
        <v>81</v>
      </c>
      <c r="BK275" s="325">
        <f t="shared" si="109"/>
        <v>0</v>
      </c>
      <c r="BL275" s="214" t="s">
        <v>153</v>
      </c>
      <c r="BM275" s="324" t="s">
        <v>2505</v>
      </c>
    </row>
    <row r="276" spans="1:65" s="225" customFormat="1" ht="24.2" customHeight="1">
      <c r="A276" s="222"/>
      <c r="B276" s="223"/>
      <c r="C276" s="314" t="s">
        <v>7</v>
      </c>
      <c r="D276" s="314" t="s">
        <v>148</v>
      </c>
      <c r="E276" s="315" t="s">
        <v>2506</v>
      </c>
      <c r="F276" s="316" t="s">
        <v>2507</v>
      </c>
      <c r="G276" s="317" t="s">
        <v>1361</v>
      </c>
      <c r="H276" s="318">
        <v>24</v>
      </c>
      <c r="I276" s="79"/>
      <c r="J276" s="319">
        <f t="shared" si="100"/>
        <v>0</v>
      </c>
      <c r="K276" s="316" t="s">
        <v>1</v>
      </c>
      <c r="L276" s="223"/>
      <c r="M276" s="320" t="s">
        <v>1</v>
      </c>
      <c r="N276" s="321" t="s">
        <v>42</v>
      </c>
      <c r="O276" s="322">
        <v>0</v>
      </c>
      <c r="P276" s="322">
        <f t="shared" si="101"/>
        <v>0</v>
      </c>
      <c r="Q276" s="322">
        <v>0</v>
      </c>
      <c r="R276" s="322">
        <f t="shared" si="102"/>
        <v>0</v>
      </c>
      <c r="S276" s="322">
        <v>0</v>
      </c>
      <c r="T276" s="323">
        <f t="shared" si="103"/>
        <v>0</v>
      </c>
      <c r="U276" s="222"/>
      <c r="V276" s="222"/>
      <c r="W276" s="222"/>
      <c r="X276" s="222"/>
      <c r="Y276" s="222"/>
      <c r="Z276" s="222"/>
      <c r="AA276" s="222"/>
      <c r="AB276" s="222"/>
      <c r="AC276" s="222"/>
      <c r="AD276" s="222"/>
      <c r="AE276" s="222"/>
      <c r="AR276" s="324" t="s">
        <v>153</v>
      </c>
      <c r="AT276" s="324" t="s">
        <v>148</v>
      </c>
      <c r="AU276" s="324" t="s">
        <v>83</v>
      </c>
      <c r="AY276" s="214" t="s">
        <v>146</v>
      </c>
      <c r="BE276" s="325">
        <f t="shared" si="104"/>
        <v>0</v>
      </c>
      <c r="BF276" s="325">
        <f t="shared" si="105"/>
        <v>0</v>
      </c>
      <c r="BG276" s="325">
        <f t="shared" si="106"/>
        <v>0</v>
      </c>
      <c r="BH276" s="325">
        <f t="shared" si="107"/>
        <v>0</v>
      </c>
      <c r="BI276" s="325">
        <f t="shared" si="108"/>
        <v>0</v>
      </c>
      <c r="BJ276" s="214" t="s">
        <v>81</v>
      </c>
      <c r="BK276" s="325">
        <f t="shared" si="109"/>
        <v>0</v>
      </c>
      <c r="BL276" s="214" t="s">
        <v>153</v>
      </c>
      <c r="BM276" s="324" t="s">
        <v>2508</v>
      </c>
    </row>
    <row r="277" spans="1:65" s="225" customFormat="1" ht="24.2" customHeight="1">
      <c r="A277" s="222"/>
      <c r="B277" s="223"/>
      <c r="C277" s="314" t="s">
        <v>237</v>
      </c>
      <c r="D277" s="314" t="s">
        <v>148</v>
      </c>
      <c r="E277" s="315" t="s">
        <v>2509</v>
      </c>
      <c r="F277" s="316" t="s">
        <v>2510</v>
      </c>
      <c r="G277" s="317" t="s">
        <v>1361</v>
      </c>
      <c r="H277" s="318">
        <v>28</v>
      </c>
      <c r="I277" s="79"/>
      <c r="J277" s="319">
        <f t="shared" si="100"/>
        <v>0</v>
      </c>
      <c r="K277" s="316" t="s">
        <v>1</v>
      </c>
      <c r="L277" s="223"/>
      <c r="M277" s="320" t="s">
        <v>1</v>
      </c>
      <c r="N277" s="321" t="s">
        <v>42</v>
      </c>
      <c r="O277" s="322">
        <v>0</v>
      </c>
      <c r="P277" s="322">
        <f t="shared" si="101"/>
        <v>0</v>
      </c>
      <c r="Q277" s="322">
        <v>0</v>
      </c>
      <c r="R277" s="322">
        <f t="shared" si="102"/>
        <v>0</v>
      </c>
      <c r="S277" s="322">
        <v>0</v>
      </c>
      <c r="T277" s="323">
        <f t="shared" si="103"/>
        <v>0</v>
      </c>
      <c r="U277" s="222"/>
      <c r="V277" s="222"/>
      <c r="W277" s="222"/>
      <c r="X277" s="222"/>
      <c r="Y277" s="222"/>
      <c r="Z277" s="222"/>
      <c r="AA277" s="222"/>
      <c r="AB277" s="222"/>
      <c r="AC277" s="222"/>
      <c r="AD277" s="222"/>
      <c r="AE277" s="222"/>
      <c r="AR277" s="324" t="s">
        <v>153</v>
      </c>
      <c r="AT277" s="324" t="s">
        <v>148</v>
      </c>
      <c r="AU277" s="324" t="s">
        <v>83</v>
      </c>
      <c r="AY277" s="214" t="s">
        <v>146</v>
      </c>
      <c r="BE277" s="325">
        <f t="shared" si="104"/>
        <v>0</v>
      </c>
      <c r="BF277" s="325">
        <f t="shared" si="105"/>
        <v>0</v>
      </c>
      <c r="BG277" s="325">
        <f t="shared" si="106"/>
        <v>0</v>
      </c>
      <c r="BH277" s="325">
        <f t="shared" si="107"/>
        <v>0</v>
      </c>
      <c r="BI277" s="325">
        <f t="shared" si="108"/>
        <v>0</v>
      </c>
      <c r="BJ277" s="214" t="s">
        <v>81</v>
      </c>
      <c r="BK277" s="325">
        <f t="shared" si="109"/>
        <v>0</v>
      </c>
      <c r="BL277" s="214" t="s">
        <v>153</v>
      </c>
      <c r="BM277" s="324" t="s">
        <v>2511</v>
      </c>
    </row>
    <row r="278" spans="1:65" s="225" customFormat="1" ht="24.2" customHeight="1">
      <c r="A278" s="222"/>
      <c r="B278" s="223"/>
      <c r="C278" s="314" t="s">
        <v>241</v>
      </c>
      <c r="D278" s="314" t="s">
        <v>148</v>
      </c>
      <c r="E278" s="315" t="s">
        <v>2512</v>
      </c>
      <c r="F278" s="316" t="s">
        <v>2513</v>
      </c>
      <c r="G278" s="317" t="s">
        <v>1361</v>
      </c>
      <c r="H278" s="318">
        <v>3</v>
      </c>
      <c r="I278" s="79"/>
      <c r="J278" s="319">
        <f t="shared" si="100"/>
        <v>0</v>
      </c>
      <c r="K278" s="316" t="s">
        <v>1</v>
      </c>
      <c r="L278" s="223"/>
      <c r="M278" s="320" t="s">
        <v>1</v>
      </c>
      <c r="N278" s="321" t="s">
        <v>42</v>
      </c>
      <c r="O278" s="322">
        <v>0</v>
      </c>
      <c r="P278" s="322">
        <f t="shared" si="101"/>
        <v>0</v>
      </c>
      <c r="Q278" s="322">
        <v>0</v>
      </c>
      <c r="R278" s="322">
        <f t="shared" si="102"/>
        <v>0</v>
      </c>
      <c r="S278" s="322">
        <v>0</v>
      </c>
      <c r="T278" s="323">
        <f t="shared" si="103"/>
        <v>0</v>
      </c>
      <c r="U278" s="222"/>
      <c r="V278" s="222"/>
      <c r="W278" s="222"/>
      <c r="X278" s="222"/>
      <c r="Y278" s="222"/>
      <c r="Z278" s="222"/>
      <c r="AA278" s="222"/>
      <c r="AB278" s="222"/>
      <c r="AC278" s="222"/>
      <c r="AD278" s="222"/>
      <c r="AE278" s="222"/>
      <c r="AR278" s="324" t="s">
        <v>153</v>
      </c>
      <c r="AT278" s="324" t="s">
        <v>148</v>
      </c>
      <c r="AU278" s="324" t="s">
        <v>83</v>
      </c>
      <c r="AY278" s="214" t="s">
        <v>146</v>
      </c>
      <c r="BE278" s="325">
        <f t="shared" si="104"/>
        <v>0</v>
      </c>
      <c r="BF278" s="325">
        <f t="shared" si="105"/>
        <v>0</v>
      </c>
      <c r="BG278" s="325">
        <f t="shared" si="106"/>
        <v>0</v>
      </c>
      <c r="BH278" s="325">
        <f t="shared" si="107"/>
        <v>0</v>
      </c>
      <c r="BI278" s="325">
        <f t="shared" si="108"/>
        <v>0</v>
      </c>
      <c r="BJ278" s="214" t="s">
        <v>81</v>
      </c>
      <c r="BK278" s="325">
        <f t="shared" si="109"/>
        <v>0</v>
      </c>
      <c r="BL278" s="214" t="s">
        <v>153</v>
      </c>
      <c r="BM278" s="324" t="s">
        <v>2514</v>
      </c>
    </row>
    <row r="279" spans="1:65" s="225" customFormat="1" ht="24.2" customHeight="1">
      <c r="A279" s="222"/>
      <c r="B279" s="223"/>
      <c r="C279" s="314" t="s">
        <v>253</v>
      </c>
      <c r="D279" s="314" t="s">
        <v>148</v>
      </c>
      <c r="E279" s="315" t="s">
        <v>2515</v>
      </c>
      <c r="F279" s="316" t="s">
        <v>2516</v>
      </c>
      <c r="G279" s="317" t="s">
        <v>1361</v>
      </c>
      <c r="H279" s="318">
        <v>6</v>
      </c>
      <c r="I279" s="79"/>
      <c r="J279" s="319">
        <f t="shared" si="100"/>
        <v>0</v>
      </c>
      <c r="K279" s="316" t="s">
        <v>1</v>
      </c>
      <c r="L279" s="223"/>
      <c r="M279" s="320" t="s">
        <v>1</v>
      </c>
      <c r="N279" s="321" t="s">
        <v>42</v>
      </c>
      <c r="O279" s="322">
        <v>0</v>
      </c>
      <c r="P279" s="322">
        <f t="shared" si="101"/>
        <v>0</v>
      </c>
      <c r="Q279" s="322">
        <v>0</v>
      </c>
      <c r="R279" s="322">
        <f t="shared" si="102"/>
        <v>0</v>
      </c>
      <c r="S279" s="322">
        <v>0</v>
      </c>
      <c r="T279" s="323">
        <f t="shared" si="103"/>
        <v>0</v>
      </c>
      <c r="U279" s="222"/>
      <c r="V279" s="222"/>
      <c r="W279" s="222"/>
      <c r="X279" s="222"/>
      <c r="Y279" s="222"/>
      <c r="Z279" s="222"/>
      <c r="AA279" s="222"/>
      <c r="AB279" s="222"/>
      <c r="AC279" s="222"/>
      <c r="AD279" s="222"/>
      <c r="AE279" s="222"/>
      <c r="AR279" s="324" t="s">
        <v>153</v>
      </c>
      <c r="AT279" s="324" t="s">
        <v>148</v>
      </c>
      <c r="AU279" s="324" t="s">
        <v>83</v>
      </c>
      <c r="AY279" s="214" t="s">
        <v>146</v>
      </c>
      <c r="BE279" s="325">
        <f t="shared" si="104"/>
        <v>0</v>
      </c>
      <c r="BF279" s="325">
        <f t="shared" si="105"/>
        <v>0</v>
      </c>
      <c r="BG279" s="325">
        <f t="shared" si="106"/>
        <v>0</v>
      </c>
      <c r="BH279" s="325">
        <f t="shared" si="107"/>
        <v>0</v>
      </c>
      <c r="BI279" s="325">
        <f t="shared" si="108"/>
        <v>0</v>
      </c>
      <c r="BJ279" s="214" t="s">
        <v>81</v>
      </c>
      <c r="BK279" s="325">
        <f t="shared" si="109"/>
        <v>0</v>
      </c>
      <c r="BL279" s="214" t="s">
        <v>153</v>
      </c>
      <c r="BM279" s="324" t="s">
        <v>2517</v>
      </c>
    </row>
    <row r="280" spans="1:65" s="225" customFormat="1" ht="37.9" customHeight="1">
      <c r="A280" s="222"/>
      <c r="B280" s="223"/>
      <c r="C280" s="314" t="s">
        <v>257</v>
      </c>
      <c r="D280" s="314" t="s">
        <v>148</v>
      </c>
      <c r="E280" s="315" t="s">
        <v>2518</v>
      </c>
      <c r="F280" s="316" t="s">
        <v>2519</v>
      </c>
      <c r="G280" s="317" t="s">
        <v>1361</v>
      </c>
      <c r="H280" s="318">
        <v>12</v>
      </c>
      <c r="I280" s="79"/>
      <c r="J280" s="319">
        <f t="shared" si="100"/>
        <v>0</v>
      </c>
      <c r="K280" s="316" t="s">
        <v>1</v>
      </c>
      <c r="L280" s="223"/>
      <c r="M280" s="320" t="s">
        <v>1</v>
      </c>
      <c r="N280" s="321" t="s">
        <v>42</v>
      </c>
      <c r="O280" s="322">
        <v>0</v>
      </c>
      <c r="P280" s="322">
        <f t="shared" si="101"/>
        <v>0</v>
      </c>
      <c r="Q280" s="322">
        <v>0</v>
      </c>
      <c r="R280" s="322">
        <f t="shared" si="102"/>
        <v>0</v>
      </c>
      <c r="S280" s="322">
        <v>0</v>
      </c>
      <c r="T280" s="323">
        <f t="shared" si="103"/>
        <v>0</v>
      </c>
      <c r="U280" s="222"/>
      <c r="V280" s="222"/>
      <c r="W280" s="222"/>
      <c r="X280" s="222"/>
      <c r="Y280" s="222"/>
      <c r="Z280" s="222"/>
      <c r="AA280" s="222"/>
      <c r="AB280" s="222"/>
      <c r="AC280" s="222"/>
      <c r="AD280" s="222"/>
      <c r="AE280" s="222"/>
      <c r="AR280" s="324" t="s">
        <v>153</v>
      </c>
      <c r="AT280" s="324" t="s">
        <v>148</v>
      </c>
      <c r="AU280" s="324" t="s">
        <v>83</v>
      </c>
      <c r="AY280" s="214" t="s">
        <v>146</v>
      </c>
      <c r="BE280" s="325">
        <f t="shared" si="104"/>
        <v>0</v>
      </c>
      <c r="BF280" s="325">
        <f t="shared" si="105"/>
        <v>0</v>
      </c>
      <c r="BG280" s="325">
        <f t="shared" si="106"/>
        <v>0</v>
      </c>
      <c r="BH280" s="325">
        <f t="shared" si="107"/>
        <v>0</v>
      </c>
      <c r="BI280" s="325">
        <f t="shared" si="108"/>
        <v>0</v>
      </c>
      <c r="BJ280" s="214" t="s">
        <v>81</v>
      </c>
      <c r="BK280" s="325">
        <f t="shared" si="109"/>
        <v>0</v>
      </c>
      <c r="BL280" s="214" t="s">
        <v>153</v>
      </c>
      <c r="BM280" s="324" t="s">
        <v>2520</v>
      </c>
    </row>
    <row r="281" spans="1:65" s="225" customFormat="1" ht="49.15" customHeight="1">
      <c r="A281" s="222"/>
      <c r="B281" s="223"/>
      <c r="C281" s="314" t="s">
        <v>261</v>
      </c>
      <c r="D281" s="314" t="s">
        <v>148</v>
      </c>
      <c r="E281" s="315" t="s">
        <v>2521</v>
      </c>
      <c r="F281" s="316" t="s">
        <v>2522</v>
      </c>
      <c r="G281" s="317" t="s">
        <v>1361</v>
      </c>
      <c r="H281" s="318">
        <v>11</v>
      </c>
      <c r="I281" s="79"/>
      <c r="J281" s="319">
        <f t="shared" si="100"/>
        <v>0</v>
      </c>
      <c r="K281" s="316" t="s">
        <v>1</v>
      </c>
      <c r="L281" s="223"/>
      <c r="M281" s="320" t="s">
        <v>1</v>
      </c>
      <c r="N281" s="321" t="s">
        <v>42</v>
      </c>
      <c r="O281" s="322">
        <v>0</v>
      </c>
      <c r="P281" s="322">
        <f t="shared" si="101"/>
        <v>0</v>
      </c>
      <c r="Q281" s="322">
        <v>0</v>
      </c>
      <c r="R281" s="322">
        <f t="shared" si="102"/>
        <v>0</v>
      </c>
      <c r="S281" s="322">
        <v>0</v>
      </c>
      <c r="T281" s="323">
        <f t="shared" si="103"/>
        <v>0</v>
      </c>
      <c r="U281" s="222"/>
      <c r="V281" s="222"/>
      <c r="W281" s="222"/>
      <c r="X281" s="222"/>
      <c r="Y281" s="222"/>
      <c r="Z281" s="222"/>
      <c r="AA281" s="222"/>
      <c r="AB281" s="222"/>
      <c r="AC281" s="222"/>
      <c r="AD281" s="222"/>
      <c r="AE281" s="222"/>
      <c r="AR281" s="324" t="s">
        <v>153</v>
      </c>
      <c r="AT281" s="324" t="s">
        <v>148</v>
      </c>
      <c r="AU281" s="324" t="s">
        <v>83</v>
      </c>
      <c r="AY281" s="214" t="s">
        <v>146</v>
      </c>
      <c r="BE281" s="325">
        <f t="shared" si="104"/>
        <v>0</v>
      </c>
      <c r="BF281" s="325">
        <f t="shared" si="105"/>
        <v>0</v>
      </c>
      <c r="BG281" s="325">
        <f t="shared" si="106"/>
        <v>0</v>
      </c>
      <c r="BH281" s="325">
        <f t="shared" si="107"/>
        <v>0</v>
      </c>
      <c r="BI281" s="325">
        <f t="shared" si="108"/>
        <v>0</v>
      </c>
      <c r="BJ281" s="214" t="s">
        <v>81</v>
      </c>
      <c r="BK281" s="325">
        <f t="shared" si="109"/>
        <v>0</v>
      </c>
      <c r="BL281" s="214" t="s">
        <v>153</v>
      </c>
      <c r="BM281" s="324" t="s">
        <v>2523</v>
      </c>
    </row>
    <row r="282" spans="1:65" s="225" customFormat="1" ht="24.2" customHeight="1">
      <c r="A282" s="222"/>
      <c r="B282" s="223"/>
      <c r="C282" s="314" t="s">
        <v>265</v>
      </c>
      <c r="D282" s="314" t="s">
        <v>148</v>
      </c>
      <c r="E282" s="315" t="s">
        <v>2524</v>
      </c>
      <c r="F282" s="316" t="s">
        <v>2525</v>
      </c>
      <c r="G282" s="317" t="s">
        <v>1361</v>
      </c>
      <c r="H282" s="318">
        <v>3</v>
      </c>
      <c r="I282" s="79"/>
      <c r="J282" s="319">
        <f t="shared" si="100"/>
        <v>0</v>
      </c>
      <c r="K282" s="316" t="s">
        <v>1</v>
      </c>
      <c r="L282" s="223"/>
      <c r="M282" s="320" t="s">
        <v>1</v>
      </c>
      <c r="N282" s="321" t="s">
        <v>42</v>
      </c>
      <c r="O282" s="322">
        <v>0</v>
      </c>
      <c r="P282" s="322">
        <f t="shared" si="101"/>
        <v>0</v>
      </c>
      <c r="Q282" s="322">
        <v>0</v>
      </c>
      <c r="R282" s="322">
        <f t="shared" si="102"/>
        <v>0</v>
      </c>
      <c r="S282" s="322">
        <v>0</v>
      </c>
      <c r="T282" s="323">
        <f t="shared" si="103"/>
        <v>0</v>
      </c>
      <c r="U282" s="222"/>
      <c r="V282" s="222"/>
      <c r="W282" s="222"/>
      <c r="X282" s="222"/>
      <c r="Y282" s="222"/>
      <c r="Z282" s="222"/>
      <c r="AA282" s="222"/>
      <c r="AB282" s="222"/>
      <c r="AC282" s="222"/>
      <c r="AD282" s="222"/>
      <c r="AE282" s="222"/>
      <c r="AR282" s="324" t="s">
        <v>153</v>
      </c>
      <c r="AT282" s="324" t="s">
        <v>148</v>
      </c>
      <c r="AU282" s="324" t="s">
        <v>83</v>
      </c>
      <c r="AY282" s="214" t="s">
        <v>146</v>
      </c>
      <c r="BE282" s="325">
        <f t="shared" si="104"/>
        <v>0</v>
      </c>
      <c r="BF282" s="325">
        <f t="shared" si="105"/>
        <v>0</v>
      </c>
      <c r="BG282" s="325">
        <f t="shared" si="106"/>
        <v>0</v>
      </c>
      <c r="BH282" s="325">
        <f t="shared" si="107"/>
        <v>0</v>
      </c>
      <c r="BI282" s="325">
        <f t="shared" si="108"/>
        <v>0</v>
      </c>
      <c r="BJ282" s="214" t="s">
        <v>81</v>
      </c>
      <c r="BK282" s="325">
        <f t="shared" si="109"/>
        <v>0</v>
      </c>
      <c r="BL282" s="214" t="s">
        <v>153</v>
      </c>
      <c r="BM282" s="324" t="s">
        <v>2526</v>
      </c>
    </row>
    <row r="283" spans="1:65" s="225" customFormat="1" ht="37.9" customHeight="1">
      <c r="A283" s="222"/>
      <c r="B283" s="223"/>
      <c r="C283" s="314" t="s">
        <v>269</v>
      </c>
      <c r="D283" s="314" t="s">
        <v>148</v>
      </c>
      <c r="E283" s="315" t="s">
        <v>2527</v>
      </c>
      <c r="F283" s="316" t="s">
        <v>2528</v>
      </c>
      <c r="G283" s="317" t="s">
        <v>1361</v>
      </c>
      <c r="H283" s="318">
        <v>3</v>
      </c>
      <c r="I283" s="79"/>
      <c r="J283" s="319">
        <f t="shared" si="100"/>
        <v>0</v>
      </c>
      <c r="K283" s="316" t="s">
        <v>1</v>
      </c>
      <c r="L283" s="223"/>
      <c r="M283" s="320" t="s">
        <v>1</v>
      </c>
      <c r="N283" s="321" t="s">
        <v>42</v>
      </c>
      <c r="O283" s="322">
        <v>0</v>
      </c>
      <c r="P283" s="322">
        <f t="shared" si="101"/>
        <v>0</v>
      </c>
      <c r="Q283" s="322">
        <v>0</v>
      </c>
      <c r="R283" s="322">
        <f t="shared" si="102"/>
        <v>0</v>
      </c>
      <c r="S283" s="322">
        <v>0</v>
      </c>
      <c r="T283" s="323">
        <f t="shared" si="103"/>
        <v>0</v>
      </c>
      <c r="U283" s="222"/>
      <c r="V283" s="222"/>
      <c r="W283" s="222"/>
      <c r="X283" s="222"/>
      <c r="Y283" s="222"/>
      <c r="Z283" s="222"/>
      <c r="AA283" s="222"/>
      <c r="AB283" s="222"/>
      <c r="AC283" s="222"/>
      <c r="AD283" s="222"/>
      <c r="AE283" s="222"/>
      <c r="AR283" s="324" t="s">
        <v>153</v>
      </c>
      <c r="AT283" s="324" t="s">
        <v>148</v>
      </c>
      <c r="AU283" s="324" t="s">
        <v>83</v>
      </c>
      <c r="AY283" s="214" t="s">
        <v>146</v>
      </c>
      <c r="BE283" s="325">
        <f t="shared" si="104"/>
        <v>0</v>
      </c>
      <c r="BF283" s="325">
        <f t="shared" si="105"/>
        <v>0</v>
      </c>
      <c r="BG283" s="325">
        <f t="shared" si="106"/>
        <v>0</v>
      </c>
      <c r="BH283" s="325">
        <f t="shared" si="107"/>
        <v>0</v>
      </c>
      <c r="BI283" s="325">
        <f t="shared" si="108"/>
        <v>0</v>
      </c>
      <c r="BJ283" s="214" t="s">
        <v>81</v>
      </c>
      <c r="BK283" s="325">
        <f t="shared" si="109"/>
        <v>0</v>
      </c>
      <c r="BL283" s="214" t="s">
        <v>153</v>
      </c>
      <c r="BM283" s="324" t="s">
        <v>2529</v>
      </c>
    </row>
    <row r="284" spans="1:65" s="225" customFormat="1" ht="24.2" customHeight="1">
      <c r="A284" s="222"/>
      <c r="B284" s="223"/>
      <c r="C284" s="314" t="s">
        <v>274</v>
      </c>
      <c r="D284" s="314" t="s">
        <v>148</v>
      </c>
      <c r="E284" s="315" t="s">
        <v>2530</v>
      </c>
      <c r="F284" s="316" t="s">
        <v>2531</v>
      </c>
      <c r="G284" s="317" t="s">
        <v>1361</v>
      </c>
      <c r="H284" s="318">
        <v>3</v>
      </c>
      <c r="I284" s="79"/>
      <c r="J284" s="319">
        <f t="shared" si="100"/>
        <v>0</v>
      </c>
      <c r="K284" s="316" t="s">
        <v>1</v>
      </c>
      <c r="L284" s="223"/>
      <c r="M284" s="320" t="s">
        <v>1</v>
      </c>
      <c r="N284" s="321" t="s">
        <v>42</v>
      </c>
      <c r="O284" s="322">
        <v>0</v>
      </c>
      <c r="P284" s="322">
        <f t="shared" si="101"/>
        <v>0</v>
      </c>
      <c r="Q284" s="322">
        <v>0</v>
      </c>
      <c r="R284" s="322">
        <f t="shared" si="102"/>
        <v>0</v>
      </c>
      <c r="S284" s="322">
        <v>0</v>
      </c>
      <c r="T284" s="323">
        <f t="shared" si="103"/>
        <v>0</v>
      </c>
      <c r="U284" s="222"/>
      <c r="V284" s="222"/>
      <c r="W284" s="222"/>
      <c r="X284" s="222"/>
      <c r="Y284" s="222"/>
      <c r="Z284" s="222"/>
      <c r="AA284" s="222"/>
      <c r="AB284" s="222"/>
      <c r="AC284" s="222"/>
      <c r="AD284" s="222"/>
      <c r="AE284" s="222"/>
      <c r="AR284" s="324" t="s">
        <v>153</v>
      </c>
      <c r="AT284" s="324" t="s">
        <v>148</v>
      </c>
      <c r="AU284" s="324" t="s">
        <v>83</v>
      </c>
      <c r="AY284" s="214" t="s">
        <v>146</v>
      </c>
      <c r="BE284" s="325">
        <f t="shared" si="104"/>
        <v>0</v>
      </c>
      <c r="BF284" s="325">
        <f t="shared" si="105"/>
        <v>0</v>
      </c>
      <c r="BG284" s="325">
        <f t="shared" si="106"/>
        <v>0</v>
      </c>
      <c r="BH284" s="325">
        <f t="shared" si="107"/>
        <v>0</v>
      </c>
      <c r="BI284" s="325">
        <f t="shared" si="108"/>
        <v>0</v>
      </c>
      <c r="BJ284" s="214" t="s">
        <v>81</v>
      </c>
      <c r="BK284" s="325">
        <f t="shared" si="109"/>
        <v>0</v>
      </c>
      <c r="BL284" s="214" t="s">
        <v>153</v>
      </c>
      <c r="BM284" s="324" t="s">
        <v>2532</v>
      </c>
    </row>
    <row r="285" spans="1:65" s="225" customFormat="1" ht="24.2" customHeight="1">
      <c r="A285" s="222"/>
      <c r="B285" s="223"/>
      <c r="C285" s="314" t="s">
        <v>287</v>
      </c>
      <c r="D285" s="314" t="s">
        <v>148</v>
      </c>
      <c r="E285" s="315" t="s">
        <v>2533</v>
      </c>
      <c r="F285" s="316" t="s">
        <v>2534</v>
      </c>
      <c r="G285" s="317" t="s">
        <v>1361</v>
      </c>
      <c r="H285" s="318">
        <v>8</v>
      </c>
      <c r="I285" s="79"/>
      <c r="J285" s="319">
        <f t="shared" si="100"/>
        <v>0</v>
      </c>
      <c r="K285" s="316" t="s">
        <v>1</v>
      </c>
      <c r="L285" s="223"/>
      <c r="M285" s="320" t="s">
        <v>1</v>
      </c>
      <c r="N285" s="321" t="s">
        <v>42</v>
      </c>
      <c r="O285" s="322">
        <v>0</v>
      </c>
      <c r="P285" s="322">
        <f t="shared" si="101"/>
        <v>0</v>
      </c>
      <c r="Q285" s="322">
        <v>0</v>
      </c>
      <c r="R285" s="322">
        <f t="shared" si="102"/>
        <v>0</v>
      </c>
      <c r="S285" s="322">
        <v>0</v>
      </c>
      <c r="T285" s="323">
        <f t="shared" si="103"/>
        <v>0</v>
      </c>
      <c r="U285" s="222"/>
      <c r="V285" s="222"/>
      <c r="W285" s="222"/>
      <c r="X285" s="222"/>
      <c r="Y285" s="222"/>
      <c r="Z285" s="222"/>
      <c r="AA285" s="222"/>
      <c r="AB285" s="222"/>
      <c r="AC285" s="222"/>
      <c r="AD285" s="222"/>
      <c r="AE285" s="222"/>
      <c r="AR285" s="324" t="s">
        <v>153</v>
      </c>
      <c r="AT285" s="324" t="s">
        <v>148</v>
      </c>
      <c r="AU285" s="324" t="s">
        <v>83</v>
      </c>
      <c r="AY285" s="214" t="s">
        <v>146</v>
      </c>
      <c r="BE285" s="325">
        <f t="shared" si="104"/>
        <v>0</v>
      </c>
      <c r="BF285" s="325">
        <f t="shared" si="105"/>
        <v>0</v>
      </c>
      <c r="BG285" s="325">
        <f t="shared" si="106"/>
        <v>0</v>
      </c>
      <c r="BH285" s="325">
        <f t="shared" si="107"/>
        <v>0</v>
      </c>
      <c r="BI285" s="325">
        <f t="shared" si="108"/>
        <v>0</v>
      </c>
      <c r="BJ285" s="214" t="s">
        <v>81</v>
      </c>
      <c r="BK285" s="325">
        <f t="shared" si="109"/>
        <v>0</v>
      </c>
      <c r="BL285" s="214" t="s">
        <v>153</v>
      </c>
      <c r="BM285" s="324" t="s">
        <v>2535</v>
      </c>
    </row>
    <row r="286" spans="1:65" s="225" customFormat="1" ht="24.2" customHeight="1">
      <c r="A286" s="222"/>
      <c r="B286" s="223"/>
      <c r="C286" s="314" t="s">
        <v>293</v>
      </c>
      <c r="D286" s="314" t="s">
        <v>148</v>
      </c>
      <c r="E286" s="315" t="s">
        <v>2536</v>
      </c>
      <c r="F286" s="316" t="s">
        <v>2537</v>
      </c>
      <c r="G286" s="317" t="s">
        <v>1361</v>
      </c>
      <c r="H286" s="318">
        <v>4</v>
      </c>
      <c r="I286" s="79"/>
      <c r="J286" s="319">
        <f t="shared" si="100"/>
        <v>0</v>
      </c>
      <c r="K286" s="316" t="s">
        <v>1</v>
      </c>
      <c r="L286" s="223"/>
      <c r="M286" s="320" t="s">
        <v>1</v>
      </c>
      <c r="N286" s="321" t="s">
        <v>42</v>
      </c>
      <c r="O286" s="322">
        <v>0</v>
      </c>
      <c r="P286" s="322">
        <f t="shared" si="101"/>
        <v>0</v>
      </c>
      <c r="Q286" s="322">
        <v>0</v>
      </c>
      <c r="R286" s="322">
        <f t="shared" si="102"/>
        <v>0</v>
      </c>
      <c r="S286" s="322">
        <v>0</v>
      </c>
      <c r="T286" s="323">
        <f t="shared" si="103"/>
        <v>0</v>
      </c>
      <c r="U286" s="222"/>
      <c r="V286" s="222"/>
      <c r="W286" s="222"/>
      <c r="X286" s="222"/>
      <c r="Y286" s="222"/>
      <c r="Z286" s="222"/>
      <c r="AA286" s="222"/>
      <c r="AB286" s="222"/>
      <c r="AC286" s="222"/>
      <c r="AD286" s="222"/>
      <c r="AE286" s="222"/>
      <c r="AR286" s="324" t="s">
        <v>153</v>
      </c>
      <c r="AT286" s="324" t="s">
        <v>148</v>
      </c>
      <c r="AU286" s="324" t="s">
        <v>83</v>
      </c>
      <c r="AY286" s="214" t="s">
        <v>146</v>
      </c>
      <c r="BE286" s="325">
        <f t="shared" si="104"/>
        <v>0</v>
      </c>
      <c r="BF286" s="325">
        <f t="shared" si="105"/>
        <v>0</v>
      </c>
      <c r="BG286" s="325">
        <f t="shared" si="106"/>
        <v>0</v>
      </c>
      <c r="BH286" s="325">
        <f t="shared" si="107"/>
        <v>0</v>
      </c>
      <c r="BI286" s="325">
        <f t="shared" si="108"/>
        <v>0</v>
      </c>
      <c r="BJ286" s="214" t="s">
        <v>81</v>
      </c>
      <c r="BK286" s="325">
        <f t="shared" si="109"/>
        <v>0</v>
      </c>
      <c r="BL286" s="214" t="s">
        <v>153</v>
      </c>
      <c r="BM286" s="324" t="s">
        <v>2538</v>
      </c>
    </row>
    <row r="287" spans="1:65" s="225" customFormat="1" ht="24.2" customHeight="1">
      <c r="A287" s="222"/>
      <c r="B287" s="223"/>
      <c r="C287" s="314" t="s">
        <v>298</v>
      </c>
      <c r="D287" s="314" t="s">
        <v>148</v>
      </c>
      <c r="E287" s="315" t="s">
        <v>2539</v>
      </c>
      <c r="F287" s="316" t="s">
        <v>2540</v>
      </c>
      <c r="G287" s="317" t="s">
        <v>1361</v>
      </c>
      <c r="H287" s="318">
        <v>3</v>
      </c>
      <c r="I287" s="79"/>
      <c r="J287" s="319">
        <f t="shared" si="100"/>
        <v>0</v>
      </c>
      <c r="K287" s="316" t="s">
        <v>1</v>
      </c>
      <c r="L287" s="223"/>
      <c r="M287" s="320" t="s">
        <v>1</v>
      </c>
      <c r="N287" s="321" t="s">
        <v>42</v>
      </c>
      <c r="O287" s="322">
        <v>0</v>
      </c>
      <c r="P287" s="322">
        <f t="shared" si="101"/>
        <v>0</v>
      </c>
      <c r="Q287" s="322">
        <v>0</v>
      </c>
      <c r="R287" s="322">
        <f t="shared" si="102"/>
        <v>0</v>
      </c>
      <c r="S287" s="322">
        <v>0</v>
      </c>
      <c r="T287" s="323">
        <f t="shared" si="103"/>
        <v>0</v>
      </c>
      <c r="U287" s="222"/>
      <c r="V287" s="222"/>
      <c r="W287" s="222"/>
      <c r="X287" s="222"/>
      <c r="Y287" s="222"/>
      <c r="Z287" s="222"/>
      <c r="AA287" s="222"/>
      <c r="AB287" s="222"/>
      <c r="AC287" s="222"/>
      <c r="AD287" s="222"/>
      <c r="AE287" s="222"/>
      <c r="AR287" s="324" t="s">
        <v>153</v>
      </c>
      <c r="AT287" s="324" t="s">
        <v>148</v>
      </c>
      <c r="AU287" s="324" t="s">
        <v>83</v>
      </c>
      <c r="AY287" s="214" t="s">
        <v>146</v>
      </c>
      <c r="BE287" s="325">
        <f t="shared" si="104"/>
        <v>0</v>
      </c>
      <c r="BF287" s="325">
        <f t="shared" si="105"/>
        <v>0</v>
      </c>
      <c r="BG287" s="325">
        <f t="shared" si="106"/>
        <v>0</v>
      </c>
      <c r="BH287" s="325">
        <f t="shared" si="107"/>
        <v>0</v>
      </c>
      <c r="BI287" s="325">
        <f t="shared" si="108"/>
        <v>0</v>
      </c>
      <c r="BJ287" s="214" t="s">
        <v>81</v>
      </c>
      <c r="BK287" s="325">
        <f t="shared" si="109"/>
        <v>0</v>
      </c>
      <c r="BL287" s="214" t="s">
        <v>153</v>
      </c>
      <c r="BM287" s="324" t="s">
        <v>2541</v>
      </c>
    </row>
    <row r="288" spans="1:65" s="225" customFormat="1" ht="16.5" customHeight="1">
      <c r="A288" s="222"/>
      <c r="B288" s="223"/>
      <c r="C288" s="314" t="s">
        <v>305</v>
      </c>
      <c r="D288" s="314" t="s">
        <v>148</v>
      </c>
      <c r="E288" s="315" t="s">
        <v>2542</v>
      </c>
      <c r="F288" s="316" t="s">
        <v>2543</v>
      </c>
      <c r="G288" s="317" t="s">
        <v>1361</v>
      </c>
      <c r="H288" s="318">
        <v>14</v>
      </c>
      <c r="I288" s="79"/>
      <c r="J288" s="319">
        <f t="shared" si="100"/>
        <v>0</v>
      </c>
      <c r="K288" s="316" t="s">
        <v>1</v>
      </c>
      <c r="L288" s="223"/>
      <c r="M288" s="320" t="s">
        <v>1</v>
      </c>
      <c r="N288" s="321" t="s">
        <v>42</v>
      </c>
      <c r="O288" s="322">
        <v>0</v>
      </c>
      <c r="P288" s="322">
        <f t="shared" si="101"/>
        <v>0</v>
      </c>
      <c r="Q288" s="322">
        <v>0</v>
      </c>
      <c r="R288" s="322">
        <f t="shared" si="102"/>
        <v>0</v>
      </c>
      <c r="S288" s="322">
        <v>0</v>
      </c>
      <c r="T288" s="323">
        <f t="shared" si="103"/>
        <v>0</v>
      </c>
      <c r="U288" s="222"/>
      <c r="V288" s="222"/>
      <c r="W288" s="222"/>
      <c r="X288" s="222"/>
      <c r="Y288" s="222"/>
      <c r="Z288" s="222"/>
      <c r="AA288" s="222"/>
      <c r="AB288" s="222"/>
      <c r="AC288" s="222"/>
      <c r="AD288" s="222"/>
      <c r="AE288" s="222"/>
      <c r="AR288" s="324" t="s">
        <v>153</v>
      </c>
      <c r="AT288" s="324" t="s">
        <v>148</v>
      </c>
      <c r="AU288" s="324" t="s">
        <v>83</v>
      </c>
      <c r="AY288" s="214" t="s">
        <v>146</v>
      </c>
      <c r="BE288" s="325">
        <f t="shared" si="104"/>
        <v>0</v>
      </c>
      <c r="BF288" s="325">
        <f t="shared" si="105"/>
        <v>0</v>
      </c>
      <c r="BG288" s="325">
        <f t="shared" si="106"/>
        <v>0</v>
      </c>
      <c r="BH288" s="325">
        <f t="shared" si="107"/>
        <v>0</v>
      </c>
      <c r="BI288" s="325">
        <f t="shared" si="108"/>
        <v>0</v>
      </c>
      <c r="BJ288" s="214" t="s">
        <v>81</v>
      </c>
      <c r="BK288" s="325">
        <f t="shared" si="109"/>
        <v>0</v>
      </c>
      <c r="BL288" s="214" t="s">
        <v>153</v>
      </c>
      <c r="BM288" s="324" t="s">
        <v>2544</v>
      </c>
    </row>
    <row r="289" spans="1:65" s="225" customFormat="1" ht="16.5" customHeight="1">
      <c r="A289" s="222"/>
      <c r="B289" s="223"/>
      <c r="C289" s="314" t="s">
        <v>310</v>
      </c>
      <c r="D289" s="314" t="s">
        <v>148</v>
      </c>
      <c r="E289" s="315" t="s">
        <v>2545</v>
      </c>
      <c r="F289" s="316" t="s">
        <v>2546</v>
      </c>
      <c r="G289" s="317" t="s">
        <v>1361</v>
      </c>
      <c r="H289" s="318">
        <v>2</v>
      </c>
      <c r="I289" s="79"/>
      <c r="J289" s="319">
        <f t="shared" si="100"/>
        <v>0</v>
      </c>
      <c r="K289" s="316" t="s">
        <v>1</v>
      </c>
      <c r="L289" s="223"/>
      <c r="M289" s="320" t="s">
        <v>1</v>
      </c>
      <c r="N289" s="321" t="s">
        <v>42</v>
      </c>
      <c r="O289" s="322">
        <v>0</v>
      </c>
      <c r="P289" s="322">
        <f t="shared" si="101"/>
        <v>0</v>
      </c>
      <c r="Q289" s="322">
        <v>0</v>
      </c>
      <c r="R289" s="322">
        <f t="shared" si="102"/>
        <v>0</v>
      </c>
      <c r="S289" s="322">
        <v>0</v>
      </c>
      <c r="T289" s="323">
        <f t="shared" si="103"/>
        <v>0</v>
      </c>
      <c r="U289" s="222"/>
      <c r="V289" s="222"/>
      <c r="W289" s="222"/>
      <c r="X289" s="222"/>
      <c r="Y289" s="222"/>
      <c r="Z289" s="222"/>
      <c r="AA289" s="222"/>
      <c r="AB289" s="222"/>
      <c r="AC289" s="222"/>
      <c r="AD289" s="222"/>
      <c r="AE289" s="222"/>
      <c r="AR289" s="324" t="s">
        <v>153</v>
      </c>
      <c r="AT289" s="324" t="s">
        <v>148</v>
      </c>
      <c r="AU289" s="324" t="s">
        <v>83</v>
      </c>
      <c r="AY289" s="214" t="s">
        <v>146</v>
      </c>
      <c r="BE289" s="325">
        <f t="shared" si="104"/>
        <v>0</v>
      </c>
      <c r="BF289" s="325">
        <f t="shared" si="105"/>
        <v>0</v>
      </c>
      <c r="BG289" s="325">
        <f t="shared" si="106"/>
        <v>0</v>
      </c>
      <c r="BH289" s="325">
        <f t="shared" si="107"/>
        <v>0</v>
      </c>
      <c r="BI289" s="325">
        <f t="shared" si="108"/>
        <v>0</v>
      </c>
      <c r="BJ289" s="214" t="s">
        <v>81</v>
      </c>
      <c r="BK289" s="325">
        <f t="shared" si="109"/>
        <v>0</v>
      </c>
      <c r="BL289" s="214" t="s">
        <v>153</v>
      </c>
      <c r="BM289" s="324" t="s">
        <v>2547</v>
      </c>
    </row>
    <row r="290" spans="1:65" s="225" customFormat="1" ht="16.5" customHeight="1">
      <c r="A290" s="222"/>
      <c r="B290" s="223"/>
      <c r="C290" s="314" t="s">
        <v>314</v>
      </c>
      <c r="D290" s="314" t="s">
        <v>148</v>
      </c>
      <c r="E290" s="315" t="s">
        <v>2548</v>
      </c>
      <c r="F290" s="316" t="s">
        <v>2549</v>
      </c>
      <c r="G290" s="317" t="s">
        <v>1361</v>
      </c>
      <c r="H290" s="318">
        <v>2</v>
      </c>
      <c r="I290" s="79"/>
      <c r="J290" s="319">
        <f t="shared" si="100"/>
        <v>0</v>
      </c>
      <c r="K290" s="316" t="s">
        <v>1</v>
      </c>
      <c r="L290" s="223"/>
      <c r="M290" s="320" t="s">
        <v>1</v>
      </c>
      <c r="N290" s="321" t="s">
        <v>42</v>
      </c>
      <c r="O290" s="322">
        <v>0</v>
      </c>
      <c r="P290" s="322">
        <f t="shared" si="101"/>
        <v>0</v>
      </c>
      <c r="Q290" s="322">
        <v>0</v>
      </c>
      <c r="R290" s="322">
        <f t="shared" si="102"/>
        <v>0</v>
      </c>
      <c r="S290" s="322">
        <v>0</v>
      </c>
      <c r="T290" s="323">
        <f t="shared" si="103"/>
        <v>0</v>
      </c>
      <c r="U290" s="222"/>
      <c r="V290" s="222"/>
      <c r="W290" s="222"/>
      <c r="X290" s="222"/>
      <c r="Y290" s="222"/>
      <c r="Z290" s="222"/>
      <c r="AA290" s="222"/>
      <c r="AB290" s="222"/>
      <c r="AC290" s="222"/>
      <c r="AD290" s="222"/>
      <c r="AE290" s="222"/>
      <c r="AR290" s="324" t="s">
        <v>153</v>
      </c>
      <c r="AT290" s="324" t="s">
        <v>148</v>
      </c>
      <c r="AU290" s="324" t="s">
        <v>83</v>
      </c>
      <c r="AY290" s="214" t="s">
        <v>146</v>
      </c>
      <c r="BE290" s="325">
        <f t="shared" si="104"/>
        <v>0</v>
      </c>
      <c r="BF290" s="325">
        <f t="shared" si="105"/>
        <v>0</v>
      </c>
      <c r="BG290" s="325">
        <f t="shared" si="106"/>
        <v>0</v>
      </c>
      <c r="BH290" s="325">
        <f t="shared" si="107"/>
        <v>0</v>
      </c>
      <c r="BI290" s="325">
        <f t="shared" si="108"/>
        <v>0</v>
      </c>
      <c r="BJ290" s="214" t="s">
        <v>81</v>
      </c>
      <c r="BK290" s="325">
        <f t="shared" si="109"/>
        <v>0</v>
      </c>
      <c r="BL290" s="214" t="s">
        <v>153</v>
      </c>
      <c r="BM290" s="324" t="s">
        <v>2550</v>
      </c>
    </row>
    <row r="291" spans="1:65" s="225" customFormat="1" ht="16.5" customHeight="1">
      <c r="A291" s="222"/>
      <c r="B291" s="223"/>
      <c r="C291" s="314" t="s">
        <v>322</v>
      </c>
      <c r="D291" s="314" t="s">
        <v>148</v>
      </c>
      <c r="E291" s="315" t="s">
        <v>2551</v>
      </c>
      <c r="F291" s="316" t="s">
        <v>2552</v>
      </c>
      <c r="G291" s="317" t="s">
        <v>1361</v>
      </c>
      <c r="H291" s="318">
        <v>2</v>
      </c>
      <c r="I291" s="79"/>
      <c r="J291" s="319">
        <f t="shared" si="100"/>
        <v>0</v>
      </c>
      <c r="K291" s="316" t="s">
        <v>1</v>
      </c>
      <c r="L291" s="223"/>
      <c r="M291" s="320" t="s">
        <v>1</v>
      </c>
      <c r="N291" s="321" t="s">
        <v>42</v>
      </c>
      <c r="O291" s="322">
        <v>0</v>
      </c>
      <c r="P291" s="322">
        <f t="shared" si="101"/>
        <v>0</v>
      </c>
      <c r="Q291" s="322">
        <v>0</v>
      </c>
      <c r="R291" s="322">
        <f t="shared" si="102"/>
        <v>0</v>
      </c>
      <c r="S291" s="322">
        <v>0</v>
      </c>
      <c r="T291" s="323">
        <f t="shared" si="103"/>
        <v>0</v>
      </c>
      <c r="U291" s="222"/>
      <c r="V291" s="222"/>
      <c r="W291" s="222"/>
      <c r="X291" s="222"/>
      <c r="Y291" s="222"/>
      <c r="Z291" s="222"/>
      <c r="AA291" s="222"/>
      <c r="AB291" s="222"/>
      <c r="AC291" s="222"/>
      <c r="AD291" s="222"/>
      <c r="AE291" s="222"/>
      <c r="AR291" s="324" t="s">
        <v>153</v>
      </c>
      <c r="AT291" s="324" t="s">
        <v>148</v>
      </c>
      <c r="AU291" s="324" t="s">
        <v>83</v>
      </c>
      <c r="AY291" s="214" t="s">
        <v>146</v>
      </c>
      <c r="BE291" s="325">
        <f t="shared" si="104"/>
        <v>0</v>
      </c>
      <c r="BF291" s="325">
        <f t="shared" si="105"/>
        <v>0</v>
      </c>
      <c r="BG291" s="325">
        <f t="shared" si="106"/>
        <v>0</v>
      </c>
      <c r="BH291" s="325">
        <f t="shared" si="107"/>
        <v>0</v>
      </c>
      <c r="BI291" s="325">
        <f t="shared" si="108"/>
        <v>0</v>
      </c>
      <c r="BJ291" s="214" t="s">
        <v>81</v>
      </c>
      <c r="BK291" s="325">
        <f t="shared" si="109"/>
        <v>0</v>
      </c>
      <c r="BL291" s="214" t="s">
        <v>153</v>
      </c>
      <c r="BM291" s="324" t="s">
        <v>2553</v>
      </c>
    </row>
    <row r="292" spans="2:63" s="297" customFormat="1" ht="22.9" customHeight="1">
      <c r="B292" s="298"/>
      <c r="D292" s="299" t="s">
        <v>75</v>
      </c>
      <c r="E292" s="660" t="s">
        <v>1435</v>
      </c>
      <c r="F292" s="660" t="s">
        <v>1471</v>
      </c>
      <c r="I292" s="501"/>
      <c r="J292" s="311">
        <f>SUM(J293:J296)</f>
        <v>0</v>
      </c>
      <c r="L292" s="223"/>
      <c r="M292" s="303"/>
      <c r="N292" s="304"/>
      <c r="O292" s="304"/>
      <c r="P292" s="305">
        <f>SUM(P293:P296)</f>
        <v>0</v>
      </c>
      <c r="Q292" s="304"/>
      <c r="R292" s="305">
        <f>SUM(R293:R296)</f>
        <v>0</v>
      </c>
      <c r="S292" s="304"/>
      <c r="T292" s="313">
        <f>SUM(T293:T296)</f>
        <v>0</v>
      </c>
      <c r="AR292" s="299" t="s">
        <v>81</v>
      </c>
      <c r="AT292" s="308" t="s">
        <v>75</v>
      </c>
      <c r="AU292" s="308" t="s">
        <v>81</v>
      </c>
      <c r="AY292" s="299" t="s">
        <v>146</v>
      </c>
      <c r="BK292" s="309">
        <f>SUM(BK293:BK296)</f>
        <v>0</v>
      </c>
    </row>
    <row r="293" spans="1:65" s="225" customFormat="1" ht="16.5" customHeight="1">
      <c r="A293" s="222"/>
      <c r="B293" s="223"/>
      <c r="C293" s="314" t="s">
        <v>332</v>
      </c>
      <c r="D293" s="314" t="s">
        <v>148</v>
      </c>
      <c r="E293" s="315" t="s">
        <v>2554</v>
      </c>
      <c r="F293" s="316" t="s">
        <v>2555</v>
      </c>
      <c r="G293" s="317" t="s">
        <v>1361</v>
      </c>
      <c r="H293" s="318">
        <v>48</v>
      </c>
      <c r="I293" s="79"/>
      <c r="J293" s="319">
        <f>ROUND(I293*H293,2)</f>
        <v>0</v>
      </c>
      <c r="K293" s="316" t="s">
        <v>1</v>
      </c>
      <c r="L293" s="223"/>
      <c r="M293" s="320" t="s">
        <v>1</v>
      </c>
      <c r="N293" s="321" t="s">
        <v>42</v>
      </c>
      <c r="O293" s="322">
        <v>0</v>
      </c>
      <c r="P293" s="322">
        <f>O293*H293</f>
        <v>0</v>
      </c>
      <c r="Q293" s="322">
        <v>0</v>
      </c>
      <c r="R293" s="322">
        <f>Q293*H293</f>
        <v>0</v>
      </c>
      <c r="S293" s="322">
        <v>0</v>
      </c>
      <c r="T293" s="323">
        <f>S293*H293</f>
        <v>0</v>
      </c>
      <c r="U293" s="222"/>
      <c r="V293" s="222"/>
      <c r="W293" s="222"/>
      <c r="X293" s="222"/>
      <c r="Y293" s="222"/>
      <c r="Z293" s="222"/>
      <c r="AA293" s="222"/>
      <c r="AB293" s="222"/>
      <c r="AC293" s="222"/>
      <c r="AD293" s="222"/>
      <c r="AE293" s="222"/>
      <c r="AR293" s="324" t="s">
        <v>153</v>
      </c>
      <c r="AT293" s="324" t="s">
        <v>148</v>
      </c>
      <c r="AU293" s="324" t="s">
        <v>83</v>
      </c>
      <c r="AY293" s="214" t="s">
        <v>146</v>
      </c>
      <c r="BE293" s="325">
        <f>IF(N293="základní",J293,0)</f>
        <v>0</v>
      </c>
      <c r="BF293" s="325">
        <f>IF(N293="snížená",J293,0)</f>
        <v>0</v>
      </c>
      <c r="BG293" s="325">
        <f>IF(N293="zákl. přenesená",J293,0)</f>
        <v>0</v>
      </c>
      <c r="BH293" s="325">
        <f>IF(N293="sníž. přenesená",J293,0)</f>
        <v>0</v>
      </c>
      <c r="BI293" s="325">
        <f>IF(N293="nulová",J293,0)</f>
        <v>0</v>
      </c>
      <c r="BJ293" s="214" t="s">
        <v>81</v>
      </c>
      <c r="BK293" s="325">
        <f>ROUND(I293*H293,2)</f>
        <v>0</v>
      </c>
      <c r="BL293" s="214" t="s">
        <v>153</v>
      </c>
      <c r="BM293" s="324" t="s">
        <v>2556</v>
      </c>
    </row>
    <row r="294" spans="1:65" s="225" customFormat="1" ht="16.5" customHeight="1">
      <c r="A294" s="222"/>
      <c r="B294" s="223"/>
      <c r="C294" s="314" t="s">
        <v>333</v>
      </c>
      <c r="D294" s="314" t="s">
        <v>148</v>
      </c>
      <c r="E294" s="315" t="s">
        <v>2557</v>
      </c>
      <c r="F294" s="316" t="s">
        <v>2558</v>
      </c>
      <c r="G294" s="317" t="s">
        <v>1361</v>
      </c>
      <c r="H294" s="318">
        <v>150</v>
      </c>
      <c r="I294" s="79"/>
      <c r="J294" s="319">
        <f>ROUND(I294*H294,2)</f>
        <v>0</v>
      </c>
      <c r="K294" s="316" t="s">
        <v>1</v>
      </c>
      <c r="L294" s="223"/>
      <c r="M294" s="320" t="s">
        <v>1</v>
      </c>
      <c r="N294" s="321" t="s">
        <v>42</v>
      </c>
      <c r="O294" s="322">
        <v>0</v>
      </c>
      <c r="P294" s="322">
        <f>O294*H294</f>
        <v>0</v>
      </c>
      <c r="Q294" s="322">
        <v>0</v>
      </c>
      <c r="R294" s="322">
        <f>Q294*H294</f>
        <v>0</v>
      </c>
      <c r="S294" s="322">
        <v>0</v>
      </c>
      <c r="T294" s="323">
        <f>S294*H294</f>
        <v>0</v>
      </c>
      <c r="U294" s="222"/>
      <c r="V294" s="222"/>
      <c r="W294" s="222"/>
      <c r="X294" s="222"/>
      <c r="Y294" s="222"/>
      <c r="Z294" s="222"/>
      <c r="AA294" s="222"/>
      <c r="AB294" s="222"/>
      <c r="AC294" s="222"/>
      <c r="AD294" s="222"/>
      <c r="AE294" s="222"/>
      <c r="AR294" s="324" t="s">
        <v>153</v>
      </c>
      <c r="AT294" s="324" t="s">
        <v>148</v>
      </c>
      <c r="AU294" s="324" t="s">
        <v>83</v>
      </c>
      <c r="AY294" s="214" t="s">
        <v>146</v>
      </c>
      <c r="BE294" s="325">
        <f>IF(N294="základní",J294,0)</f>
        <v>0</v>
      </c>
      <c r="BF294" s="325">
        <f>IF(N294="snížená",J294,0)</f>
        <v>0</v>
      </c>
      <c r="BG294" s="325">
        <f>IF(N294="zákl. přenesená",J294,0)</f>
        <v>0</v>
      </c>
      <c r="BH294" s="325">
        <f>IF(N294="sníž. přenesená",J294,0)</f>
        <v>0</v>
      </c>
      <c r="BI294" s="325">
        <f>IF(N294="nulová",J294,0)</f>
        <v>0</v>
      </c>
      <c r="BJ294" s="214" t="s">
        <v>81</v>
      </c>
      <c r="BK294" s="325">
        <f>ROUND(I294*H294,2)</f>
        <v>0</v>
      </c>
      <c r="BL294" s="214" t="s">
        <v>153</v>
      </c>
      <c r="BM294" s="324" t="s">
        <v>2559</v>
      </c>
    </row>
    <row r="295" spans="1:65" s="225" customFormat="1" ht="21.75" customHeight="1">
      <c r="A295" s="222"/>
      <c r="B295" s="223"/>
      <c r="C295" s="314" t="s">
        <v>340</v>
      </c>
      <c r="D295" s="314" t="s">
        <v>148</v>
      </c>
      <c r="E295" s="315" t="s">
        <v>1475</v>
      </c>
      <c r="F295" s="316" t="s">
        <v>2560</v>
      </c>
      <c r="G295" s="317" t="s">
        <v>158</v>
      </c>
      <c r="H295" s="318">
        <v>100</v>
      </c>
      <c r="I295" s="79"/>
      <c r="J295" s="319">
        <f>ROUND(I295*H295,2)</f>
        <v>0</v>
      </c>
      <c r="K295" s="316" t="s">
        <v>1</v>
      </c>
      <c r="L295" s="223"/>
      <c r="M295" s="320" t="s">
        <v>1</v>
      </c>
      <c r="N295" s="321" t="s">
        <v>42</v>
      </c>
      <c r="O295" s="322">
        <v>0</v>
      </c>
      <c r="P295" s="322">
        <f>O295*H295</f>
        <v>0</v>
      </c>
      <c r="Q295" s="322">
        <v>0</v>
      </c>
      <c r="R295" s="322">
        <f>Q295*H295</f>
        <v>0</v>
      </c>
      <c r="S295" s="322">
        <v>0</v>
      </c>
      <c r="T295" s="323">
        <f>S295*H295</f>
        <v>0</v>
      </c>
      <c r="U295" s="222"/>
      <c r="V295" s="222"/>
      <c r="W295" s="222"/>
      <c r="X295" s="222"/>
      <c r="Y295" s="222"/>
      <c r="Z295" s="222"/>
      <c r="AA295" s="222"/>
      <c r="AB295" s="222"/>
      <c r="AC295" s="222"/>
      <c r="AD295" s="222"/>
      <c r="AE295" s="222"/>
      <c r="AR295" s="324" t="s">
        <v>153</v>
      </c>
      <c r="AT295" s="324" t="s">
        <v>148</v>
      </c>
      <c r="AU295" s="324" t="s">
        <v>83</v>
      </c>
      <c r="AY295" s="214" t="s">
        <v>146</v>
      </c>
      <c r="BE295" s="325">
        <f>IF(N295="základní",J295,0)</f>
        <v>0</v>
      </c>
      <c r="BF295" s="325">
        <f>IF(N295="snížená",J295,0)</f>
        <v>0</v>
      </c>
      <c r="BG295" s="325">
        <f>IF(N295="zákl. přenesená",J295,0)</f>
        <v>0</v>
      </c>
      <c r="BH295" s="325">
        <f>IF(N295="sníž. přenesená",J295,0)</f>
        <v>0</v>
      </c>
      <c r="BI295" s="325">
        <f>IF(N295="nulová",J295,0)</f>
        <v>0</v>
      </c>
      <c r="BJ295" s="214" t="s">
        <v>81</v>
      </c>
      <c r="BK295" s="325">
        <f>ROUND(I295*H295,2)</f>
        <v>0</v>
      </c>
      <c r="BL295" s="214" t="s">
        <v>153</v>
      </c>
      <c r="BM295" s="324" t="s">
        <v>2561</v>
      </c>
    </row>
    <row r="296" spans="1:65" s="225" customFormat="1" ht="16.5" customHeight="1">
      <c r="A296" s="222"/>
      <c r="B296" s="223"/>
      <c r="C296" s="314" t="s">
        <v>345</v>
      </c>
      <c r="D296" s="314" t="s">
        <v>148</v>
      </c>
      <c r="E296" s="315"/>
      <c r="F296" s="316" t="s">
        <v>3777</v>
      </c>
      <c r="G296" s="317" t="s">
        <v>1361</v>
      </c>
      <c r="H296" s="318">
        <v>1</v>
      </c>
      <c r="I296" s="79"/>
      <c r="J296" s="319">
        <f>ROUND(I296*H296,2)</f>
        <v>0</v>
      </c>
      <c r="K296" s="316" t="s">
        <v>1</v>
      </c>
      <c r="L296" s="223"/>
      <c r="M296" s="320" t="s">
        <v>1</v>
      </c>
      <c r="N296" s="321" t="s">
        <v>42</v>
      </c>
      <c r="O296" s="322">
        <v>0</v>
      </c>
      <c r="P296" s="322">
        <f>O296*H296</f>
        <v>0</v>
      </c>
      <c r="Q296" s="322">
        <v>0</v>
      </c>
      <c r="R296" s="322">
        <f>Q296*H296</f>
        <v>0</v>
      </c>
      <c r="S296" s="322">
        <v>0</v>
      </c>
      <c r="T296" s="323">
        <f>S296*H296</f>
        <v>0</v>
      </c>
      <c r="U296" s="222"/>
      <c r="V296" s="222"/>
      <c r="W296" s="222"/>
      <c r="X296" s="222"/>
      <c r="Y296" s="222"/>
      <c r="Z296" s="222"/>
      <c r="AA296" s="222"/>
      <c r="AB296" s="222"/>
      <c r="AC296" s="222"/>
      <c r="AD296" s="222"/>
      <c r="AE296" s="222"/>
      <c r="AR296" s="324" t="s">
        <v>153</v>
      </c>
      <c r="AT296" s="324" t="s">
        <v>148</v>
      </c>
      <c r="AU296" s="324" t="s">
        <v>83</v>
      </c>
      <c r="AY296" s="214" t="s">
        <v>146</v>
      </c>
      <c r="BE296" s="325">
        <f>IF(N296="základní",J296,0)</f>
        <v>0</v>
      </c>
      <c r="BF296" s="325">
        <f>IF(N296="snížená",J296,0)</f>
        <v>0</v>
      </c>
      <c r="BG296" s="325">
        <f>IF(N296="zákl. přenesená",J296,0)</f>
        <v>0</v>
      </c>
      <c r="BH296" s="325">
        <f>IF(N296="sníž. přenesená",J296,0)</f>
        <v>0</v>
      </c>
      <c r="BI296" s="325">
        <f>IF(N296="nulová",J296,0)</f>
        <v>0</v>
      </c>
      <c r="BJ296" s="214" t="s">
        <v>81</v>
      </c>
      <c r="BK296" s="325">
        <f>ROUND(I296*H296,2)</f>
        <v>0</v>
      </c>
      <c r="BL296" s="214" t="s">
        <v>153</v>
      </c>
      <c r="BM296" s="324" t="s">
        <v>2563</v>
      </c>
    </row>
    <row r="297" spans="2:63" s="297" customFormat="1" ht="22.9" customHeight="1">
      <c r="B297" s="298"/>
      <c r="D297" s="299" t="s">
        <v>75</v>
      </c>
      <c r="E297" s="660" t="s">
        <v>1470</v>
      </c>
      <c r="F297" s="660" t="s">
        <v>1482</v>
      </c>
      <c r="I297" s="501"/>
      <c r="J297" s="311">
        <f>SUM(J298:J316)</f>
        <v>0</v>
      </c>
      <c r="L297" s="789"/>
      <c r="M297" s="303"/>
      <c r="N297" s="304"/>
      <c r="O297" s="304"/>
      <c r="P297" s="305">
        <f>SUM(P298:P316)</f>
        <v>0</v>
      </c>
      <c r="Q297" s="304"/>
      <c r="R297" s="305">
        <f>SUM(R298:R316)</f>
        <v>0</v>
      </c>
      <c r="S297" s="304"/>
      <c r="T297" s="313">
        <f>SUM(T298:T316)</f>
        <v>0</v>
      </c>
      <c r="AR297" s="299" t="s">
        <v>81</v>
      </c>
      <c r="AT297" s="308" t="s">
        <v>75</v>
      </c>
      <c r="AU297" s="308" t="s">
        <v>81</v>
      </c>
      <c r="AY297" s="299" t="s">
        <v>146</v>
      </c>
      <c r="BK297" s="309">
        <f>SUM(BK298:BK316)</f>
        <v>0</v>
      </c>
    </row>
    <row r="298" spans="1:65" s="225" customFormat="1" ht="16.5" customHeight="1">
      <c r="A298" s="222"/>
      <c r="B298" s="223"/>
      <c r="C298" s="314" t="s">
        <v>355</v>
      </c>
      <c r="D298" s="314" t="s">
        <v>148</v>
      </c>
      <c r="E298" s="315" t="s">
        <v>1483</v>
      </c>
      <c r="F298" s="316" t="s">
        <v>1484</v>
      </c>
      <c r="G298" s="317" t="s">
        <v>1361</v>
      </c>
      <c r="H298" s="318">
        <v>60</v>
      </c>
      <c r="I298" s="79"/>
      <c r="J298" s="319">
        <f aca="true" t="shared" si="110" ref="J298:J316">ROUND(I298*H298,2)</f>
        <v>0</v>
      </c>
      <c r="K298" s="316" t="s">
        <v>1</v>
      </c>
      <c r="L298" s="223"/>
      <c r="M298" s="320" t="s">
        <v>1</v>
      </c>
      <c r="N298" s="321" t="s">
        <v>42</v>
      </c>
      <c r="O298" s="322">
        <v>0</v>
      </c>
      <c r="P298" s="322">
        <f aca="true" t="shared" si="111" ref="P298:P316">O298*H298</f>
        <v>0</v>
      </c>
      <c r="Q298" s="322">
        <v>0</v>
      </c>
      <c r="R298" s="322">
        <f aca="true" t="shared" si="112" ref="R298:R316">Q298*H298</f>
        <v>0</v>
      </c>
      <c r="S298" s="322">
        <v>0</v>
      </c>
      <c r="T298" s="323">
        <f aca="true" t="shared" si="113" ref="T298:T316">S298*H298</f>
        <v>0</v>
      </c>
      <c r="U298" s="222"/>
      <c r="V298" s="222"/>
      <c r="W298" s="222"/>
      <c r="X298" s="222"/>
      <c r="Y298" s="222"/>
      <c r="Z298" s="222"/>
      <c r="AA298" s="222"/>
      <c r="AB298" s="222"/>
      <c r="AC298" s="222"/>
      <c r="AD298" s="222"/>
      <c r="AE298" s="222"/>
      <c r="AR298" s="324" t="s">
        <v>153</v>
      </c>
      <c r="AT298" s="324" t="s">
        <v>148</v>
      </c>
      <c r="AU298" s="324" t="s">
        <v>83</v>
      </c>
      <c r="AY298" s="214" t="s">
        <v>146</v>
      </c>
      <c r="BE298" s="325">
        <f aca="true" t="shared" si="114" ref="BE298:BE316">IF(N298="základní",J298,0)</f>
        <v>0</v>
      </c>
      <c r="BF298" s="325">
        <f aca="true" t="shared" si="115" ref="BF298:BF316">IF(N298="snížená",J298,0)</f>
        <v>0</v>
      </c>
      <c r="BG298" s="325">
        <f aca="true" t="shared" si="116" ref="BG298:BG316">IF(N298="zákl. přenesená",J298,0)</f>
        <v>0</v>
      </c>
      <c r="BH298" s="325">
        <f aca="true" t="shared" si="117" ref="BH298:BH316">IF(N298="sníž. přenesená",J298,0)</f>
        <v>0</v>
      </c>
      <c r="BI298" s="325">
        <f aca="true" t="shared" si="118" ref="BI298:BI316">IF(N298="nulová",J298,0)</f>
        <v>0</v>
      </c>
      <c r="BJ298" s="214" t="s">
        <v>81</v>
      </c>
      <c r="BK298" s="325">
        <f aca="true" t="shared" si="119" ref="BK298:BK316">ROUND(I298*H298,2)</f>
        <v>0</v>
      </c>
      <c r="BL298" s="214" t="s">
        <v>153</v>
      </c>
      <c r="BM298" s="324" t="s">
        <v>2564</v>
      </c>
    </row>
    <row r="299" spans="1:65" s="225" customFormat="1" ht="16.5" customHeight="1">
      <c r="A299" s="222"/>
      <c r="B299" s="223"/>
      <c r="C299" s="314" t="s">
        <v>360</v>
      </c>
      <c r="D299" s="314" t="s">
        <v>148</v>
      </c>
      <c r="E299" s="315" t="s">
        <v>2565</v>
      </c>
      <c r="F299" s="316" t="s">
        <v>2566</v>
      </c>
      <c r="G299" s="317" t="s">
        <v>1361</v>
      </c>
      <c r="H299" s="318">
        <v>45</v>
      </c>
      <c r="I299" s="79"/>
      <c r="J299" s="319">
        <f t="shared" si="110"/>
        <v>0</v>
      </c>
      <c r="K299" s="316" t="s">
        <v>1</v>
      </c>
      <c r="L299" s="223"/>
      <c r="M299" s="320" t="s">
        <v>1</v>
      </c>
      <c r="N299" s="321" t="s">
        <v>42</v>
      </c>
      <c r="O299" s="322">
        <v>0</v>
      </c>
      <c r="P299" s="322">
        <f t="shared" si="111"/>
        <v>0</v>
      </c>
      <c r="Q299" s="322">
        <v>0</v>
      </c>
      <c r="R299" s="322">
        <f t="shared" si="112"/>
        <v>0</v>
      </c>
      <c r="S299" s="322">
        <v>0</v>
      </c>
      <c r="T299" s="323">
        <f t="shared" si="113"/>
        <v>0</v>
      </c>
      <c r="U299" s="222"/>
      <c r="V299" s="222"/>
      <c r="W299" s="222"/>
      <c r="X299" s="222"/>
      <c r="Y299" s="222"/>
      <c r="Z299" s="222"/>
      <c r="AA299" s="222"/>
      <c r="AB299" s="222"/>
      <c r="AC299" s="222"/>
      <c r="AD299" s="222"/>
      <c r="AE299" s="222"/>
      <c r="AR299" s="324" t="s">
        <v>153</v>
      </c>
      <c r="AT299" s="324" t="s">
        <v>148</v>
      </c>
      <c r="AU299" s="324" t="s">
        <v>83</v>
      </c>
      <c r="AY299" s="214" t="s">
        <v>146</v>
      </c>
      <c r="BE299" s="325">
        <f t="shared" si="114"/>
        <v>0</v>
      </c>
      <c r="BF299" s="325">
        <f t="shared" si="115"/>
        <v>0</v>
      </c>
      <c r="BG299" s="325">
        <f t="shared" si="116"/>
        <v>0</v>
      </c>
      <c r="BH299" s="325">
        <f t="shared" si="117"/>
        <v>0</v>
      </c>
      <c r="BI299" s="325">
        <f t="shared" si="118"/>
        <v>0</v>
      </c>
      <c r="BJ299" s="214" t="s">
        <v>81</v>
      </c>
      <c r="BK299" s="325">
        <f t="shared" si="119"/>
        <v>0</v>
      </c>
      <c r="BL299" s="214" t="s">
        <v>153</v>
      </c>
      <c r="BM299" s="324" t="s">
        <v>2567</v>
      </c>
    </row>
    <row r="300" spans="1:65" s="225" customFormat="1" ht="24.2" customHeight="1">
      <c r="A300" s="222"/>
      <c r="B300" s="223"/>
      <c r="C300" s="314" t="s">
        <v>374</v>
      </c>
      <c r="D300" s="314" t="s">
        <v>148</v>
      </c>
      <c r="E300" s="315" t="s">
        <v>1486</v>
      </c>
      <c r="F300" s="316" t="s">
        <v>1487</v>
      </c>
      <c r="G300" s="317" t="s">
        <v>1361</v>
      </c>
      <c r="H300" s="318">
        <v>8</v>
      </c>
      <c r="I300" s="79"/>
      <c r="J300" s="319">
        <f t="shared" si="110"/>
        <v>0</v>
      </c>
      <c r="K300" s="316" t="s">
        <v>1</v>
      </c>
      <c r="L300" s="223"/>
      <c r="M300" s="320" t="s">
        <v>1</v>
      </c>
      <c r="N300" s="321" t="s">
        <v>42</v>
      </c>
      <c r="O300" s="322">
        <v>0</v>
      </c>
      <c r="P300" s="322">
        <f t="shared" si="111"/>
        <v>0</v>
      </c>
      <c r="Q300" s="322">
        <v>0</v>
      </c>
      <c r="R300" s="322">
        <f t="shared" si="112"/>
        <v>0</v>
      </c>
      <c r="S300" s="322">
        <v>0</v>
      </c>
      <c r="T300" s="323">
        <f t="shared" si="113"/>
        <v>0</v>
      </c>
      <c r="U300" s="222"/>
      <c r="V300" s="222"/>
      <c r="W300" s="222"/>
      <c r="X300" s="222"/>
      <c r="Y300" s="222"/>
      <c r="Z300" s="222"/>
      <c r="AA300" s="222"/>
      <c r="AB300" s="222"/>
      <c r="AC300" s="222"/>
      <c r="AD300" s="222"/>
      <c r="AE300" s="222"/>
      <c r="AR300" s="324" t="s">
        <v>153</v>
      </c>
      <c r="AT300" s="324" t="s">
        <v>148</v>
      </c>
      <c r="AU300" s="324" t="s">
        <v>83</v>
      </c>
      <c r="AY300" s="214" t="s">
        <v>146</v>
      </c>
      <c r="BE300" s="325">
        <f t="shared" si="114"/>
        <v>0</v>
      </c>
      <c r="BF300" s="325">
        <f t="shared" si="115"/>
        <v>0</v>
      </c>
      <c r="BG300" s="325">
        <f t="shared" si="116"/>
        <v>0</v>
      </c>
      <c r="BH300" s="325">
        <f t="shared" si="117"/>
        <v>0</v>
      </c>
      <c r="BI300" s="325">
        <f t="shared" si="118"/>
        <v>0</v>
      </c>
      <c r="BJ300" s="214" t="s">
        <v>81</v>
      </c>
      <c r="BK300" s="325">
        <f t="shared" si="119"/>
        <v>0</v>
      </c>
      <c r="BL300" s="214" t="s">
        <v>153</v>
      </c>
      <c r="BM300" s="324" t="s">
        <v>2568</v>
      </c>
    </row>
    <row r="301" spans="1:65" s="225" customFormat="1" ht="24.2" customHeight="1">
      <c r="A301" s="222"/>
      <c r="B301" s="223"/>
      <c r="C301" s="314" t="s">
        <v>378</v>
      </c>
      <c r="D301" s="314" t="s">
        <v>148</v>
      </c>
      <c r="E301" s="315" t="s">
        <v>1504</v>
      </c>
      <c r="F301" s="316" t="s">
        <v>1505</v>
      </c>
      <c r="G301" s="317" t="s">
        <v>158</v>
      </c>
      <c r="H301" s="318">
        <v>40</v>
      </c>
      <c r="I301" s="79"/>
      <c r="J301" s="319">
        <f t="shared" si="110"/>
        <v>0</v>
      </c>
      <c r="K301" s="316" t="s">
        <v>1</v>
      </c>
      <c r="L301" s="223"/>
      <c r="M301" s="320" t="s">
        <v>1</v>
      </c>
      <c r="N301" s="321" t="s">
        <v>42</v>
      </c>
      <c r="O301" s="322">
        <v>0</v>
      </c>
      <c r="P301" s="322">
        <f t="shared" si="111"/>
        <v>0</v>
      </c>
      <c r="Q301" s="322">
        <v>0</v>
      </c>
      <c r="R301" s="322">
        <f t="shared" si="112"/>
        <v>0</v>
      </c>
      <c r="S301" s="322">
        <v>0</v>
      </c>
      <c r="T301" s="323">
        <f t="shared" si="113"/>
        <v>0</v>
      </c>
      <c r="U301" s="222"/>
      <c r="V301" s="222"/>
      <c r="W301" s="222"/>
      <c r="X301" s="222"/>
      <c r="Y301" s="222"/>
      <c r="Z301" s="222"/>
      <c r="AA301" s="222"/>
      <c r="AB301" s="222"/>
      <c r="AC301" s="222"/>
      <c r="AD301" s="222"/>
      <c r="AE301" s="222"/>
      <c r="AR301" s="324" t="s">
        <v>153</v>
      </c>
      <c r="AT301" s="324" t="s">
        <v>148</v>
      </c>
      <c r="AU301" s="324" t="s">
        <v>83</v>
      </c>
      <c r="AY301" s="214" t="s">
        <v>146</v>
      </c>
      <c r="BE301" s="325">
        <f t="shared" si="114"/>
        <v>0</v>
      </c>
      <c r="BF301" s="325">
        <f t="shared" si="115"/>
        <v>0</v>
      </c>
      <c r="BG301" s="325">
        <f t="shared" si="116"/>
        <v>0</v>
      </c>
      <c r="BH301" s="325">
        <f t="shared" si="117"/>
        <v>0</v>
      </c>
      <c r="BI301" s="325">
        <f t="shared" si="118"/>
        <v>0</v>
      </c>
      <c r="BJ301" s="214" t="s">
        <v>81</v>
      </c>
      <c r="BK301" s="325">
        <f t="shared" si="119"/>
        <v>0</v>
      </c>
      <c r="BL301" s="214" t="s">
        <v>153</v>
      </c>
      <c r="BM301" s="324" t="s">
        <v>2569</v>
      </c>
    </row>
    <row r="302" spans="1:65" s="225" customFormat="1" ht="24.2" customHeight="1">
      <c r="A302" s="222"/>
      <c r="B302" s="223"/>
      <c r="C302" s="314" t="s">
        <v>383</v>
      </c>
      <c r="D302" s="314" t="s">
        <v>148</v>
      </c>
      <c r="E302" s="315" t="s">
        <v>1507</v>
      </c>
      <c r="F302" s="316" t="s">
        <v>1508</v>
      </c>
      <c r="G302" s="317" t="s">
        <v>158</v>
      </c>
      <c r="H302" s="318">
        <v>20</v>
      </c>
      <c r="I302" s="79"/>
      <c r="J302" s="319">
        <f t="shared" si="110"/>
        <v>0</v>
      </c>
      <c r="K302" s="316" t="s">
        <v>1</v>
      </c>
      <c r="L302" s="223"/>
      <c r="M302" s="320" t="s">
        <v>1</v>
      </c>
      <c r="N302" s="321" t="s">
        <v>42</v>
      </c>
      <c r="O302" s="322">
        <v>0</v>
      </c>
      <c r="P302" s="322">
        <f t="shared" si="111"/>
        <v>0</v>
      </c>
      <c r="Q302" s="322">
        <v>0</v>
      </c>
      <c r="R302" s="322">
        <f t="shared" si="112"/>
        <v>0</v>
      </c>
      <c r="S302" s="322">
        <v>0</v>
      </c>
      <c r="T302" s="323">
        <f t="shared" si="113"/>
        <v>0</v>
      </c>
      <c r="U302" s="222"/>
      <c r="V302" s="222"/>
      <c r="W302" s="222"/>
      <c r="X302" s="222"/>
      <c r="Y302" s="222"/>
      <c r="Z302" s="222"/>
      <c r="AA302" s="222"/>
      <c r="AB302" s="222"/>
      <c r="AC302" s="222"/>
      <c r="AD302" s="222"/>
      <c r="AE302" s="222"/>
      <c r="AR302" s="324" t="s">
        <v>153</v>
      </c>
      <c r="AT302" s="324" t="s">
        <v>148</v>
      </c>
      <c r="AU302" s="324" t="s">
        <v>83</v>
      </c>
      <c r="AY302" s="214" t="s">
        <v>146</v>
      </c>
      <c r="BE302" s="325">
        <f t="shared" si="114"/>
        <v>0</v>
      </c>
      <c r="BF302" s="325">
        <f t="shared" si="115"/>
        <v>0</v>
      </c>
      <c r="BG302" s="325">
        <f t="shared" si="116"/>
        <v>0</v>
      </c>
      <c r="BH302" s="325">
        <f t="shared" si="117"/>
        <v>0</v>
      </c>
      <c r="BI302" s="325">
        <f t="shared" si="118"/>
        <v>0</v>
      </c>
      <c r="BJ302" s="214" t="s">
        <v>81</v>
      </c>
      <c r="BK302" s="325">
        <f t="shared" si="119"/>
        <v>0</v>
      </c>
      <c r="BL302" s="214" t="s">
        <v>153</v>
      </c>
      <c r="BM302" s="324" t="s">
        <v>2570</v>
      </c>
    </row>
    <row r="303" spans="1:65" s="225" customFormat="1" ht="55.5" customHeight="1">
      <c r="A303" s="222"/>
      <c r="B303" s="223"/>
      <c r="C303" s="314" t="s">
        <v>387</v>
      </c>
      <c r="D303" s="314" t="s">
        <v>148</v>
      </c>
      <c r="E303" s="315" t="s">
        <v>2571</v>
      </c>
      <c r="F303" s="316" t="s">
        <v>2572</v>
      </c>
      <c r="G303" s="317" t="s">
        <v>1361</v>
      </c>
      <c r="H303" s="318">
        <v>4</v>
      </c>
      <c r="I303" s="79"/>
      <c r="J303" s="319">
        <f t="shared" si="110"/>
        <v>0</v>
      </c>
      <c r="K303" s="316" t="s">
        <v>1</v>
      </c>
      <c r="L303" s="223"/>
      <c r="M303" s="320" t="s">
        <v>1</v>
      </c>
      <c r="N303" s="321" t="s">
        <v>42</v>
      </c>
      <c r="O303" s="322">
        <v>0</v>
      </c>
      <c r="P303" s="322">
        <f t="shared" si="111"/>
        <v>0</v>
      </c>
      <c r="Q303" s="322">
        <v>0</v>
      </c>
      <c r="R303" s="322">
        <f t="shared" si="112"/>
        <v>0</v>
      </c>
      <c r="S303" s="322">
        <v>0</v>
      </c>
      <c r="T303" s="323">
        <f t="shared" si="113"/>
        <v>0</v>
      </c>
      <c r="U303" s="222"/>
      <c r="V303" s="222"/>
      <c r="W303" s="222"/>
      <c r="X303" s="222"/>
      <c r="Y303" s="222"/>
      <c r="Z303" s="222"/>
      <c r="AA303" s="222"/>
      <c r="AB303" s="222"/>
      <c r="AC303" s="222"/>
      <c r="AD303" s="222"/>
      <c r="AE303" s="222"/>
      <c r="AR303" s="324" t="s">
        <v>153</v>
      </c>
      <c r="AT303" s="324" t="s">
        <v>148</v>
      </c>
      <c r="AU303" s="324" t="s">
        <v>83</v>
      </c>
      <c r="AY303" s="214" t="s">
        <v>146</v>
      </c>
      <c r="BE303" s="325">
        <f t="shared" si="114"/>
        <v>0</v>
      </c>
      <c r="BF303" s="325">
        <f t="shared" si="115"/>
        <v>0</v>
      </c>
      <c r="BG303" s="325">
        <f t="shared" si="116"/>
        <v>0</v>
      </c>
      <c r="BH303" s="325">
        <f t="shared" si="117"/>
        <v>0</v>
      </c>
      <c r="BI303" s="325">
        <f t="shared" si="118"/>
        <v>0</v>
      </c>
      <c r="BJ303" s="214" t="s">
        <v>81</v>
      </c>
      <c r="BK303" s="325">
        <f t="shared" si="119"/>
        <v>0</v>
      </c>
      <c r="BL303" s="214" t="s">
        <v>153</v>
      </c>
      <c r="BM303" s="324" t="s">
        <v>2573</v>
      </c>
    </row>
    <row r="304" spans="1:65" s="225" customFormat="1" ht="16.5" customHeight="1">
      <c r="A304" s="222"/>
      <c r="B304" s="223"/>
      <c r="C304" s="314" t="s">
        <v>388</v>
      </c>
      <c r="D304" s="314" t="s">
        <v>148</v>
      </c>
      <c r="E304" s="315" t="s">
        <v>1546</v>
      </c>
      <c r="F304" s="316" t="s">
        <v>1520</v>
      </c>
      <c r="G304" s="317" t="s">
        <v>220</v>
      </c>
      <c r="H304" s="318">
        <v>10</v>
      </c>
      <c r="I304" s="79"/>
      <c r="J304" s="319">
        <f t="shared" si="110"/>
        <v>0</v>
      </c>
      <c r="K304" s="316" t="s">
        <v>1</v>
      </c>
      <c r="L304" s="223"/>
      <c r="M304" s="320" t="s">
        <v>1</v>
      </c>
      <c r="N304" s="321" t="s">
        <v>42</v>
      </c>
      <c r="O304" s="322">
        <v>0</v>
      </c>
      <c r="P304" s="322">
        <f t="shared" si="111"/>
        <v>0</v>
      </c>
      <c r="Q304" s="322">
        <v>0</v>
      </c>
      <c r="R304" s="322">
        <f t="shared" si="112"/>
        <v>0</v>
      </c>
      <c r="S304" s="322">
        <v>0</v>
      </c>
      <c r="T304" s="323">
        <f t="shared" si="113"/>
        <v>0</v>
      </c>
      <c r="U304" s="222"/>
      <c r="V304" s="222"/>
      <c r="W304" s="222"/>
      <c r="X304" s="222"/>
      <c r="Y304" s="222"/>
      <c r="Z304" s="222"/>
      <c r="AA304" s="222"/>
      <c r="AB304" s="222"/>
      <c r="AC304" s="222"/>
      <c r="AD304" s="222"/>
      <c r="AE304" s="222"/>
      <c r="AR304" s="324" t="s">
        <v>153</v>
      </c>
      <c r="AT304" s="324" t="s">
        <v>148</v>
      </c>
      <c r="AU304" s="324" t="s">
        <v>83</v>
      </c>
      <c r="AY304" s="214" t="s">
        <v>146</v>
      </c>
      <c r="BE304" s="325">
        <f t="shared" si="114"/>
        <v>0</v>
      </c>
      <c r="BF304" s="325">
        <f t="shared" si="115"/>
        <v>0</v>
      </c>
      <c r="BG304" s="325">
        <f t="shared" si="116"/>
        <v>0</v>
      </c>
      <c r="BH304" s="325">
        <f t="shared" si="117"/>
        <v>0</v>
      </c>
      <c r="BI304" s="325">
        <f t="shared" si="118"/>
        <v>0</v>
      </c>
      <c r="BJ304" s="214" t="s">
        <v>81</v>
      </c>
      <c r="BK304" s="325">
        <f t="shared" si="119"/>
        <v>0</v>
      </c>
      <c r="BL304" s="214" t="s">
        <v>153</v>
      </c>
      <c r="BM304" s="324" t="s">
        <v>2574</v>
      </c>
    </row>
    <row r="305" spans="1:65" s="225" customFormat="1" ht="24.2" customHeight="1">
      <c r="A305" s="222"/>
      <c r="B305" s="223"/>
      <c r="C305" s="314" t="s">
        <v>389</v>
      </c>
      <c r="D305" s="314" t="s">
        <v>148</v>
      </c>
      <c r="E305" s="315" t="s">
        <v>1522</v>
      </c>
      <c r="F305" s="316" t="s">
        <v>1523</v>
      </c>
      <c r="G305" s="317" t="s">
        <v>151</v>
      </c>
      <c r="H305" s="318">
        <v>0.8</v>
      </c>
      <c r="I305" s="79"/>
      <c r="J305" s="319">
        <f t="shared" si="110"/>
        <v>0</v>
      </c>
      <c r="K305" s="316" t="s">
        <v>1</v>
      </c>
      <c r="L305" s="223"/>
      <c r="M305" s="320" t="s">
        <v>1</v>
      </c>
      <c r="N305" s="321" t="s">
        <v>42</v>
      </c>
      <c r="O305" s="322">
        <v>0</v>
      </c>
      <c r="P305" s="322">
        <f t="shared" si="111"/>
        <v>0</v>
      </c>
      <c r="Q305" s="322">
        <v>0</v>
      </c>
      <c r="R305" s="322">
        <f t="shared" si="112"/>
        <v>0</v>
      </c>
      <c r="S305" s="322">
        <v>0</v>
      </c>
      <c r="T305" s="323">
        <f t="shared" si="113"/>
        <v>0</v>
      </c>
      <c r="U305" s="222"/>
      <c r="V305" s="222"/>
      <c r="W305" s="222"/>
      <c r="X305" s="222"/>
      <c r="Y305" s="222"/>
      <c r="Z305" s="222"/>
      <c r="AA305" s="222"/>
      <c r="AB305" s="222"/>
      <c r="AC305" s="222"/>
      <c r="AD305" s="222"/>
      <c r="AE305" s="222"/>
      <c r="AR305" s="324" t="s">
        <v>153</v>
      </c>
      <c r="AT305" s="324" t="s">
        <v>148</v>
      </c>
      <c r="AU305" s="324" t="s">
        <v>83</v>
      </c>
      <c r="AY305" s="214" t="s">
        <v>146</v>
      </c>
      <c r="BE305" s="325">
        <f t="shared" si="114"/>
        <v>0</v>
      </c>
      <c r="BF305" s="325">
        <f t="shared" si="115"/>
        <v>0</v>
      </c>
      <c r="BG305" s="325">
        <f t="shared" si="116"/>
        <v>0</v>
      </c>
      <c r="BH305" s="325">
        <f t="shared" si="117"/>
        <v>0</v>
      </c>
      <c r="BI305" s="325">
        <f t="shared" si="118"/>
        <v>0</v>
      </c>
      <c r="BJ305" s="214" t="s">
        <v>81</v>
      </c>
      <c r="BK305" s="325">
        <f t="shared" si="119"/>
        <v>0</v>
      </c>
      <c r="BL305" s="214" t="s">
        <v>153</v>
      </c>
      <c r="BM305" s="324" t="s">
        <v>2575</v>
      </c>
    </row>
    <row r="306" spans="1:65" s="225" customFormat="1" ht="16.5" customHeight="1">
      <c r="A306" s="222"/>
      <c r="B306" s="223"/>
      <c r="C306" s="314" t="s">
        <v>390</v>
      </c>
      <c r="D306" s="314" t="s">
        <v>148</v>
      </c>
      <c r="E306" s="315" t="s">
        <v>1528</v>
      </c>
      <c r="F306" s="316" t="s">
        <v>2576</v>
      </c>
      <c r="G306" s="317" t="s">
        <v>1361</v>
      </c>
      <c r="H306" s="318">
        <v>10</v>
      </c>
      <c r="I306" s="79"/>
      <c r="J306" s="319">
        <f t="shared" si="110"/>
        <v>0</v>
      </c>
      <c r="K306" s="316" t="s">
        <v>1</v>
      </c>
      <c r="L306" s="223"/>
      <c r="M306" s="320" t="s">
        <v>1</v>
      </c>
      <c r="N306" s="321" t="s">
        <v>42</v>
      </c>
      <c r="O306" s="322">
        <v>0</v>
      </c>
      <c r="P306" s="322">
        <f t="shared" si="111"/>
        <v>0</v>
      </c>
      <c r="Q306" s="322">
        <v>0</v>
      </c>
      <c r="R306" s="322">
        <f t="shared" si="112"/>
        <v>0</v>
      </c>
      <c r="S306" s="322">
        <v>0</v>
      </c>
      <c r="T306" s="323">
        <f t="shared" si="113"/>
        <v>0</v>
      </c>
      <c r="U306" s="222"/>
      <c r="V306" s="222"/>
      <c r="W306" s="222"/>
      <c r="X306" s="222"/>
      <c r="Y306" s="222"/>
      <c r="Z306" s="222"/>
      <c r="AA306" s="222"/>
      <c r="AB306" s="222"/>
      <c r="AC306" s="222"/>
      <c r="AD306" s="222"/>
      <c r="AE306" s="222"/>
      <c r="AR306" s="324" t="s">
        <v>153</v>
      </c>
      <c r="AT306" s="324" t="s">
        <v>148</v>
      </c>
      <c r="AU306" s="324" t="s">
        <v>83</v>
      </c>
      <c r="AY306" s="214" t="s">
        <v>146</v>
      </c>
      <c r="BE306" s="325">
        <f t="shared" si="114"/>
        <v>0</v>
      </c>
      <c r="BF306" s="325">
        <f t="shared" si="115"/>
        <v>0</v>
      </c>
      <c r="BG306" s="325">
        <f t="shared" si="116"/>
        <v>0</v>
      </c>
      <c r="BH306" s="325">
        <f t="shared" si="117"/>
        <v>0</v>
      </c>
      <c r="BI306" s="325">
        <f t="shared" si="118"/>
        <v>0</v>
      </c>
      <c r="BJ306" s="214" t="s">
        <v>81</v>
      </c>
      <c r="BK306" s="325">
        <f t="shared" si="119"/>
        <v>0</v>
      </c>
      <c r="BL306" s="214" t="s">
        <v>153</v>
      </c>
      <c r="BM306" s="324" t="s">
        <v>2577</v>
      </c>
    </row>
    <row r="307" spans="1:65" s="225" customFormat="1" ht="16.5" customHeight="1">
      <c r="A307" s="222"/>
      <c r="B307" s="223"/>
      <c r="C307" s="314" t="s">
        <v>395</v>
      </c>
      <c r="D307" s="314" t="s">
        <v>148</v>
      </c>
      <c r="E307" s="315" t="s">
        <v>1519</v>
      </c>
      <c r="F307" s="316" t="s">
        <v>2562</v>
      </c>
      <c r="G307" s="317" t="s">
        <v>1548</v>
      </c>
      <c r="H307" s="318">
        <v>40</v>
      </c>
      <c r="I307" s="79"/>
      <c r="J307" s="319">
        <f t="shared" si="110"/>
        <v>0</v>
      </c>
      <c r="K307" s="316" t="s">
        <v>1</v>
      </c>
      <c r="L307" s="223"/>
      <c r="M307" s="320" t="s">
        <v>1</v>
      </c>
      <c r="N307" s="321" t="s">
        <v>42</v>
      </c>
      <c r="O307" s="322">
        <v>0</v>
      </c>
      <c r="P307" s="322">
        <f t="shared" si="111"/>
        <v>0</v>
      </c>
      <c r="Q307" s="322">
        <v>0</v>
      </c>
      <c r="R307" s="322">
        <f t="shared" si="112"/>
        <v>0</v>
      </c>
      <c r="S307" s="322">
        <v>0</v>
      </c>
      <c r="T307" s="323">
        <f t="shared" si="113"/>
        <v>0</v>
      </c>
      <c r="U307" s="222"/>
      <c r="V307" s="222"/>
      <c r="W307" s="222"/>
      <c r="X307" s="222"/>
      <c r="Y307" s="222"/>
      <c r="Z307" s="222"/>
      <c r="AA307" s="222"/>
      <c r="AB307" s="222"/>
      <c r="AC307" s="222"/>
      <c r="AD307" s="222"/>
      <c r="AE307" s="222"/>
      <c r="AR307" s="324" t="s">
        <v>153</v>
      </c>
      <c r="AT307" s="324" t="s">
        <v>148</v>
      </c>
      <c r="AU307" s="324" t="s">
        <v>83</v>
      </c>
      <c r="AY307" s="214" t="s">
        <v>146</v>
      </c>
      <c r="BE307" s="325">
        <f t="shared" si="114"/>
        <v>0</v>
      </c>
      <c r="BF307" s="325">
        <f t="shared" si="115"/>
        <v>0</v>
      </c>
      <c r="BG307" s="325">
        <f t="shared" si="116"/>
        <v>0</v>
      </c>
      <c r="BH307" s="325">
        <f t="shared" si="117"/>
        <v>0</v>
      </c>
      <c r="BI307" s="325">
        <f t="shared" si="118"/>
        <v>0</v>
      </c>
      <c r="BJ307" s="214" t="s">
        <v>81</v>
      </c>
      <c r="BK307" s="325">
        <f t="shared" si="119"/>
        <v>0</v>
      </c>
      <c r="BL307" s="214" t="s">
        <v>153</v>
      </c>
      <c r="BM307" s="324" t="s">
        <v>2578</v>
      </c>
    </row>
    <row r="308" spans="1:65" s="225" customFormat="1" ht="37.9" customHeight="1">
      <c r="A308" s="222"/>
      <c r="B308" s="223"/>
      <c r="C308" s="314" t="s">
        <v>397</v>
      </c>
      <c r="D308" s="314" t="s">
        <v>148</v>
      </c>
      <c r="E308" s="315" t="s">
        <v>1550</v>
      </c>
      <c r="F308" s="316" t="s">
        <v>2579</v>
      </c>
      <c r="G308" s="317" t="s">
        <v>220</v>
      </c>
      <c r="H308" s="318">
        <v>10</v>
      </c>
      <c r="I308" s="79"/>
      <c r="J308" s="319">
        <f t="shared" si="110"/>
        <v>0</v>
      </c>
      <c r="K308" s="316" t="s">
        <v>1</v>
      </c>
      <c r="L308" s="223"/>
      <c r="M308" s="320" t="s">
        <v>1</v>
      </c>
      <c r="N308" s="321" t="s">
        <v>42</v>
      </c>
      <c r="O308" s="322">
        <v>0</v>
      </c>
      <c r="P308" s="322">
        <f t="shared" si="111"/>
        <v>0</v>
      </c>
      <c r="Q308" s="322">
        <v>0</v>
      </c>
      <c r="R308" s="322">
        <f t="shared" si="112"/>
        <v>0</v>
      </c>
      <c r="S308" s="322">
        <v>0</v>
      </c>
      <c r="T308" s="323">
        <f t="shared" si="113"/>
        <v>0</v>
      </c>
      <c r="U308" s="222"/>
      <c r="V308" s="222"/>
      <c r="W308" s="222"/>
      <c r="X308" s="222"/>
      <c r="Y308" s="222"/>
      <c r="Z308" s="222"/>
      <c r="AA308" s="222"/>
      <c r="AB308" s="222"/>
      <c r="AC308" s="222"/>
      <c r="AD308" s="222"/>
      <c r="AE308" s="222"/>
      <c r="AR308" s="324" t="s">
        <v>153</v>
      </c>
      <c r="AT308" s="324" t="s">
        <v>148</v>
      </c>
      <c r="AU308" s="324" t="s">
        <v>83</v>
      </c>
      <c r="AY308" s="214" t="s">
        <v>146</v>
      </c>
      <c r="BE308" s="325">
        <f t="shared" si="114"/>
        <v>0</v>
      </c>
      <c r="BF308" s="325">
        <f t="shared" si="115"/>
        <v>0</v>
      </c>
      <c r="BG308" s="325">
        <f t="shared" si="116"/>
        <v>0</v>
      </c>
      <c r="BH308" s="325">
        <f t="shared" si="117"/>
        <v>0</v>
      </c>
      <c r="BI308" s="325">
        <f t="shared" si="118"/>
        <v>0</v>
      </c>
      <c r="BJ308" s="214" t="s">
        <v>81</v>
      </c>
      <c r="BK308" s="325">
        <f t="shared" si="119"/>
        <v>0</v>
      </c>
      <c r="BL308" s="214" t="s">
        <v>153</v>
      </c>
      <c r="BM308" s="324" t="s">
        <v>2580</v>
      </c>
    </row>
    <row r="309" spans="1:65" s="225" customFormat="1" ht="24.2" customHeight="1">
      <c r="A309" s="222"/>
      <c r="B309" s="223"/>
      <c r="C309" s="314" t="s">
        <v>400</v>
      </c>
      <c r="D309" s="314" t="s">
        <v>148</v>
      </c>
      <c r="E309" s="315" t="s">
        <v>1553</v>
      </c>
      <c r="F309" s="316" t="s">
        <v>2581</v>
      </c>
      <c r="G309" s="317" t="s">
        <v>1361</v>
      </c>
      <c r="H309" s="318">
        <v>1</v>
      </c>
      <c r="I309" s="79"/>
      <c r="J309" s="319">
        <f t="shared" si="110"/>
        <v>0</v>
      </c>
      <c r="K309" s="316" t="s">
        <v>1</v>
      </c>
      <c r="L309" s="223"/>
      <c r="M309" s="320" t="s">
        <v>1</v>
      </c>
      <c r="N309" s="321" t="s">
        <v>42</v>
      </c>
      <c r="O309" s="322">
        <v>0</v>
      </c>
      <c r="P309" s="322">
        <f t="shared" si="111"/>
        <v>0</v>
      </c>
      <c r="Q309" s="322">
        <v>0</v>
      </c>
      <c r="R309" s="322">
        <f t="shared" si="112"/>
        <v>0</v>
      </c>
      <c r="S309" s="322">
        <v>0</v>
      </c>
      <c r="T309" s="323">
        <f t="shared" si="113"/>
        <v>0</v>
      </c>
      <c r="U309" s="222"/>
      <c r="V309" s="222"/>
      <c r="W309" s="222"/>
      <c r="X309" s="222"/>
      <c r="Y309" s="222"/>
      <c r="Z309" s="222"/>
      <c r="AA309" s="222"/>
      <c r="AB309" s="222"/>
      <c r="AC309" s="222"/>
      <c r="AD309" s="222"/>
      <c r="AE309" s="222"/>
      <c r="AR309" s="324" t="s">
        <v>153</v>
      </c>
      <c r="AT309" s="324" t="s">
        <v>148</v>
      </c>
      <c r="AU309" s="324" t="s">
        <v>83</v>
      </c>
      <c r="AY309" s="214" t="s">
        <v>146</v>
      </c>
      <c r="BE309" s="325">
        <f t="shared" si="114"/>
        <v>0</v>
      </c>
      <c r="BF309" s="325">
        <f t="shared" si="115"/>
        <v>0</v>
      </c>
      <c r="BG309" s="325">
        <f t="shared" si="116"/>
        <v>0</v>
      </c>
      <c r="BH309" s="325">
        <f t="shared" si="117"/>
        <v>0</v>
      </c>
      <c r="BI309" s="325">
        <f t="shared" si="118"/>
        <v>0</v>
      </c>
      <c r="BJ309" s="214" t="s">
        <v>81</v>
      </c>
      <c r="BK309" s="325">
        <f t="shared" si="119"/>
        <v>0</v>
      </c>
      <c r="BL309" s="214" t="s">
        <v>153</v>
      </c>
      <c r="BM309" s="324" t="s">
        <v>2582</v>
      </c>
    </row>
    <row r="310" spans="1:65" s="225" customFormat="1" ht="24.2" customHeight="1">
      <c r="A310" s="222"/>
      <c r="B310" s="223"/>
      <c r="C310" s="314" t="s">
        <v>404</v>
      </c>
      <c r="D310" s="314" t="s">
        <v>148</v>
      </c>
      <c r="E310" s="315" t="s">
        <v>1623</v>
      </c>
      <c r="F310" s="316" t="s">
        <v>1624</v>
      </c>
      <c r="G310" s="317" t="s">
        <v>1361</v>
      </c>
      <c r="H310" s="318">
        <v>60</v>
      </c>
      <c r="I310" s="79"/>
      <c r="J310" s="319">
        <f t="shared" si="110"/>
        <v>0</v>
      </c>
      <c r="K310" s="316" t="s">
        <v>1</v>
      </c>
      <c r="L310" s="223"/>
      <c r="M310" s="320" t="s">
        <v>1</v>
      </c>
      <c r="N310" s="321" t="s">
        <v>42</v>
      </c>
      <c r="O310" s="322">
        <v>0</v>
      </c>
      <c r="P310" s="322">
        <f t="shared" si="111"/>
        <v>0</v>
      </c>
      <c r="Q310" s="322">
        <v>0</v>
      </c>
      <c r="R310" s="322">
        <f t="shared" si="112"/>
        <v>0</v>
      </c>
      <c r="S310" s="322">
        <v>0</v>
      </c>
      <c r="T310" s="323">
        <f t="shared" si="113"/>
        <v>0</v>
      </c>
      <c r="U310" s="222"/>
      <c r="V310" s="222"/>
      <c r="W310" s="222"/>
      <c r="X310" s="222"/>
      <c r="Y310" s="222"/>
      <c r="Z310" s="222"/>
      <c r="AA310" s="222"/>
      <c r="AB310" s="222"/>
      <c r="AC310" s="222"/>
      <c r="AD310" s="222"/>
      <c r="AE310" s="222"/>
      <c r="AR310" s="324" t="s">
        <v>153</v>
      </c>
      <c r="AT310" s="324" t="s">
        <v>148</v>
      </c>
      <c r="AU310" s="324" t="s">
        <v>83</v>
      </c>
      <c r="AY310" s="214" t="s">
        <v>146</v>
      </c>
      <c r="BE310" s="325">
        <f t="shared" si="114"/>
        <v>0</v>
      </c>
      <c r="BF310" s="325">
        <f t="shared" si="115"/>
        <v>0</v>
      </c>
      <c r="BG310" s="325">
        <f t="shared" si="116"/>
        <v>0</v>
      </c>
      <c r="BH310" s="325">
        <f t="shared" si="117"/>
        <v>0</v>
      </c>
      <c r="BI310" s="325">
        <f t="shared" si="118"/>
        <v>0</v>
      </c>
      <c r="BJ310" s="214" t="s">
        <v>81</v>
      </c>
      <c r="BK310" s="325">
        <f t="shared" si="119"/>
        <v>0</v>
      </c>
      <c r="BL310" s="214" t="s">
        <v>153</v>
      </c>
      <c r="BM310" s="324" t="s">
        <v>2583</v>
      </c>
    </row>
    <row r="311" spans="1:65" s="225" customFormat="1" ht="24.2" customHeight="1">
      <c r="A311" s="222"/>
      <c r="B311" s="223"/>
      <c r="C311" s="314" t="s">
        <v>409</v>
      </c>
      <c r="D311" s="314" t="s">
        <v>148</v>
      </c>
      <c r="E311" s="315" t="s">
        <v>1626</v>
      </c>
      <c r="F311" s="316" t="s">
        <v>2584</v>
      </c>
      <c r="G311" s="317" t="s">
        <v>158</v>
      </c>
      <c r="H311" s="318">
        <v>330</v>
      </c>
      <c r="I311" s="79"/>
      <c r="J311" s="319">
        <f t="shared" si="110"/>
        <v>0</v>
      </c>
      <c r="K311" s="316" t="s">
        <v>1</v>
      </c>
      <c r="L311" s="223"/>
      <c r="M311" s="320" t="s">
        <v>1</v>
      </c>
      <c r="N311" s="321" t="s">
        <v>42</v>
      </c>
      <c r="O311" s="322">
        <v>0</v>
      </c>
      <c r="P311" s="322">
        <f t="shared" si="111"/>
        <v>0</v>
      </c>
      <c r="Q311" s="322">
        <v>0</v>
      </c>
      <c r="R311" s="322">
        <f t="shared" si="112"/>
        <v>0</v>
      </c>
      <c r="S311" s="322">
        <v>0</v>
      </c>
      <c r="T311" s="323">
        <f t="shared" si="113"/>
        <v>0</v>
      </c>
      <c r="U311" s="222"/>
      <c r="V311" s="222"/>
      <c r="W311" s="222"/>
      <c r="X311" s="222"/>
      <c r="Y311" s="222"/>
      <c r="Z311" s="222"/>
      <c r="AA311" s="222"/>
      <c r="AB311" s="222"/>
      <c r="AC311" s="222"/>
      <c r="AD311" s="222"/>
      <c r="AE311" s="222"/>
      <c r="AR311" s="324" t="s">
        <v>153</v>
      </c>
      <c r="AT311" s="324" t="s">
        <v>148</v>
      </c>
      <c r="AU311" s="324" t="s">
        <v>83</v>
      </c>
      <c r="AY311" s="214" t="s">
        <v>146</v>
      </c>
      <c r="BE311" s="325">
        <f t="shared" si="114"/>
        <v>0</v>
      </c>
      <c r="BF311" s="325">
        <f t="shared" si="115"/>
        <v>0</v>
      </c>
      <c r="BG311" s="325">
        <f t="shared" si="116"/>
        <v>0</v>
      </c>
      <c r="BH311" s="325">
        <f t="shared" si="117"/>
        <v>0</v>
      </c>
      <c r="BI311" s="325">
        <f t="shared" si="118"/>
        <v>0</v>
      </c>
      <c r="BJ311" s="214" t="s">
        <v>81</v>
      </c>
      <c r="BK311" s="325">
        <f t="shared" si="119"/>
        <v>0</v>
      </c>
      <c r="BL311" s="214" t="s">
        <v>153</v>
      </c>
      <c r="BM311" s="324" t="s">
        <v>2585</v>
      </c>
    </row>
    <row r="312" spans="1:65" s="225" customFormat="1" ht="16.5" customHeight="1">
      <c r="A312" s="222"/>
      <c r="B312" s="223"/>
      <c r="C312" s="314" t="s">
        <v>413</v>
      </c>
      <c r="D312" s="314" t="s">
        <v>148</v>
      </c>
      <c r="E312" s="315" t="s">
        <v>1629</v>
      </c>
      <c r="F312" s="316" t="s">
        <v>1630</v>
      </c>
      <c r="G312" s="317" t="s">
        <v>151</v>
      </c>
      <c r="H312" s="318">
        <v>330</v>
      </c>
      <c r="I312" s="79"/>
      <c r="J312" s="319">
        <f t="shared" si="110"/>
        <v>0</v>
      </c>
      <c r="K312" s="316" t="s">
        <v>1</v>
      </c>
      <c r="L312" s="223"/>
      <c r="M312" s="320" t="s">
        <v>1</v>
      </c>
      <c r="N312" s="321" t="s">
        <v>42</v>
      </c>
      <c r="O312" s="322">
        <v>0</v>
      </c>
      <c r="P312" s="322">
        <f t="shared" si="111"/>
        <v>0</v>
      </c>
      <c r="Q312" s="322">
        <v>0</v>
      </c>
      <c r="R312" s="322">
        <f t="shared" si="112"/>
        <v>0</v>
      </c>
      <c r="S312" s="322">
        <v>0</v>
      </c>
      <c r="T312" s="323">
        <f t="shared" si="113"/>
        <v>0</v>
      </c>
      <c r="U312" s="222"/>
      <c r="V312" s="222"/>
      <c r="W312" s="222"/>
      <c r="X312" s="222"/>
      <c r="Y312" s="222"/>
      <c r="Z312" s="222"/>
      <c r="AA312" s="222"/>
      <c r="AB312" s="222"/>
      <c r="AC312" s="222"/>
      <c r="AD312" s="222"/>
      <c r="AE312" s="222"/>
      <c r="AR312" s="324" t="s">
        <v>153</v>
      </c>
      <c r="AT312" s="324" t="s">
        <v>148</v>
      </c>
      <c r="AU312" s="324" t="s">
        <v>83</v>
      </c>
      <c r="AY312" s="214" t="s">
        <v>146</v>
      </c>
      <c r="BE312" s="325">
        <f t="shared" si="114"/>
        <v>0</v>
      </c>
      <c r="BF312" s="325">
        <f t="shared" si="115"/>
        <v>0</v>
      </c>
      <c r="BG312" s="325">
        <f t="shared" si="116"/>
        <v>0</v>
      </c>
      <c r="BH312" s="325">
        <f t="shared" si="117"/>
        <v>0</v>
      </c>
      <c r="BI312" s="325">
        <f t="shared" si="118"/>
        <v>0</v>
      </c>
      <c r="BJ312" s="214" t="s">
        <v>81</v>
      </c>
      <c r="BK312" s="325">
        <f t="shared" si="119"/>
        <v>0</v>
      </c>
      <c r="BL312" s="214" t="s">
        <v>153</v>
      </c>
      <c r="BM312" s="324" t="s">
        <v>2586</v>
      </c>
    </row>
    <row r="313" spans="1:65" s="225" customFormat="1" ht="16.5" customHeight="1">
      <c r="A313" s="222"/>
      <c r="B313" s="223"/>
      <c r="C313" s="314" t="s">
        <v>417</v>
      </c>
      <c r="D313" s="314" t="s">
        <v>148</v>
      </c>
      <c r="E313" s="315" t="s">
        <v>1644</v>
      </c>
      <c r="F313" s="316" t="s">
        <v>2587</v>
      </c>
      <c r="G313" s="317" t="s">
        <v>1548</v>
      </c>
      <c r="H313" s="318">
        <v>14</v>
      </c>
      <c r="I313" s="79"/>
      <c r="J313" s="319">
        <f t="shared" si="110"/>
        <v>0</v>
      </c>
      <c r="K313" s="316" t="s">
        <v>1</v>
      </c>
      <c r="L313" s="223"/>
      <c r="M313" s="320" t="s">
        <v>1</v>
      </c>
      <c r="N313" s="321" t="s">
        <v>42</v>
      </c>
      <c r="O313" s="322">
        <v>0</v>
      </c>
      <c r="P313" s="322">
        <f t="shared" si="111"/>
        <v>0</v>
      </c>
      <c r="Q313" s="322">
        <v>0</v>
      </c>
      <c r="R313" s="322">
        <f t="shared" si="112"/>
        <v>0</v>
      </c>
      <c r="S313" s="322">
        <v>0</v>
      </c>
      <c r="T313" s="323">
        <f t="shared" si="113"/>
        <v>0</v>
      </c>
      <c r="U313" s="222"/>
      <c r="V313" s="222"/>
      <c r="W313" s="222"/>
      <c r="X313" s="222"/>
      <c r="Y313" s="222"/>
      <c r="Z313" s="222"/>
      <c r="AA313" s="222"/>
      <c r="AB313" s="222"/>
      <c r="AC313" s="222"/>
      <c r="AD313" s="222"/>
      <c r="AE313" s="222"/>
      <c r="AR313" s="324" t="s">
        <v>153</v>
      </c>
      <c r="AT313" s="324" t="s">
        <v>148</v>
      </c>
      <c r="AU313" s="324" t="s">
        <v>83</v>
      </c>
      <c r="AY313" s="214" t="s">
        <v>146</v>
      </c>
      <c r="BE313" s="325">
        <f t="shared" si="114"/>
        <v>0</v>
      </c>
      <c r="BF313" s="325">
        <f t="shared" si="115"/>
        <v>0</v>
      </c>
      <c r="BG313" s="325">
        <f t="shared" si="116"/>
        <v>0</v>
      </c>
      <c r="BH313" s="325">
        <f t="shared" si="117"/>
        <v>0</v>
      </c>
      <c r="BI313" s="325">
        <f t="shared" si="118"/>
        <v>0</v>
      </c>
      <c r="BJ313" s="214" t="s">
        <v>81</v>
      </c>
      <c r="BK313" s="325">
        <f t="shared" si="119"/>
        <v>0</v>
      </c>
      <c r="BL313" s="214" t="s">
        <v>153</v>
      </c>
      <c r="BM313" s="324" t="s">
        <v>2588</v>
      </c>
    </row>
    <row r="314" spans="1:65" s="225" customFormat="1" ht="21.75" customHeight="1">
      <c r="A314" s="222"/>
      <c r="B314" s="223"/>
      <c r="C314" s="314" t="s">
        <v>423</v>
      </c>
      <c r="D314" s="314" t="s">
        <v>148</v>
      </c>
      <c r="E314" s="315" t="s">
        <v>1647</v>
      </c>
      <c r="F314" s="316" t="s">
        <v>2589</v>
      </c>
      <c r="G314" s="317" t="s">
        <v>1548</v>
      </c>
      <c r="H314" s="318">
        <v>6</v>
      </c>
      <c r="I314" s="79"/>
      <c r="J314" s="319">
        <f t="shared" si="110"/>
        <v>0</v>
      </c>
      <c r="K314" s="316" t="s">
        <v>1</v>
      </c>
      <c r="L314" s="223"/>
      <c r="M314" s="320" t="s">
        <v>1</v>
      </c>
      <c r="N314" s="321" t="s">
        <v>42</v>
      </c>
      <c r="O314" s="322">
        <v>0</v>
      </c>
      <c r="P314" s="322">
        <f t="shared" si="111"/>
        <v>0</v>
      </c>
      <c r="Q314" s="322">
        <v>0</v>
      </c>
      <c r="R314" s="322">
        <f t="shared" si="112"/>
        <v>0</v>
      </c>
      <c r="S314" s="322">
        <v>0</v>
      </c>
      <c r="T314" s="323">
        <f t="shared" si="113"/>
        <v>0</v>
      </c>
      <c r="U314" s="222"/>
      <c r="V314" s="222"/>
      <c r="W314" s="222"/>
      <c r="X314" s="222"/>
      <c r="Y314" s="222"/>
      <c r="Z314" s="222"/>
      <c r="AA314" s="222"/>
      <c r="AB314" s="222"/>
      <c r="AC314" s="222"/>
      <c r="AD314" s="222"/>
      <c r="AE314" s="222"/>
      <c r="AR314" s="324" t="s">
        <v>153</v>
      </c>
      <c r="AT314" s="324" t="s">
        <v>148</v>
      </c>
      <c r="AU314" s="324" t="s">
        <v>83</v>
      </c>
      <c r="AY314" s="214" t="s">
        <v>146</v>
      </c>
      <c r="BE314" s="325">
        <f t="shared" si="114"/>
        <v>0</v>
      </c>
      <c r="BF314" s="325">
        <f t="shared" si="115"/>
        <v>0</v>
      </c>
      <c r="BG314" s="325">
        <f t="shared" si="116"/>
        <v>0</v>
      </c>
      <c r="BH314" s="325">
        <f t="shared" si="117"/>
        <v>0</v>
      </c>
      <c r="BI314" s="325">
        <f t="shared" si="118"/>
        <v>0</v>
      </c>
      <c r="BJ314" s="214" t="s">
        <v>81</v>
      </c>
      <c r="BK314" s="325">
        <f t="shared" si="119"/>
        <v>0</v>
      </c>
      <c r="BL314" s="214" t="s">
        <v>153</v>
      </c>
      <c r="BM314" s="324" t="s">
        <v>2590</v>
      </c>
    </row>
    <row r="315" spans="1:65" s="225" customFormat="1" ht="24.2" customHeight="1">
      <c r="A315" s="222"/>
      <c r="B315" s="223"/>
      <c r="C315" s="314" t="s">
        <v>429</v>
      </c>
      <c r="D315" s="314" t="s">
        <v>148</v>
      </c>
      <c r="E315" s="315" t="s">
        <v>1650</v>
      </c>
      <c r="F315" s="316" t="s">
        <v>1651</v>
      </c>
      <c r="G315" s="317" t="s">
        <v>1548</v>
      </c>
      <c r="H315" s="318">
        <v>6</v>
      </c>
      <c r="I315" s="79"/>
      <c r="J315" s="319">
        <f t="shared" si="110"/>
        <v>0</v>
      </c>
      <c r="K315" s="316" t="s">
        <v>1</v>
      </c>
      <c r="L315" s="223"/>
      <c r="M315" s="320" t="s">
        <v>1</v>
      </c>
      <c r="N315" s="321" t="s">
        <v>42</v>
      </c>
      <c r="O315" s="322">
        <v>0</v>
      </c>
      <c r="P315" s="322">
        <f t="shared" si="111"/>
        <v>0</v>
      </c>
      <c r="Q315" s="322">
        <v>0</v>
      </c>
      <c r="R315" s="322">
        <f t="shared" si="112"/>
        <v>0</v>
      </c>
      <c r="S315" s="322">
        <v>0</v>
      </c>
      <c r="T315" s="323">
        <f t="shared" si="113"/>
        <v>0</v>
      </c>
      <c r="U315" s="222"/>
      <c r="V315" s="222"/>
      <c r="W315" s="222"/>
      <c r="X315" s="222"/>
      <c r="Y315" s="222"/>
      <c r="Z315" s="222"/>
      <c r="AA315" s="222"/>
      <c r="AB315" s="222"/>
      <c r="AC315" s="222"/>
      <c r="AD315" s="222"/>
      <c r="AE315" s="222"/>
      <c r="AR315" s="324" t="s">
        <v>153</v>
      </c>
      <c r="AT315" s="324" t="s">
        <v>148</v>
      </c>
      <c r="AU315" s="324" t="s">
        <v>83</v>
      </c>
      <c r="AY315" s="214" t="s">
        <v>146</v>
      </c>
      <c r="BE315" s="325">
        <f t="shared" si="114"/>
        <v>0</v>
      </c>
      <c r="BF315" s="325">
        <f t="shared" si="115"/>
        <v>0</v>
      </c>
      <c r="BG315" s="325">
        <f t="shared" si="116"/>
        <v>0</v>
      </c>
      <c r="BH315" s="325">
        <f t="shared" si="117"/>
        <v>0</v>
      </c>
      <c r="BI315" s="325">
        <f t="shared" si="118"/>
        <v>0</v>
      </c>
      <c r="BJ315" s="214" t="s">
        <v>81</v>
      </c>
      <c r="BK315" s="325">
        <f t="shared" si="119"/>
        <v>0</v>
      </c>
      <c r="BL315" s="214" t="s">
        <v>153</v>
      </c>
      <c r="BM315" s="324" t="s">
        <v>2591</v>
      </c>
    </row>
    <row r="316" spans="1:65" s="225" customFormat="1" ht="37.9" customHeight="1">
      <c r="A316" s="222"/>
      <c r="B316" s="223"/>
      <c r="C316" s="314" t="s">
        <v>431</v>
      </c>
      <c r="D316" s="314" t="s">
        <v>148</v>
      </c>
      <c r="E316" s="315" t="s">
        <v>1652</v>
      </c>
      <c r="F316" s="316" t="s">
        <v>1653</v>
      </c>
      <c r="G316" s="317" t="s">
        <v>1548</v>
      </c>
      <c r="H316" s="318">
        <v>24</v>
      </c>
      <c r="I316" s="79"/>
      <c r="J316" s="319">
        <f t="shared" si="110"/>
        <v>0</v>
      </c>
      <c r="K316" s="316" t="s">
        <v>1</v>
      </c>
      <c r="L316" s="223"/>
      <c r="M316" s="320" t="s">
        <v>1</v>
      </c>
      <c r="N316" s="321" t="s">
        <v>42</v>
      </c>
      <c r="O316" s="322">
        <v>0</v>
      </c>
      <c r="P316" s="322">
        <f t="shared" si="111"/>
        <v>0</v>
      </c>
      <c r="Q316" s="322">
        <v>0</v>
      </c>
      <c r="R316" s="322">
        <f t="shared" si="112"/>
        <v>0</v>
      </c>
      <c r="S316" s="322">
        <v>0</v>
      </c>
      <c r="T316" s="323">
        <f t="shared" si="113"/>
        <v>0</v>
      </c>
      <c r="U316" s="222"/>
      <c r="V316" s="222"/>
      <c r="W316" s="222"/>
      <c r="X316" s="222"/>
      <c r="Y316" s="222"/>
      <c r="Z316" s="222"/>
      <c r="AA316" s="222"/>
      <c r="AB316" s="222"/>
      <c r="AC316" s="222"/>
      <c r="AD316" s="222"/>
      <c r="AE316" s="222"/>
      <c r="AR316" s="324" t="s">
        <v>153</v>
      </c>
      <c r="AT316" s="324" t="s">
        <v>148</v>
      </c>
      <c r="AU316" s="324" t="s">
        <v>83</v>
      </c>
      <c r="AY316" s="214" t="s">
        <v>146</v>
      </c>
      <c r="BE316" s="325">
        <f t="shared" si="114"/>
        <v>0</v>
      </c>
      <c r="BF316" s="325">
        <f t="shared" si="115"/>
        <v>0</v>
      </c>
      <c r="BG316" s="325">
        <f t="shared" si="116"/>
        <v>0</v>
      </c>
      <c r="BH316" s="325">
        <f t="shared" si="117"/>
        <v>0</v>
      </c>
      <c r="BI316" s="325">
        <f t="shared" si="118"/>
        <v>0</v>
      </c>
      <c r="BJ316" s="214" t="s">
        <v>81</v>
      </c>
      <c r="BK316" s="325">
        <f t="shared" si="119"/>
        <v>0</v>
      </c>
      <c r="BL316" s="214" t="s">
        <v>153</v>
      </c>
      <c r="BM316" s="324" t="s">
        <v>2592</v>
      </c>
    </row>
    <row r="317" spans="2:63" s="297" customFormat="1" ht="25.9" customHeight="1">
      <c r="B317" s="298"/>
      <c r="D317" s="299" t="s">
        <v>75</v>
      </c>
      <c r="E317" s="300" t="s">
        <v>1481</v>
      </c>
      <c r="F317" s="300" t="s">
        <v>3787</v>
      </c>
      <c r="I317" s="501"/>
      <c r="J317" s="301">
        <f>SUM(J318:J325)</f>
        <v>0</v>
      </c>
      <c r="L317" s="298"/>
      <c r="M317" s="303"/>
      <c r="N317" s="304"/>
      <c r="O317" s="304"/>
      <c r="P317" s="305">
        <f>SUM(P318:P325)</f>
        <v>0</v>
      </c>
      <c r="Q317" s="304"/>
      <c r="R317" s="305">
        <f>SUM(R318:R325)</f>
        <v>0</v>
      </c>
      <c r="S317" s="304"/>
      <c r="T317" s="313">
        <f>SUM(T318:T325)</f>
        <v>0</v>
      </c>
      <c r="AR317" s="299" t="s">
        <v>81</v>
      </c>
      <c r="AT317" s="308" t="s">
        <v>75</v>
      </c>
      <c r="AU317" s="308" t="s">
        <v>76</v>
      </c>
      <c r="AY317" s="299" t="s">
        <v>146</v>
      </c>
      <c r="BK317" s="309">
        <f>SUM(BK318:BK325)</f>
        <v>0</v>
      </c>
    </row>
    <row r="318" spans="1:65" s="263" customFormat="1" ht="24.2" customHeight="1">
      <c r="A318" s="258"/>
      <c r="B318" s="259"/>
      <c r="C318" s="357" t="s">
        <v>435</v>
      </c>
      <c r="D318" s="357" t="s">
        <v>148</v>
      </c>
      <c r="E318" s="397" t="s">
        <v>1655</v>
      </c>
      <c r="F318" s="344" t="s">
        <v>1656</v>
      </c>
      <c r="G318" s="399" t="s">
        <v>1657</v>
      </c>
      <c r="H318" s="400">
        <v>0.5</v>
      </c>
      <c r="I318" s="85"/>
      <c r="J318" s="401">
        <f aca="true" t="shared" si="120" ref="J318:J325">ROUND(I318*H318,2)</f>
        <v>0</v>
      </c>
      <c r="K318" s="344" t="s">
        <v>1</v>
      </c>
      <c r="L318" s="259"/>
      <c r="M318" s="402" t="s">
        <v>1</v>
      </c>
      <c r="N318" s="403" t="s">
        <v>42</v>
      </c>
      <c r="O318" s="404">
        <v>0</v>
      </c>
      <c r="P318" s="404">
        <f aca="true" t="shared" si="121" ref="P318:P325">O318*H318</f>
        <v>0</v>
      </c>
      <c r="Q318" s="404">
        <v>0</v>
      </c>
      <c r="R318" s="404">
        <f aca="true" t="shared" si="122" ref="R318:R325">Q318*H318</f>
        <v>0</v>
      </c>
      <c r="S318" s="404">
        <v>0</v>
      </c>
      <c r="T318" s="405">
        <f aca="true" t="shared" si="123" ref="T318:T325">S318*H318</f>
        <v>0</v>
      </c>
      <c r="U318" s="258"/>
      <c r="V318" s="258"/>
      <c r="W318" s="258"/>
      <c r="X318" s="258"/>
      <c r="Y318" s="258"/>
      <c r="Z318" s="258"/>
      <c r="AA318" s="258"/>
      <c r="AB318" s="258"/>
      <c r="AC318" s="258"/>
      <c r="AD318" s="258"/>
      <c r="AE318" s="258"/>
      <c r="AR318" s="260" t="s">
        <v>153</v>
      </c>
      <c r="AT318" s="260" t="s">
        <v>148</v>
      </c>
      <c r="AU318" s="260" t="s">
        <v>81</v>
      </c>
      <c r="AY318" s="406" t="s">
        <v>146</v>
      </c>
      <c r="BE318" s="407">
        <f aca="true" t="shared" si="124" ref="BE318:BE325">IF(N318="základní",J318,0)</f>
        <v>0</v>
      </c>
      <c r="BF318" s="407">
        <f aca="true" t="shared" si="125" ref="BF318:BF325">IF(N318="snížená",J318,0)</f>
        <v>0</v>
      </c>
      <c r="BG318" s="407">
        <f aca="true" t="shared" si="126" ref="BG318:BG325">IF(N318="zákl. přenesená",J318,0)</f>
        <v>0</v>
      </c>
      <c r="BH318" s="407">
        <f aca="true" t="shared" si="127" ref="BH318:BH325">IF(N318="sníž. přenesená",J318,0)</f>
        <v>0</v>
      </c>
      <c r="BI318" s="407">
        <f aca="true" t="shared" si="128" ref="BI318:BI325">IF(N318="nulová",J318,0)</f>
        <v>0</v>
      </c>
      <c r="BJ318" s="406" t="s">
        <v>81</v>
      </c>
      <c r="BK318" s="407">
        <f aca="true" t="shared" si="129" ref="BK318:BK325">ROUND(I318*H318,2)</f>
        <v>0</v>
      </c>
      <c r="BL318" s="406" t="s">
        <v>153</v>
      </c>
      <c r="BM318" s="260" t="s">
        <v>2593</v>
      </c>
    </row>
    <row r="319" spans="1:65" s="263" customFormat="1" ht="24.2" customHeight="1">
      <c r="A319" s="258"/>
      <c r="B319" s="259"/>
      <c r="C319" s="357" t="s">
        <v>440</v>
      </c>
      <c r="D319" s="357" t="s">
        <v>148</v>
      </c>
      <c r="E319" s="397" t="s">
        <v>1658</v>
      </c>
      <c r="F319" s="344" t="s">
        <v>1659</v>
      </c>
      <c r="G319" s="399" t="s">
        <v>158</v>
      </c>
      <c r="H319" s="400">
        <v>54</v>
      </c>
      <c r="I319" s="85"/>
      <c r="J319" s="401">
        <f t="shared" si="120"/>
        <v>0</v>
      </c>
      <c r="K319" s="344" t="s">
        <v>1</v>
      </c>
      <c r="L319" s="259"/>
      <c r="M319" s="402" t="s">
        <v>1</v>
      </c>
      <c r="N319" s="403" t="s">
        <v>42</v>
      </c>
      <c r="O319" s="404">
        <v>0</v>
      </c>
      <c r="P319" s="404">
        <f t="shared" si="121"/>
        <v>0</v>
      </c>
      <c r="Q319" s="404">
        <v>0</v>
      </c>
      <c r="R319" s="404">
        <f t="shared" si="122"/>
        <v>0</v>
      </c>
      <c r="S319" s="404">
        <v>0</v>
      </c>
      <c r="T319" s="405">
        <f t="shared" si="123"/>
        <v>0</v>
      </c>
      <c r="U319" s="258"/>
      <c r="V319" s="258"/>
      <c r="W319" s="258"/>
      <c r="X319" s="258"/>
      <c r="Y319" s="258"/>
      <c r="Z319" s="258"/>
      <c r="AA319" s="258"/>
      <c r="AB319" s="258"/>
      <c r="AC319" s="258"/>
      <c r="AD319" s="258"/>
      <c r="AE319" s="258"/>
      <c r="AR319" s="260" t="s">
        <v>153</v>
      </c>
      <c r="AT319" s="260" t="s">
        <v>148</v>
      </c>
      <c r="AU319" s="260" t="s">
        <v>81</v>
      </c>
      <c r="AY319" s="406" t="s">
        <v>146</v>
      </c>
      <c r="BE319" s="407">
        <f t="shared" si="124"/>
        <v>0</v>
      </c>
      <c r="BF319" s="407">
        <f t="shared" si="125"/>
        <v>0</v>
      </c>
      <c r="BG319" s="407">
        <f t="shared" si="126"/>
        <v>0</v>
      </c>
      <c r="BH319" s="407">
        <f t="shared" si="127"/>
        <v>0</v>
      </c>
      <c r="BI319" s="407">
        <f t="shared" si="128"/>
        <v>0</v>
      </c>
      <c r="BJ319" s="406" t="s">
        <v>81</v>
      </c>
      <c r="BK319" s="407">
        <f t="shared" si="129"/>
        <v>0</v>
      </c>
      <c r="BL319" s="406" t="s">
        <v>153</v>
      </c>
      <c r="BM319" s="260" t="s">
        <v>2594</v>
      </c>
    </row>
    <row r="320" spans="1:65" s="263" customFormat="1" ht="24.2" customHeight="1">
      <c r="A320" s="258"/>
      <c r="B320" s="259"/>
      <c r="C320" s="357" t="s">
        <v>446</v>
      </c>
      <c r="D320" s="357" t="s">
        <v>148</v>
      </c>
      <c r="E320" s="397" t="s">
        <v>2595</v>
      </c>
      <c r="F320" s="344" t="s">
        <v>2596</v>
      </c>
      <c r="G320" s="399" t="s">
        <v>162</v>
      </c>
      <c r="H320" s="400">
        <v>2.2</v>
      </c>
      <c r="I320" s="85"/>
      <c r="J320" s="401">
        <f t="shared" si="120"/>
        <v>0</v>
      </c>
      <c r="K320" s="344" t="s">
        <v>1</v>
      </c>
      <c r="L320" s="259"/>
      <c r="M320" s="402" t="s">
        <v>1</v>
      </c>
      <c r="N320" s="403" t="s">
        <v>42</v>
      </c>
      <c r="O320" s="404">
        <v>0</v>
      </c>
      <c r="P320" s="404">
        <f t="shared" si="121"/>
        <v>0</v>
      </c>
      <c r="Q320" s="404">
        <v>0</v>
      </c>
      <c r="R320" s="404">
        <f t="shared" si="122"/>
        <v>0</v>
      </c>
      <c r="S320" s="404">
        <v>0</v>
      </c>
      <c r="T320" s="405">
        <f t="shared" si="123"/>
        <v>0</v>
      </c>
      <c r="U320" s="258"/>
      <c r="V320" s="258"/>
      <c r="W320" s="258"/>
      <c r="X320" s="258"/>
      <c r="Y320" s="258"/>
      <c r="Z320" s="258"/>
      <c r="AA320" s="258"/>
      <c r="AB320" s="258"/>
      <c r="AC320" s="258"/>
      <c r="AD320" s="258"/>
      <c r="AE320" s="258"/>
      <c r="AR320" s="260" t="s">
        <v>153</v>
      </c>
      <c r="AT320" s="260" t="s">
        <v>148</v>
      </c>
      <c r="AU320" s="260" t="s">
        <v>81</v>
      </c>
      <c r="AY320" s="406" t="s">
        <v>146</v>
      </c>
      <c r="BE320" s="407">
        <f t="shared" si="124"/>
        <v>0</v>
      </c>
      <c r="BF320" s="407">
        <f t="shared" si="125"/>
        <v>0</v>
      </c>
      <c r="BG320" s="407">
        <f t="shared" si="126"/>
        <v>0</v>
      </c>
      <c r="BH320" s="407">
        <f t="shared" si="127"/>
        <v>0</v>
      </c>
      <c r="BI320" s="407">
        <f t="shared" si="128"/>
        <v>0</v>
      </c>
      <c r="BJ320" s="406" t="s">
        <v>81</v>
      </c>
      <c r="BK320" s="407">
        <f t="shared" si="129"/>
        <v>0</v>
      </c>
      <c r="BL320" s="406" t="s">
        <v>153</v>
      </c>
      <c r="BM320" s="260" t="s">
        <v>2597</v>
      </c>
    </row>
    <row r="321" spans="1:65" s="263" customFormat="1" ht="24.2" customHeight="1">
      <c r="A321" s="258"/>
      <c r="B321" s="259"/>
      <c r="C321" s="357" t="s">
        <v>450</v>
      </c>
      <c r="D321" s="357" t="s">
        <v>148</v>
      </c>
      <c r="E321" s="397" t="s">
        <v>1660</v>
      </c>
      <c r="F321" s="344" t="s">
        <v>3811</v>
      </c>
      <c r="G321" s="399" t="s">
        <v>158</v>
      </c>
      <c r="H321" s="400">
        <v>54</v>
      </c>
      <c r="I321" s="85"/>
      <c r="J321" s="401">
        <f t="shared" si="120"/>
        <v>0</v>
      </c>
      <c r="K321" s="344" t="s">
        <v>1</v>
      </c>
      <c r="L321" s="259"/>
      <c r="M321" s="402" t="s">
        <v>1</v>
      </c>
      <c r="N321" s="403" t="s">
        <v>42</v>
      </c>
      <c r="O321" s="404">
        <v>0</v>
      </c>
      <c r="P321" s="404">
        <f t="shared" si="121"/>
        <v>0</v>
      </c>
      <c r="Q321" s="404">
        <v>0</v>
      </c>
      <c r="R321" s="404">
        <f t="shared" si="122"/>
        <v>0</v>
      </c>
      <c r="S321" s="404">
        <v>0</v>
      </c>
      <c r="T321" s="405">
        <f t="shared" si="123"/>
        <v>0</v>
      </c>
      <c r="U321" s="258"/>
      <c r="V321" s="258"/>
      <c r="W321" s="258"/>
      <c r="X321" s="258"/>
      <c r="Y321" s="258"/>
      <c r="Z321" s="258"/>
      <c r="AA321" s="258"/>
      <c r="AB321" s="258"/>
      <c r="AC321" s="258"/>
      <c r="AD321" s="258"/>
      <c r="AE321" s="258"/>
      <c r="AR321" s="260" t="s">
        <v>153</v>
      </c>
      <c r="AT321" s="260" t="s">
        <v>148</v>
      </c>
      <c r="AU321" s="260" t="s">
        <v>81</v>
      </c>
      <c r="AY321" s="406" t="s">
        <v>146</v>
      </c>
      <c r="BE321" s="407">
        <f t="shared" si="124"/>
        <v>0</v>
      </c>
      <c r="BF321" s="407">
        <f t="shared" si="125"/>
        <v>0</v>
      </c>
      <c r="BG321" s="407">
        <f t="shared" si="126"/>
        <v>0</v>
      </c>
      <c r="BH321" s="407">
        <f t="shared" si="127"/>
        <v>0</v>
      </c>
      <c r="BI321" s="407">
        <f t="shared" si="128"/>
        <v>0</v>
      </c>
      <c r="BJ321" s="406" t="s">
        <v>81</v>
      </c>
      <c r="BK321" s="407">
        <f t="shared" si="129"/>
        <v>0</v>
      </c>
      <c r="BL321" s="406" t="s">
        <v>153</v>
      </c>
      <c r="BM321" s="260" t="s">
        <v>2598</v>
      </c>
    </row>
    <row r="322" spans="1:65" s="263" customFormat="1" ht="16.5" customHeight="1">
      <c r="A322" s="258"/>
      <c r="B322" s="259"/>
      <c r="C322" s="357" t="s">
        <v>455</v>
      </c>
      <c r="D322" s="357" t="s">
        <v>148</v>
      </c>
      <c r="E322" s="397" t="s">
        <v>1661</v>
      </c>
      <c r="F322" s="344" t="s">
        <v>1662</v>
      </c>
      <c r="G322" s="399" t="s">
        <v>158</v>
      </c>
      <c r="H322" s="400">
        <v>54</v>
      </c>
      <c r="I322" s="85"/>
      <c r="J322" s="401">
        <f t="shared" si="120"/>
        <v>0</v>
      </c>
      <c r="K322" s="344" t="s">
        <v>1</v>
      </c>
      <c r="L322" s="259"/>
      <c r="M322" s="402" t="s">
        <v>1</v>
      </c>
      <c r="N322" s="403" t="s">
        <v>42</v>
      </c>
      <c r="O322" s="404">
        <v>0</v>
      </c>
      <c r="P322" s="404">
        <f t="shared" si="121"/>
        <v>0</v>
      </c>
      <c r="Q322" s="404">
        <v>0</v>
      </c>
      <c r="R322" s="404">
        <f t="shared" si="122"/>
        <v>0</v>
      </c>
      <c r="S322" s="404">
        <v>0</v>
      </c>
      <c r="T322" s="405">
        <f t="shared" si="123"/>
        <v>0</v>
      </c>
      <c r="U322" s="258"/>
      <c r="V322" s="258"/>
      <c r="W322" s="258"/>
      <c r="X322" s="258"/>
      <c r="Y322" s="258"/>
      <c r="Z322" s="258"/>
      <c r="AA322" s="258"/>
      <c r="AB322" s="258"/>
      <c r="AC322" s="258"/>
      <c r="AD322" s="258"/>
      <c r="AE322" s="258"/>
      <c r="AR322" s="260" t="s">
        <v>153</v>
      </c>
      <c r="AT322" s="260" t="s">
        <v>148</v>
      </c>
      <c r="AU322" s="260" t="s">
        <v>81</v>
      </c>
      <c r="AY322" s="406" t="s">
        <v>146</v>
      </c>
      <c r="BE322" s="407">
        <f t="shared" si="124"/>
        <v>0</v>
      </c>
      <c r="BF322" s="407">
        <f t="shared" si="125"/>
        <v>0</v>
      </c>
      <c r="BG322" s="407">
        <f t="shared" si="126"/>
        <v>0</v>
      </c>
      <c r="BH322" s="407">
        <f t="shared" si="127"/>
        <v>0</v>
      </c>
      <c r="BI322" s="407">
        <f t="shared" si="128"/>
        <v>0</v>
      </c>
      <c r="BJ322" s="406" t="s">
        <v>81</v>
      </c>
      <c r="BK322" s="407">
        <f t="shared" si="129"/>
        <v>0</v>
      </c>
      <c r="BL322" s="406" t="s">
        <v>153</v>
      </c>
      <c r="BM322" s="260" t="s">
        <v>2599</v>
      </c>
    </row>
    <row r="323" spans="1:65" s="263" customFormat="1" ht="24.2" customHeight="1">
      <c r="A323" s="258"/>
      <c r="B323" s="259"/>
      <c r="C323" s="357" t="s">
        <v>457</v>
      </c>
      <c r="D323" s="357" t="s">
        <v>148</v>
      </c>
      <c r="E323" s="397" t="s">
        <v>1663</v>
      </c>
      <c r="F323" s="344" t="s">
        <v>1664</v>
      </c>
      <c r="G323" s="399" t="s">
        <v>158</v>
      </c>
      <c r="H323" s="400">
        <v>54</v>
      </c>
      <c r="I323" s="85"/>
      <c r="J323" s="401">
        <f t="shared" si="120"/>
        <v>0</v>
      </c>
      <c r="K323" s="344" t="s">
        <v>1</v>
      </c>
      <c r="L323" s="259"/>
      <c r="M323" s="402" t="s">
        <v>1</v>
      </c>
      <c r="N323" s="403" t="s">
        <v>42</v>
      </c>
      <c r="O323" s="404">
        <v>0</v>
      </c>
      <c r="P323" s="404">
        <f t="shared" si="121"/>
        <v>0</v>
      </c>
      <c r="Q323" s="404">
        <v>0</v>
      </c>
      <c r="R323" s="404">
        <f t="shared" si="122"/>
        <v>0</v>
      </c>
      <c r="S323" s="404">
        <v>0</v>
      </c>
      <c r="T323" s="405">
        <f t="shared" si="123"/>
        <v>0</v>
      </c>
      <c r="U323" s="258"/>
      <c r="V323" s="258"/>
      <c r="W323" s="258"/>
      <c r="X323" s="258"/>
      <c r="Y323" s="258"/>
      <c r="Z323" s="258"/>
      <c r="AA323" s="258"/>
      <c r="AB323" s="258"/>
      <c r="AC323" s="258"/>
      <c r="AD323" s="258"/>
      <c r="AE323" s="258"/>
      <c r="AR323" s="260" t="s">
        <v>153</v>
      </c>
      <c r="AT323" s="260" t="s">
        <v>148</v>
      </c>
      <c r="AU323" s="260" t="s">
        <v>81</v>
      </c>
      <c r="AY323" s="406" t="s">
        <v>146</v>
      </c>
      <c r="BE323" s="407">
        <f t="shared" si="124"/>
        <v>0</v>
      </c>
      <c r="BF323" s="407">
        <f t="shared" si="125"/>
        <v>0</v>
      </c>
      <c r="BG323" s="407">
        <f t="shared" si="126"/>
        <v>0</v>
      </c>
      <c r="BH323" s="407">
        <f t="shared" si="127"/>
        <v>0</v>
      </c>
      <c r="BI323" s="407">
        <f t="shared" si="128"/>
        <v>0</v>
      </c>
      <c r="BJ323" s="406" t="s">
        <v>81</v>
      </c>
      <c r="BK323" s="407">
        <f t="shared" si="129"/>
        <v>0</v>
      </c>
      <c r="BL323" s="406" t="s">
        <v>153</v>
      </c>
      <c r="BM323" s="260" t="s">
        <v>2600</v>
      </c>
    </row>
    <row r="324" spans="1:65" s="263" customFormat="1" ht="24.2" customHeight="1">
      <c r="A324" s="258"/>
      <c r="B324" s="259"/>
      <c r="C324" s="357" t="s">
        <v>459</v>
      </c>
      <c r="D324" s="357" t="s">
        <v>148</v>
      </c>
      <c r="E324" s="397" t="s">
        <v>1665</v>
      </c>
      <c r="F324" s="316" t="s">
        <v>3789</v>
      </c>
      <c r="G324" s="399" t="s">
        <v>158</v>
      </c>
      <c r="H324" s="400">
        <v>54</v>
      </c>
      <c r="I324" s="85"/>
      <c r="J324" s="401">
        <f t="shared" si="120"/>
        <v>0</v>
      </c>
      <c r="K324" s="344" t="s">
        <v>1</v>
      </c>
      <c r="L324" s="259"/>
      <c r="M324" s="402" t="s">
        <v>1</v>
      </c>
      <c r="N324" s="403" t="s">
        <v>42</v>
      </c>
      <c r="O324" s="404">
        <v>0</v>
      </c>
      <c r="P324" s="404">
        <f t="shared" si="121"/>
        <v>0</v>
      </c>
      <c r="Q324" s="404">
        <v>0</v>
      </c>
      <c r="R324" s="404">
        <f t="shared" si="122"/>
        <v>0</v>
      </c>
      <c r="S324" s="404">
        <v>0</v>
      </c>
      <c r="T324" s="405">
        <f t="shared" si="123"/>
        <v>0</v>
      </c>
      <c r="U324" s="258"/>
      <c r="V324" s="258"/>
      <c r="W324" s="258"/>
      <c r="X324" s="258"/>
      <c r="Y324" s="258"/>
      <c r="Z324" s="258"/>
      <c r="AA324" s="258"/>
      <c r="AB324" s="258"/>
      <c r="AC324" s="258"/>
      <c r="AD324" s="258"/>
      <c r="AE324" s="258"/>
      <c r="AR324" s="260" t="s">
        <v>153</v>
      </c>
      <c r="AT324" s="260" t="s">
        <v>148</v>
      </c>
      <c r="AU324" s="260" t="s">
        <v>81</v>
      </c>
      <c r="AY324" s="406" t="s">
        <v>146</v>
      </c>
      <c r="BE324" s="407">
        <f t="shared" si="124"/>
        <v>0</v>
      </c>
      <c r="BF324" s="407">
        <f t="shared" si="125"/>
        <v>0</v>
      </c>
      <c r="BG324" s="407">
        <f t="shared" si="126"/>
        <v>0</v>
      </c>
      <c r="BH324" s="407">
        <f t="shared" si="127"/>
        <v>0</v>
      </c>
      <c r="BI324" s="407">
        <f t="shared" si="128"/>
        <v>0</v>
      </c>
      <c r="BJ324" s="406" t="s">
        <v>81</v>
      </c>
      <c r="BK324" s="407">
        <f t="shared" si="129"/>
        <v>0</v>
      </c>
      <c r="BL324" s="406" t="s">
        <v>153</v>
      </c>
      <c r="BM324" s="260" t="s">
        <v>2601</v>
      </c>
    </row>
    <row r="325" spans="1:65" s="263" customFormat="1" ht="24.2" customHeight="1">
      <c r="A325" s="258"/>
      <c r="B325" s="259"/>
      <c r="C325" s="357" t="s">
        <v>463</v>
      </c>
      <c r="D325" s="357" t="s">
        <v>148</v>
      </c>
      <c r="E325" s="397" t="s">
        <v>1666</v>
      </c>
      <c r="F325" s="316" t="s">
        <v>3852</v>
      </c>
      <c r="G325" s="399" t="s">
        <v>151</v>
      </c>
      <c r="H325" s="400">
        <v>54</v>
      </c>
      <c r="I325" s="85"/>
      <c r="J325" s="401">
        <f t="shared" si="120"/>
        <v>0</v>
      </c>
      <c r="K325" s="344" t="s">
        <v>1</v>
      </c>
      <c r="L325" s="259"/>
      <c r="M325" s="665" t="s">
        <v>1</v>
      </c>
      <c r="N325" s="666" t="s">
        <v>42</v>
      </c>
      <c r="O325" s="667">
        <v>0</v>
      </c>
      <c r="P325" s="667">
        <f t="shared" si="121"/>
        <v>0</v>
      </c>
      <c r="Q325" s="667">
        <v>0</v>
      </c>
      <c r="R325" s="667">
        <f t="shared" si="122"/>
        <v>0</v>
      </c>
      <c r="S325" s="667">
        <v>0</v>
      </c>
      <c r="T325" s="668">
        <f t="shared" si="123"/>
        <v>0</v>
      </c>
      <c r="U325" s="258"/>
      <c r="V325" s="258"/>
      <c r="W325" s="258"/>
      <c r="X325" s="258"/>
      <c r="Y325" s="258"/>
      <c r="Z325" s="258"/>
      <c r="AA325" s="258"/>
      <c r="AB325" s="258"/>
      <c r="AC325" s="258"/>
      <c r="AD325" s="258"/>
      <c r="AE325" s="258"/>
      <c r="AR325" s="260" t="s">
        <v>153</v>
      </c>
      <c r="AT325" s="260" t="s">
        <v>148</v>
      </c>
      <c r="AU325" s="260" t="s">
        <v>81</v>
      </c>
      <c r="AY325" s="406" t="s">
        <v>146</v>
      </c>
      <c r="BE325" s="407">
        <f t="shared" si="124"/>
        <v>0</v>
      </c>
      <c r="BF325" s="407">
        <f t="shared" si="125"/>
        <v>0</v>
      </c>
      <c r="BG325" s="407">
        <f t="shared" si="126"/>
        <v>0</v>
      </c>
      <c r="BH325" s="407">
        <f t="shared" si="127"/>
        <v>0</v>
      </c>
      <c r="BI325" s="407">
        <f t="shared" si="128"/>
        <v>0</v>
      </c>
      <c r="BJ325" s="406" t="s">
        <v>81</v>
      </c>
      <c r="BK325" s="407">
        <f t="shared" si="129"/>
        <v>0</v>
      </c>
      <c r="BL325" s="406" t="s">
        <v>153</v>
      </c>
      <c r="BM325" s="260" t="s">
        <v>2602</v>
      </c>
    </row>
    <row r="326" spans="1:31" s="225" customFormat="1" ht="6.95" customHeight="1">
      <c r="A326" s="222"/>
      <c r="B326" s="253"/>
      <c r="C326" s="254"/>
      <c r="D326" s="254"/>
      <c r="E326" s="254"/>
      <c r="F326" s="254"/>
      <c r="G326" s="254"/>
      <c r="H326" s="254"/>
      <c r="I326" s="254"/>
      <c r="J326" s="254"/>
      <c r="K326" s="254"/>
      <c r="L326" s="223"/>
      <c r="M326" s="222"/>
      <c r="O326" s="222"/>
      <c r="P326" s="222"/>
      <c r="Q326" s="222"/>
      <c r="R326" s="222"/>
      <c r="S326" s="222"/>
      <c r="T326" s="222"/>
      <c r="U326" s="222"/>
      <c r="V326" s="222"/>
      <c r="W326" s="222"/>
      <c r="X326" s="222"/>
      <c r="Y326" s="222"/>
      <c r="Z326" s="222"/>
      <c r="AA326" s="222"/>
      <c r="AB326" s="222"/>
      <c r="AC326" s="222"/>
      <c r="AD326" s="222"/>
      <c r="AE326" s="222"/>
    </row>
  </sheetData>
  <sheetProtection password="CABD" sheet="1" objects="1" scenarios="1"/>
  <autoFilter ref="C136:K238"/>
  <mergeCells count="13">
    <mergeCell ref="E251:H251"/>
    <mergeCell ref="E129:H129"/>
    <mergeCell ref="L2:V2"/>
    <mergeCell ref="E85:H85"/>
    <mergeCell ref="E87:H87"/>
    <mergeCell ref="E89:H89"/>
    <mergeCell ref="E125:H125"/>
    <mergeCell ref="E127:H127"/>
    <mergeCell ref="E7:H7"/>
    <mergeCell ref="E9:H9"/>
    <mergeCell ref="E11:H11"/>
    <mergeCell ref="E20:H20"/>
    <mergeCell ref="E29:H29"/>
  </mergeCells>
  <printOptions/>
  <pageMargins left="0.5905511811023623" right="0.3937007874015748" top="0.3937007874015748" bottom="0.3937007874015748" header="0" footer="0"/>
  <pageSetup blackAndWhite="1" fitToHeight="100" fitToWidth="1" horizontalDpi="600" verticalDpi="600" orientation="portrait" paperSize="9" scale="85" r:id="rId2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2:BM286"/>
  <sheetViews>
    <sheetView showGridLines="0" workbookViewId="0" topLeftCell="A264">
      <selection activeCell="J125" sqref="J125"/>
    </sheetView>
  </sheetViews>
  <sheetFormatPr defaultColWidth="9.140625" defaultRowHeight="12"/>
  <cols>
    <col min="1" max="1" width="8.28125" style="78" customWidth="1"/>
    <col min="2" max="2" width="1.1484375" style="78" customWidth="1"/>
    <col min="3" max="3" width="4.140625" style="78" customWidth="1"/>
    <col min="4" max="4" width="4.28125" style="78" customWidth="1"/>
    <col min="5" max="5" width="17.140625" style="78" customWidth="1"/>
    <col min="6" max="6" width="50.8515625" style="78" customWidth="1"/>
    <col min="7" max="7" width="7.421875" style="78" customWidth="1"/>
    <col min="8" max="8" width="14.00390625" style="78" customWidth="1"/>
    <col min="9" max="9" width="15.8515625" style="78" customWidth="1"/>
    <col min="10" max="10" width="22.28125" style="78" customWidth="1"/>
    <col min="11" max="11" width="22.28125" style="78" hidden="1" customWidth="1"/>
    <col min="12" max="12" width="29.28125" style="78" customWidth="1"/>
    <col min="13" max="13" width="10.8515625" style="78" hidden="1" customWidth="1"/>
    <col min="14" max="14" width="9.28125" style="78" hidden="1" customWidth="1"/>
    <col min="15" max="20" width="14.140625" style="78" hidden="1" customWidth="1"/>
    <col min="21" max="21" width="16.28125" style="78" hidden="1" customWidth="1"/>
    <col min="22" max="22" width="12.28125" style="78" customWidth="1"/>
    <col min="23" max="23" width="16.28125" style="78" customWidth="1"/>
    <col min="24" max="24" width="12.28125" style="78" customWidth="1"/>
    <col min="25" max="25" width="15.00390625" style="78" customWidth="1"/>
    <col min="26" max="26" width="11.00390625" style="78" customWidth="1"/>
    <col min="27" max="27" width="15.00390625" style="78" customWidth="1"/>
    <col min="28" max="28" width="16.28125" style="78" customWidth="1"/>
    <col min="29" max="29" width="11.00390625" style="78" customWidth="1"/>
    <col min="30" max="30" width="15.00390625" style="78" customWidth="1"/>
    <col min="31" max="31" width="16.28125" style="78" customWidth="1"/>
    <col min="32" max="43" width="9.28125" style="78" customWidth="1"/>
    <col min="44" max="65" width="9.28125" style="78" hidden="1" customWidth="1"/>
    <col min="66" max="16384" width="9.28125" style="78" customWidth="1"/>
  </cols>
  <sheetData>
    <row r="1" ht="12" hidden="1"/>
    <row r="2" spans="12:46" ht="36.95" customHeight="1" hidden="1">
      <c r="L2" s="834" t="s">
        <v>5</v>
      </c>
      <c r="M2" s="835"/>
      <c r="N2" s="835"/>
      <c r="O2" s="835"/>
      <c r="P2" s="835"/>
      <c r="Q2" s="835"/>
      <c r="R2" s="835"/>
      <c r="S2" s="835"/>
      <c r="T2" s="835"/>
      <c r="U2" s="835"/>
      <c r="V2" s="835"/>
      <c r="AT2" s="214" t="s">
        <v>87</v>
      </c>
    </row>
    <row r="3" spans="2:46" ht="6.95" customHeight="1" hidden="1">
      <c r="B3" s="215"/>
      <c r="C3" s="216"/>
      <c r="D3" s="216"/>
      <c r="E3" s="216"/>
      <c r="F3" s="216"/>
      <c r="G3" s="216"/>
      <c r="H3" s="216"/>
      <c r="I3" s="216"/>
      <c r="J3" s="216"/>
      <c r="K3" s="216"/>
      <c r="L3" s="218"/>
      <c r="AT3" s="214" t="s">
        <v>83</v>
      </c>
    </row>
    <row r="4" spans="2:46" ht="24.95" customHeight="1" hidden="1">
      <c r="B4" s="218"/>
      <c r="D4" s="219" t="s">
        <v>94</v>
      </c>
      <c r="L4" s="218"/>
      <c r="M4" s="220" t="s">
        <v>10</v>
      </c>
      <c r="AT4" s="214" t="s">
        <v>3</v>
      </c>
    </row>
    <row r="5" spans="2:12" ht="6.95" customHeight="1" hidden="1">
      <c r="B5" s="218"/>
      <c r="L5" s="218"/>
    </row>
    <row r="6" spans="2:12" ht="12" customHeight="1" hidden="1">
      <c r="B6" s="218"/>
      <c r="D6" s="221" t="s">
        <v>14</v>
      </c>
      <c r="L6" s="218"/>
    </row>
    <row r="7" spans="2:12" ht="16.5" customHeight="1" hidden="1">
      <c r="B7" s="218"/>
      <c r="E7" s="832" t="str">
        <f>'Rekapitulace stavby'!K6</f>
        <v>Středisko Okrouhlík - nástavba a stavební úpravy</v>
      </c>
      <c r="F7" s="833"/>
      <c r="G7" s="833"/>
      <c r="H7" s="833"/>
      <c r="L7" s="218"/>
    </row>
    <row r="8" spans="2:12" ht="12" customHeight="1" hidden="1">
      <c r="B8" s="218"/>
      <c r="D8" s="221" t="s">
        <v>95</v>
      </c>
      <c r="L8" s="218"/>
    </row>
    <row r="9" spans="1:31" s="225" customFormat="1" ht="16.5" customHeight="1" hidden="1">
      <c r="A9" s="222"/>
      <c r="B9" s="223"/>
      <c r="C9" s="222"/>
      <c r="D9" s="222"/>
      <c r="E9" s="832" t="s">
        <v>96</v>
      </c>
      <c r="F9" s="831"/>
      <c r="G9" s="831"/>
      <c r="H9" s="831"/>
      <c r="I9" s="222"/>
      <c r="J9" s="222"/>
      <c r="K9" s="222"/>
      <c r="L9" s="245"/>
      <c r="S9" s="222"/>
      <c r="T9" s="222"/>
      <c r="U9" s="222"/>
      <c r="V9" s="222"/>
      <c r="W9" s="222"/>
      <c r="X9" s="222"/>
      <c r="Y9" s="222"/>
      <c r="Z9" s="222"/>
      <c r="AA9" s="222"/>
      <c r="AB9" s="222"/>
      <c r="AC9" s="222"/>
      <c r="AD9" s="222"/>
      <c r="AE9" s="222"/>
    </row>
    <row r="10" spans="1:31" s="225" customFormat="1" ht="12" customHeight="1" hidden="1">
      <c r="A10" s="222"/>
      <c r="B10" s="223"/>
      <c r="C10" s="222"/>
      <c r="D10" s="221" t="s">
        <v>1346</v>
      </c>
      <c r="E10" s="222"/>
      <c r="F10" s="222"/>
      <c r="G10" s="222"/>
      <c r="H10" s="222"/>
      <c r="I10" s="222"/>
      <c r="J10" s="222"/>
      <c r="K10" s="222"/>
      <c r="L10" s="245"/>
      <c r="S10" s="222"/>
      <c r="T10" s="222"/>
      <c r="U10" s="222"/>
      <c r="V10" s="222"/>
      <c r="W10" s="222"/>
      <c r="X10" s="222"/>
      <c r="Y10" s="222"/>
      <c r="Z10" s="222"/>
      <c r="AA10" s="222"/>
      <c r="AB10" s="222"/>
      <c r="AC10" s="222"/>
      <c r="AD10" s="222"/>
      <c r="AE10" s="222"/>
    </row>
    <row r="11" spans="1:31" s="225" customFormat="1" ht="16.5" customHeight="1" hidden="1">
      <c r="A11" s="222"/>
      <c r="B11" s="223"/>
      <c r="C11" s="222"/>
      <c r="D11" s="222"/>
      <c r="E11" s="830" t="s">
        <v>1667</v>
      </c>
      <c r="F11" s="831"/>
      <c r="G11" s="831"/>
      <c r="H11" s="831"/>
      <c r="I11" s="222"/>
      <c r="J11" s="222"/>
      <c r="K11" s="222"/>
      <c r="L11" s="245"/>
      <c r="S11" s="222"/>
      <c r="T11" s="222"/>
      <c r="U11" s="222"/>
      <c r="V11" s="222"/>
      <c r="W11" s="222"/>
      <c r="X11" s="222"/>
      <c r="Y11" s="222"/>
      <c r="Z11" s="222"/>
      <c r="AA11" s="222"/>
      <c r="AB11" s="222"/>
      <c r="AC11" s="222"/>
      <c r="AD11" s="222"/>
      <c r="AE11" s="222"/>
    </row>
    <row r="12" spans="1:31" s="225" customFormat="1" ht="12" hidden="1">
      <c r="A12" s="222"/>
      <c r="B12" s="223"/>
      <c r="C12" s="222"/>
      <c r="D12" s="222"/>
      <c r="E12" s="222"/>
      <c r="F12" s="222"/>
      <c r="G12" s="222"/>
      <c r="H12" s="222"/>
      <c r="I12" s="222"/>
      <c r="J12" s="222"/>
      <c r="K12" s="222"/>
      <c r="L12" s="245"/>
      <c r="S12" s="222"/>
      <c r="T12" s="222"/>
      <c r="U12" s="222"/>
      <c r="V12" s="222"/>
      <c r="W12" s="222"/>
      <c r="X12" s="222"/>
      <c r="Y12" s="222"/>
      <c r="Z12" s="222"/>
      <c r="AA12" s="222"/>
      <c r="AB12" s="222"/>
      <c r="AC12" s="222"/>
      <c r="AD12" s="222"/>
      <c r="AE12" s="222"/>
    </row>
    <row r="13" spans="1:31" s="225" customFormat="1" ht="12" customHeight="1" hidden="1">
      <c r="A13" s="222"/>
      <c r="B13" s="223"/>
      <c r="C13" s="222"/>
      <c r="D13" s="221" t="s">
        <v>16</v>
      </c>
      <c r="E13" s="222"/>
      <c r="F13" s="226" t="s">
        <v>1</v>
      </c>
      <c r="G13" s="222"/>
      <c r="H13" s="222"/>
      <c r="I13" s="221" t="s">
        <v>17</v>
      </c>
      <c r="J13" s="226" t="s">
        <v>1</v>
      </c>
      <c r="K13" s="222"/>
      <c r="L13" s="245"/>
      <c r="S13" s="222"/>
      <c r="T13" s="222"/>
      <c r="U13" s="222"/>
      <c r="V13" s="222"/>
      <c r="W13" s="222"/>
      <c r="X13" s="222"/>
      <c r="Y13" s="222"/>
      <c r="Z13" s="222"/>
      <c r="AA13" s="222"/>
      <c r="AB13" s="222"/>
      <c r="AC13" s="222"/>
      <c r="AD13" s="222"/>
      <c r="AE13" s="222"/>
    </row>
    <row r="14" spans="1:31" s="225" customFormat="1" ht="12" customHeight="1" hidden="1">
      <c r="A14" s="222"/>
      <c r="B14" s="223"/>
      <c r="C14" s="222"/>
      <c r="D14" s="221" t="s">
        <v>18</v>
      </c>
      <c r="E14" s="222"/>
      <c r="F14" s="226" t="s">
        <v>19</v>
      </c>
      <c r="G14" s="222"/>
      <c r="H14" s="222"/>
      <c r="I14" s="221" t="s">
        <v>20</v>
      </c>
      <c r="J14" s="227" t="str">
        <f>'Rekapitulace stavby'!AN8</f>
        <v>8. 10. 2021</v>
      </c>
      <c r="K14" s="222"/>
      <c r="L14" s="245"/>
      <c r="S14" s="222"/>
      <c r="T14" s="222"/>
      <c r="U14" s="222"/>
      <c r="V14" s="222"/>
      <c r="W14" s="222"/>
      <c r="X14" s="222"/>
      <c r="Y14" s="222"/>
      <c r="Z14" s="222"/>
      <c r="AA14" s="222"/>
      <c r="AB14" s="222"/>
      <c r="AC14" s="222"/>
      <c r="AD14" s="222"/>
      <c r="AE14" s="222"/>
    </row>
    <row r="15" spans="1:31" s="225" customFormat="1" ht="10.9" customHeight="1" hidden="1">
      <c r="A15" s="222"/>
      <c r="B15" s="223"/>
      <c r="C15" s="222"/>
      <c r="D15" s="222"/>
      <c r="E15" s="222"/>
      <c r="F15" s="222"/>
      <c r="G15" s="222"/>
      <c r="H15" s="222"/>
      <c r="I15" s="222"/>
      <c r="J15" s="222"/>
      <c r="K15" s="222"/>
      <c r="L15" s="245"/>
      <c r="S15" s="222"/>
      <c r="T15" s="222"/>
      <c r="U15" s="222"/>
      <c r="V15" s="222"/>
      <c r="W15" s="222"/>
      <c r="X15" s="222"/>
      <c r="Y15" s="222"/>
      <c r="Z15" s="222"/>
      <c r="AA15" s="222"/>
      <c r="AB15" s="222"/>
      <c r="AC15" s="222"/>
      <c r="AD15" s="222"/>
      <c r="AE15" s="222"/>
    </row>
    <row r="16" spans="1:31" s="225" customFormat="1" ht="12" customHeight="1" hidden="1">
      <c r="A16" s="222"/>
      <c r="B16" s="223"/>
      <c r="C16" s="222"/>
      <c r="D16" s="221" t="s">
        <v>22</v>
      </c>
      <c r="E16" s="222"/>
      <c r="F16" s="222"/>
      <c r="G16" s="222"/>
      <c r="H16" s="222"/>
      <c r="I16" s="221" t="s">
        <v>23</v>
      </c>
      <c r="J16" s="226" t="s">
        <v>24</v>
      </c>
      <c r="K16" s="222"/>
      <c r="L16" s="245"/>
      <c r="S16" s="222"/>
      <c r="T16" s="222"/>
      <c r="U16" s="222"/>
      <c r="V16" s="222"/>
      <c r="W16" s="222"/>
      <c r="X16" s="222"/>
      <c r="Y16" s="222"/>
      <c r="Z16" s="222"/>
      <c r="AA16" s="222"/>
      <c r="AB16" s="222"/>
      <c r="AC16" s="222"/>
      <c r="AD16" s="222"/>
      <c r="AE16" s="222"/>
    </row>
    <row r="17" spans="1:31" s="225" customFormat="1" ht="18" customHeight="1" hidden="1">
      <c r="A17" s="222"/>
      <c r="B17" s="223"/>
      <c r="C17" s="222"/>
      <c r="D17" s="222"/>
      <c r="E17" s="226" t="s">
        <v>25</v>
      </c>
      <c r="F17" s="222"/>
      <c r="G17" s="222"/>
      <c r="H17" s="222"/>
      <c r="I17" s="221" t="s">
        <v>26</v>
      </c>
      <c r="J17" s="226" t="s">
        <v>27</v>
      </c>
      <c r="K17" s="222"/>
      <c r="L17" s="245"/>
      <c r="S17" s="222"/>
      <c r="T17" s="222"/>
      <c r="U17" s="222"/>
      <c r="V17" s="222"/>
      <c r="W17" s="222"/>
      <c r="X17" s="222"/>
      <c r="Y17" s="222"/>
      <c r="Z17" s="222"/>
      <c r="AA17" s="222"/>
      <c r="AB17" s="222"/>
      <c r="AC17" s="222"/>
      <c r="AD17" s="222"/>
      <c r="AE17" s="222"/>
    </row>
    <row r="18" spans="1:31" s="225" customFormat="1" ht="6.95" customHeight="1" hidden="1">
      <c r="A18" s="222"/>
      <c r="B18" s="223"/>
      <c r="C18" s="222"/>
      <c r="D18" s="222"/>
      <c r="E18" s="222"/>
      <c r="F18" s="222"/>
      <c r="G18" s="222"/>
      <c r="H18" s="222"/>
      <c r="I18" s="222"/>
      <c r="J18" s="222"/>
      <c r="K18" s="222"/>
      <c r="L18" s="245"/>
      <c r="S18" s="222"/>
      <c r="T18" s="222"/>
      <c r="U18" s="222"/>
      <c r="V18" s="222"/>
      <c r="W18" s="222"/>
      <c r="X18" s="222"/>
      <c r="Y18" s="222"/>
      <c r="Z18" s="222"/>
      <c r="AA18" s="222"/>
      <c r="AB18" s="222"/>
      <c r="AC18" s="222"/>
      <c r="AD18" s="222"/>
      <c r="AE18" s="222"/>
    </row>
    <row r="19" spans="1:31" s="225" customFormat="1" ht="12" customHeight="1" hidden="1">
      <c r="A19" s="222"/>
      <c r="B19" s="223"/>
      <c r="C19" s="222"/>
      <c r="D19" s="221" t="s">
        <v>28</v>
      </c>
      <c r="E19" s="222"/>
      <c r="F19" s="222"/>
      <c r="G19" s="222"/>
      <c r="H19" s="222"/>
      <c r="I19" s="221" t="s">
        <v>23</v>
      </c>
      <c r="J19" s="226" t="str">
        <f>'Rekapitulace stavby'!AN13</f>
        <v/>
      </c>
      <c r="K19" s="222"/>
      <c r="L19" s="245"/>
      <c r="S19" s="222"/>
      <c r="T19" s="222"/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  <c r="AE19" s="222"/>
    </row>
    <row r="20" spans="1:31" s="225" customFormat="1" ht="18" customHeight="1" hidden="1">
      <c r="A20" s="222"/>
      <c r="B20" s="223"/>
      <c r="C20" s="222"/>
      <c r="D20" s="222"/>
      <c r="E20" s="836" t="str">
        <f>'Rekapitulace stavby'!E14</f>
        <v xml:space="preserve"> </v>
      </c>
      <c r="F20" s="836"/>
      <c r="G20" s="836"/>
      <c r="H20" s="836"/>
      <c r="I20" s="221" t="s">
        <v>26</v>
      </c>
      <c r="J20" s="226" t="str">
        <f>'Rekapitulace stavby'!AN14</f>
        <v/>
      </c>
      <c r="K20" s="222"/>
      <c r="L20" s="245"/>
      <c r="S20" s="222"/>
      <c r="T20" s="222"/>
      <c r="U20" s="222"/>
      <c r="V20" s="222"/>
      <c r="W20" s="222"/>
      <c r="X20" s="222"/>
      <c r="Y20" s="222"/>
      <c r="Z20" s="222"/>
      <c r="AA20" s="222"/>
      <c r="AB20" s="222"/>
      <c r="AC20" s="222"/>
      <c r="AD20" s="222"/>
      <c r="AE20" s="222"/>
    </row>
    <row r="21" spans="1:31" s="225" customFormat="1" ht="6.95" customHeight="1" hidden="1">
      <c r="A21" s="222"/>
      <c r="B21" s="223"/>
      <c r="C21" s="222"/>
      <c r="D21" s="222"/>
      <c r="E21" s="222"/>
      <c r="F21" s="222"/>
      <c r="G21" s="222"/>
      <c r="H21" s="222"/>
      <c r="I21" s="222"/>
      <c r="J21" s="222"/>
      <c r="K21" s="222"/>
      <c r="L21" s="245"/>
      <c r="S21" s="222"/>
      <c r="T21" s="222"/>
      <c r="U21" s="222"/>
      <c r="V21" s="222"/>
      <c r="W21" s="222"/>
      <c r="X21" s="222"/>
      <c r="Y21" s="222"/>
      <c r="Z21" s="222"/>
      <c r="AA21" s="222"/>
      <c r="AB21" s="222"/>
      <c r="AC21" s="222"/>
      <c r="AD21" s="222"/>
      <c r="AE21" s="222"/>
    </row>
    <row r="22" spans="1:31" s="225" customFormat="1" ht="12" customHeight="1" hidden="1">
      <c r="A22" s="222"/>
      <c r="B22" s="223"/>
      <c r="C22" s="222"/>
      <c r="D22" s="221" t="s">
        <v>30</v>
      </c>
      <c r="E22" s="222"/>
      <c r="F22" s="222"/>
      <c r="G22" s="222"/>
      <c r="H22" s="222"/>
      <c r="I22" s="221" t="s">
        <v>23</v>
      </c>
      <c r="J22" s="226" t="s">
        <v>31</v>
      </c>
      <c r="K22" s="222"/>
      <c r="L22" s="245"/>
      <c r="S22" s="222"/>
      <c r="T22" s="222"/>
      <c r="U22" s="222"/>
      <c r="V22" s="222"/>
      <c r="W22" s="222"/>
      <c r="X22" s="222"/>
      <c r="Y22" s="222"/>
      <c r="Z22" s="222"/>
      <c r="AA22" s="222"/>
      <c r="AB22" s="222"/>
      <c r="AC22" s="222"/>
      <c r="AD22" s="222"/>
      <c r="AE22" s="222"/>
    </row>
    <row r="23" spans="1:31" s="225" customFormat="1" ht="18" customHeight="1" hidden="1">
      <c r="A23" s="222"/>
      <c r="B23" s="223"/>
      <c r="C23" s="222"/>
      <c r="D23" s="222"/>
      <c r="E23" s="226" t="s">
        <v>32</v>
      </c>
      <c r="F23" s="222"/>
      <c r="G23" s="222"/>
      <c r="H23" s="222"/>
      <c r="I23" s="221" t="s">
        <v>26</v>
      </c>
      <c r="J23" s="226" t="s">
        <v>33</v>
      </c>
      <c r="K23" s="222"/>
      <c r="L23" s="245"/>
      <c r="S23" s="222"/>
      <c r="T23" s="222"/>
      <c r="U23" s="222"/>
      <c r="V23" s="222"/>
      <c r="W23" s="222"/>
      <c r="X23" s="222"/>
      <c r="Y23" s="222"/>
      <c r="Z23" s="222"/>
      <c r="AA23" s="222"/>
      <c r="AB23" s="222"/>
      <c r="AC23" s="222"/>
      <c r="AD23" s="222"/>
      <c r="AE23" s="222"/>
    </row>
    <row r="24" spans="1:31" s="225" customFormat="1" ht="6.95" customHeight="1" hidden="1">
      <c r="A24" s="222"/>
      <c r="B24" s="223"/>
      <c r="C24" s="222"/>
      <c r="D24" s="222"/>
      <c r="E24" s="222"/>
      <c r="F24" s="222"/>
      <c r="G24" s="222"/>
      <c r="H24" s="222"/>
      <c r="I24" s="222"/>
      <c r="J24" s="222"/>
      <c r="K24" s="222"/>
      <c r="L24" s="245"/>
      <c r="S24" s="222"/>
      <c r="T24" s="222"/>
      <c r="U24" s="222"/>
      <c r="V24" s="222"/>
      <c r="W24" s="222"/>
      <c r="X24" s="222"/>
      <c r="Y24" s="222"/>
      <c r="Z24" s="222"/>
      <c r="AA24" s="222"/>
      <c r="AB24" s="222"/>
      <c r="AC24" s="222"/>
      <c r="AD24" s="222"/>
      <c r="AE24" s="222"/>
    </row>
    <row r="25" spans="1:31" s="225" customFormat="1" ht="12" customHeight="1" hidden="1">
      <c r="A25" s="222"/>
      <c r="B25" s="223"/>
      <c r="C25" s="222"/>
      <c r="D25" s="221" t="s">
        <v>35</v>
      </c>
      <c r="E25" s="222"/>
      <c r="F25" s="222"/>
      <c r="G25" s="222"/>
      <c r="H25" s="222"/>
      <c r="I25" s="221" t="s">
        <v>23</v>
      </c>
      <c r="J25" s="226" t="str">
        <f>IF('Rekapitulace stavby'!AN19="","",'Rekapitulace stavby'!AN19)</f>
        <v/>
      </c>
      <c r="K25" s="222"/>
      <c r="L25" s="245"/>
      <c r="S25" s="222"/>
      <c r="T25" s="222"/>
      <c r="U25" s="222"/>
      <c r="V25" s="222"/>
      <c r="W25" s="222"/>
      <c r="X25" s="222"/>
      <c r="Y25" s="222"/>
      <c r="Z25" s="222"/>
      <c r="AA25" s="222"/>
      <c r="AB25" s="222"/>
      <c r="AC25" s="222"/>
      <c r="AD25" s="222"/>
      <c r="AE25" s="222"/>
    </row>
    <row r="26" spans="1:31" s="225" customFormat="1" ht="18" customHeight="1" hidden="1">
      <c r="A26" s="222"/>
      <c r="B26" s="223"/>
      <c r="C26" s="222"/>
      <c r="D26" s="222"/>
      <c r="E26" s="226" t="str">
        <f>IF('Rekapitulace stavby'!E20="","",'Rekapitulace stavby'!E20)</f>
        <v xml:space="preserve"> </v>
      </c>
      <c r="F26" s="222"/>
      <c r="G26" s="222"/>
      <c r="H26" s="222"/>
      <c r="I26" s="221" t="s">
        <v>26</v>
      </c>
      <c r="J26" s="226" t="str">
        <f>IF('Rekapitulace stavby'!AN20="","",'Rekapitulace stavby'!AN20)</f>
        <v/>
      </c>
      <c r="K26" s="222"/>
      <c r="L26" s="245"/>
      <c r="S26" s="222"/>
      <c r="T26" s="222"/>
      <c r="U26" s="222"/>
      <c r="V26" s="222"/>
      <c r="W26" s="222"/>
      <c r="X26" s="222"/>
      <c r="Y26" s="222"/>
      <c r="Z26" s="222"/>
      <c r="AA26" s="222"/>
      <c r="AB26" s="222"/>
      <c r="AC26" s="222"/>
      <c r="AD26" s="222"/>
      <c r="AE26" s="222"/>
    </row>
    <row r="27" spans="1:31" s="225" customFormat="1" ht="6.95" customHeight="1" hidden="1">
      <c r="A27" s="222"/>
      <c r="B27" s="223"/>
      <c r="C27" s="222"/>
      <c r="D27" s="222"/>
      <c r="E27" s="222"/>
      <c r="F27" s="222"/>
      <c r="G27" s="222"/>
      <c r="H27" s="222"/>
      <c r="I27" s="222"/>
      <c r="J27" s="222"/>
      <c r="K27" s="222"/>
      <c r="L27" s="245"/>
      <c r="S27" s="222"/>
      <c r="T27" s="222"/>
      <c r="U27" s="222"/>
      <c r="V27" s="222"/>
      <c r="W27" s="222"/>
      <c r="X27" s="222"/>
      <c r="Y27" s="222"/>
      <c r="Z27" s="222"/>
      <c r="AA27" s="222"/>
      <c r="AB27" s="222"/>
      <c r="AC27" s="222"/>
      <c r="AD27" s="222"/>
      <c r="AE27" s="222"/>
    </row>
    <row r="28" spans="1:31" s="225" customFormat="1" ht="12" customHeight="1" hidden="1">
      <c r="A28" s="222"/>
      <c r="B28" s="223"/>
      <c r="C28" s="222"/>
      <c r="D28" s="221" t="s">
        <v>36</v>
      </c>
      <c r="E28" s="222"/>
      <c r="F28" s="222"/>
      <c r="G28" s="222"/>
      <c r="H28" s="222"/>
      <c r="I28" s="222"/>
      <c r="J28" s="222"/>
      <c r="K28" s="222"/>
      <c r="L28" s="245"/>
      <c r="S28" s="222"/>
      <c r="T28" s="222"/>
      <c r="U28" s="222"/>
      <c r="V28" s="222"/>
      <c r="W28" s="222"/>
      <c r="X28" s="222"/>
      <c r="Y28" s="222"/>
      <c r="Z28" s="222"/>
      <c r="AA28" s="222"/>
      <c r="AB28" s="222"/>
      <c r="AC28" s="222"/>
      <c r="AD28" s="222"/>
      <c r="AE28" s="222"/>
    </row>
    <row r="29" spans="1:31" s="230" customFormat="1" ht="16.5" customHeight="1" hidden="1">
      <c r="A29" s="228"/>
      <c r="B29" s="229"/>
      <c r="C29" s="228"/>
      <c r="D29" s="228"/>
      <c r="E29" s="837" t="s">
        <v>1</v>
      </c>
      <c r="F29" s="837"/>
      <c r="G29" s="837"/>
      <c r="H29" s="837"/>
      <c r="I29" s="228"/>
      <c r="J29" s="228"/>
      <c r="K29" s="228"/>
      <c r="L29" s="224"/>
      <c r="S29" s="228"/>
      <c r="T29" s="228"/>
      <c r="U29" s="228"/>
      <c r="V29" s="228"/>
      <c r="W29" s="228"/>
      <c r="X29" s="228"/>
      <c r="Y29" s="228"/>
      <c r="Z29" s="228"/>
      <c r="AA29" s="228"/>
      <c r="AB29" s="228"/>
      <c r="AC29" s="228"/>
      <c r="AD29" s="228"/>
      <c r="AE29" s="228"/>
    </row>
    <row r="30" spans="1:31" s="225" customFormat="1" ht="6.95" customHeight="1" hidden="1">
      <c r="A30" s="222"/>
      <c r="B30" s="223"/>
      <c r="C30" s="222"/>
      <c r="D30" s="222"/>
      <c r="E30" s="222"/>
      <c r="F30" s="222"/>
      <c r="G30" s="222"/>
      <c r="H30" s="222"/>
      <c r="I30" s="222"/>
      <c r="J30" s="222"/>
      <c r="K30" s="222"/>
      <c r="L30" s="245"/>
      <c r="S30" s="222"/>
      <c r="T30" s="222"/>
      <c r="U30" s="222"/>
      <c r="V30" s="222"/>
      <c r="W30" s="222"/>
      <c r="X30" s="222"/>
      <c r="Y30" s="222"/>
      <c r="Z30" s="222"/>
      <c r="AA30" s="222"/>
      <c r="AB30" s="222"/>
      <c r="AC30" s="222"/>
      <c r="AD30" s="222"/>
      <c r="AE30" s="222"/>
    </row>
    <row r="31" spans="1:31" s="225" customFormat="1" ht="6.95" customHeight="1" hidden="1">
      <c r="A31" s="222"/>
      <c r="B31" s="223"/>
      <c r="C31" s="222"/>
      <c r="D31" s="231"/>
      <c r="E31" s="231"/>
      <c r="F31" s="231"/>
      <c r="G31" s="231"/>
      <c r="H31" s="231"/>
      <c r="I31" s="231"/>
      <c r="J31" s="231"/>
      <c r="K31" s="231"/>
      <c r="L31" s="245"/>
      <c r="S31" s="222"/>
      <c r="T31" s="222"/>
      <c r="U31" s="222"/>
      <c r="V31" s="222"/>
      <c r="W31" s="222"/>
      <c r="X31" s="222"/>
      <c r="Y31" s="222"/>
      <c r="Z31" s="222"/>
      <c r="AA31" s="222"/>
      <c r="AB31" s="222"/>
      <c r="AC31" s="222"/>
      <c r="AD31" s="222"/>
      <c r="AE31" s="222"/>
    </row>
    <row r="32" spans="1:31" s="225" customFormat="1" ht="25.35" customHeight="1" hidden="1">
      <c r="A32" s="222"/>
      <c r="B32" s="223"/>
      <c r="C32" s="222"/>
      <c r="D32" s="232" t="s">
        <v>37</v>
      </c>
      <c r="E32" s="222"/>
      <c r="F32" s="222"/>
      <c r="G32" s="222"/>
      <c r="H32" s="222"/>
      <c r="I32" s="222"/>
      <c r="J32" s="233">
        <f>ROUND(J122,2)</f>
        <v>0</v>
      </c>
      <c r="K32" s="222"/>
      <c r="L32" s="245"/>
      <c r="S32" s="222"/>
      <c r="T32" s="222"/>
      <c r="U32" s="222"/>
      <c r="V32" s="222"/>
      <c r="W32" s="222"/>
      <c r="X32" s="222"/>
      <c r="Y32" s="222"/>
      <c r="Z32" s="222"/>
      <c r="AA32" s="222"/>
      <c r="AB32" s="222"/>
      <c r="AC32" s="222"/>
      <c r="AD32" s="222"/>
      <c r="AE32" s="222"/>
    </row>
    <row r="33" spans="1:31" s="225" customFormat="1" ht="6.95" customHeight="1" hidden="1">
      <c r="A33" s="222"/>
      <c r="B33" s="223"/>
      <c r="C33" s="222"/>
      <c r="D33" s="231"/>
      <c r="E33" s="231"/>
      <c r="F33" s="231"/>
      <c r="G33" s="231"/>
      <c r="H33" s="231"/>
      <c r="I33" s="231"/>
      <c r="J33" s="231"/>
      <c r="K33" s="231"/>
      <c r="L33" s="245"/>
      <c r="S33" s="222"/>
      <c r="T33" s="222"/>
      <c r="U33" s="222"/>
      <c r="V33" s="222"/>
      <c r="W33" s="222"/>
      <c r="X33" s="222"/>
      <c r="Y33" s="222"/>
      <c r="Z33" s="222"/>
      <c r="AA33" s="222"/>
      <c r="AB33" s="222"/>
      <c r="AC33" s="222"/>
      <c r="AD33" s="222"/>
      <c r="AE33" s="222"/>
    </row>
    <row r="34" spans="1:31" s="225" customFormat="1" ht="14.45" customHeight="1" hidden="1">
      <c r="A34" s="222"/>
      <c r="B34" s="223"/>
      <c r="C34" s="222"/>
      <c r="D34" s="222"/>
      <c r="E34" s="222"/>
      <c r="F34" s="234" t="s">
        <v>39</v>
      </c>
      <c r="G34" s="222"/>
      <c r="H34" s="222"/>
      <c r="I34" s="234" t="s">
        <v>38</v>
      </c>
      <c r="J34" s="234" t="s">
        <v>40</v>
      </c>
      <c r="K34" s="222"/>
      <c r="L34" s="245"/>
      <c r="S34" s="222"/>
      <c r="T34" s="222"/>
      <c r="U34" s="222"/>
      <c r="V34" s="222"/>
      <c r="W34" s="222"/>
      <c r="X34" s="222"/>
      <c r="Y34" s="222"/>
      <c r="Z34" s="222"/>
      <c r="AA34" s="222"/>
      <c r="AB34" s="222"/>
      <c r="AC34" s="222"/>
      <c r="AD34" s="222"/>
      <c r="AE34" s="222"/>
    </row>
    <row r="35" spans="1:31" s="225" customFormat="1" ht="14.45" customHeight="1" hidden="1">
      <c r="A35" s="222"/>
      <c r="B35" s="223"/>
      <c r="C35" s="222"/>
      <c r="D35" s="235" t="s">
        <v>41</v>
      </c>
      <c r="E35" s="221" t="s">
        <v>42</v>
      </c>
      <c r="F35" s="236">
        <f>ROUND((SUM(BE122:BE285)),2)</f>
        <v>0</v>
      </c>
      <c r="G35" s="222"/>
      <c r="H35" s="222"/>
      <c r="I35" s="237">
        <v>0.21</v>
      </c>
      <c r="J35" s="236">
        <f>ROUND(((SUM(BE122:BE285))*I35),2)</f>
        <v>0</v>
      </c>
      <c r="K35" s="222"/>
      <c r="L35" s="245"/>
      <c r="S35" s="222"/>
      <c r="T35" s="222"/>
      <c r="U35" s="222"/>
      <c r="V35" s="222"/>
      <c r="W35" s="222"/>
      <c r="X35" s="222"/>
      <c r="Y35" s="222"/>
      <c r="Z35" s="222"/>
      <c r="AA35" s="222"/>
      <c r="AB35" s="222"/>
      <c r="AC35" s="222"/>
      <c r="AD35" s="222"/>
      <c r="AE35" s="222"/>
    </row>
    <row r="36" spans="1:31" s="225" customFormat="1" ht="14.45" customHeight="1" hidden="1">
      <c r="A36" s="222"/>
      <c r="B36" s="223"/>
      <c r="C36" s="222"/>
      <c r="D36" s="222"/>
      <c r="E36" s="221" t="s">
        <v>43</v>
      </c>
      <c r="F36" s="236">
        <f>ROUND((SUM(BF122:BF285)),2)</f>
        <v>0</v>
      </c>
      <c r="G36" s="222"/>
      <c r="H36" s="222"/>
      <c r="I36" s="237">
        <v>0.15</v>
      </c>
      <c r="J36" s="236">
        <f>ROUND(((SUM(BF122:BF285))*I36),2)</f>
        <v>0</v>
      </c>
      <c r="K36" s="222"/>
      <c r="L36" s="245"/>
      <c r="S36" s="222"/>
      <c r="T36" s="222"/>
      <c r="U36" s="222"/>
      <c r="V36" s="222"/>
      <c r="W36" s="222"/>
      <c r="X36" s="222"/>
      <c r="Y36" s="222"/>
      <c r="Z36" s="222"/>
      <c r="AA36" s="222"/>
      <c r="AB36" s="222"/>
      <c r="AC36" s="222"/>
      <c r="AD36" s="222"/>
      <c r="AE36" s="222"/>
    </row>
    <row r="37" spans="1:31" s="225" customFormat="1" ht="14.45" customHeight="1" hidden="1">
      <c r="A37" s="222"/>
      <c r="B37" s="223"/>
      <c r="C37" s="222"/>
      <c r="D37" s="222"/>
      <c r="E37" s="221" t="s">
        <v>44</v>
      </c>
      <c r="F37" s="236">
        <f>ROUND((SUM(BG122:BG285)),2)</f>
        <v>0</v>
      </c>
      <c r="G37" s="222"/>
      <c r="H37" s="222"/>
      <c r="I37" s="237">
        <v>0.21</v>
      </c>
      <c r="J37" s="236">
        <f>0</f>
        <v>0</v>
      </c>
      <c r="K37" s="222"/>
      <c r="L37" s="245"/>
      <c r="S37" s="222"/>
      <c r="T37" s="222"/>
      <c r="U37" s="222"/>
      <c r="V37" s="222"/>
      <c r="W37" s="222"/>
      <c r="X37" s="222"/>
      <c r="Y37" s="222"/>
      <c r="Z37" s="222"/>
      <c r="AA37" s="222"/>
      <c r="AB37" s="222"/>
      <c r="AC37" s="222"/>
      <c r="AD37" s="222"/>
      <c r="AE37" s="222"/>
    </row>
    <row r="38" spans="1:31" s="225" customFormat="1" ht="14.45" customHeight="1" hidden="1">
      <c r="A38" s="222"/>
      <c r="B38" s="223"/>
      <c r="C38" s="222"/>
      <c r="D38" s="222"/>
      <c r="E38" s="221" t="s">
        <v>45</v>
      </c>
      <c r="F38" s="236">
        <f>ROUND((SUM(BH122:BH285)),2)</f>
        <v>0</v>
      </c>
      <c r="G38" s="222"/>
      <c r="H38" s="222"/>
      <c r="I38" s="237">
        <v>0.15</v>
      </c>
      <c r="J38" s="236">
        <f>0</f>
        <v>0</v>
      </c>
      <c r="K38" s="222"/>
      <c r="L38" s="245"/>
      <c r="S38" s="222"/>
      <c r="T38" s="222"/>
      <c r="U38" s="222"/>
      <c r="V38" s="222"/>
      <c r="W38" s="222"/>
      <c r="X38" s="222"/>
      <c r="Y38" s="222"/>
      <c r="Z38" s="222"/>
      <c r="AA38" s="222"/>
      <c r="AB38" s="222"/>
      <c r="AC38" s="222"/>
      <c r="AD38" s="222"/>
      <c r="AE38" s="222"/>
    </row>
    <row r="39" spans="1:31" s="225" customFormat="1" ht="14.45" customHeight="1" hidden="1">
      <c r="A39" s="222"/>
      <c r="B39" s="223"/>
      <c r="C39" s="222"/>
      <c r="D39" s="222"/>
      <c r="E39" s="221" t="s">
        <v>46</v>
      </c>
      <c r="F39" s="236">
        <f>ROUND((SUM(BI122:BI285)),2)</f>
        <v>0</v>
      </c>
      <c r="G39" s="222"/>
      <c r="H39" s="222"/>
      <c r="I39" s="237">
        <v>0</v>
      </c>
      <c r="J39" s="236">
        <f>0</f>
        <v>0</v>
      </c>
      <c r="K39" s="222"/>
      <c r="L39" s="245"/>
      <c r="S39" s="222"/>
      <c r="T39" s="222"/>
      <c r="U39" s="222"/>
      <c r="V39" s="222"/>
      <c r="W39" s="222"/>
      <c r="X39" s="222"/>
      <c r="Y39" s="222"/>
      <c r="Z39" s="222"/>
      <c r="AA39" s="222"/>
      <c r="AB39" s="222"/>
      <c r="AC39" s="222"/>
      <c r="AD39" s="222"/>
      <c r="AE39" s="222"/>
    </row>
    <row r="40" spans="1:31" s="225" customFormat="1" ht="6.95" customHeight="1" hidden="1">
      <c r="A40" s="222"/>
      <c r="B40" s="223"/>
      <c r="C40" s="222"/>
      <c r="D40" s="222"/>
      <c r="E40" s="222"/>
      <c r="F40" s="222"/>
      <c r="G40" s="222"/>
      <c r="H40" s="222"/>
      <c r="I40" s="222"/>
      <c r="J40" s="222"/>
      <c r="K40" s="222"/>
      <c r="L40" s="245"/>
      <c r="S40" s="222"/>
      <c r="T40" s="222"/>
      <c r="U40" s="222"/>
      <c r="V40" s="222"/>
      <c r="W40" s="222"/>
      <c r="X40" s="222"/>
      <c r="Y40" s="222"/>
      <c r="Z40" s="222"/>
      <c r="AA40" s="222"/>
      <c r="AB40" s="222"/>
      <c r="AC40" s="222"/>
      <c r="AD40" s="222"/>
      <c r="AE40" s="222"/>
    </row>
    <row r="41" spans="1:31" s="225" customFormat="1" ht="25.35" customHeight="1" hidden="1">
      <c r="A41" s="222"/>
      <c r="B41" s="223"/>
      <c r="C41" s="238"/>
      <c r="D41" s="239" t="s">
        <v>47</v>
      </c>
      <c r="E41" s="240"/>
      <c r="F41" s="240"/>
      <c r="G41" s="241" t="s">
        <v>48</v>
      </c>
      <c r="H41" s="242" t="s">
        <v>49</v>
      </c>
      <c r="I41" s="240"/>
      <c r="J41" s="243">
        <f>SUM(J32:J39)</f>
        <v>0</v>
      </c>
      <c r="K41" s="244"/>
      <c r="L41" s="245"/>
      <c r="S41" s="222"/>
      <c r="T41" s="222"/>
      <c r="U41" s="222"/>
      <c r="V41" s="222"/>
      <c r="W41" s="222"/>
      <c r="X41" s="222"/>
      <c r="Y41" s="222"/>
      <c r="Z41" s="222"/>
      <c r="AA41" s="222"/>
      <c r="AB41" s="222"/>
      <c r="AC41" s="222"/>
      <c r="AD41" s="222"/>
      <c r="AE41" s="222"/>
    </row>
    <row r="42" spans="1:31" s="225" customFormat="1" ht="14.45" customHeight="1" hidden="1">
      <c r="A42" s="222"/>
      <c r="B42" s="223"/>
      <c r="C42" s="222"/>
      <c r="D42" s="222"/>
      <c r="E42" s="222"/>
      <c r="F42" s="222"/>
      <c r="G42" s="222"/>
      <c r="H42" s="222"/>
      <c r="I42" s="222"/>
      <c r="J42" s="222"/>
      <c r="K42" s="222"/>
      <c r="L42" s="245"/>
      <c r="S42" s="222"/>
      <c r="T42" s="222"/>
      <c r="U42" s="222"/>
      <c r="V42" s="222"/>
      <c r="W42" s="222"/>
      <c r="X42" s="222"/>
      <c r="Y42" s="222"/>
      <c r="Z42" s="222"/>
      <c r="AA42" s="222"/>
      <c r="AB42" s="222"/>
      <c r="AC42" s="222"/>
      <c r="AD42" s="222"/>
      <c r="AE42" s="222"/>
    </row>
    <row r="43" spans="2:12" ht="14.45" customHeight="1" hidden="1">
      <c r="B43" s="218"/>
      <c r="L43" s="218"/>
    </row>
    <row r="44" spans="2:12" ht="14.45" customHeight="1" hidden="1">
      <c r="B44" s="218"/>
      <c r="L44" s="218"/>
    </row>
    <row r="45" spans="2:12" ht="14.45" customHeight="1" hidden="1">
      <c r="B45" s="218"/>
      <c r="L45" s="218"/>
    </row>
    <row r="46" spans="2:12" ht="14.45" customHeight="1" hidden="1">
      <c r="B46" s="218"/>
      <c r="L46" s="218"/>
    </row>
    <row r="47" spans="2:12" ht="14.45" customHeight="1" hidden="1">
      <c r="B47" s="218"/>
      <c r="L47" s="218"/>
    </row>
    <row r="48" spans="2:12" ht="14.45" customHeight="1" hidden="1">
      <c r="B48" s="218"/>
      <c r="L48" s="218"/>
    </row>
    <row r="49" spans="2:12" ht="14.45" customHeight="1" hidden="1">
      <c r="B49" s="218"/>
      <c r="L49" s="218"/>
    </row>
    <row r="50" spans="2:12" s="225" customFormat="1" ht="14.45" customHeight="1" hidden="1">
      <c r="B50" s="245"/>
      <c r="D50" s="246" t="s">
        <v>50</v>
      </c>
      <c r="E50" s="247"/>
      <c r="F50" s="247"/>
      <c r="G50" s="246" t="s">
        <v>51</v>
      </c>
      <c r="H50" s="247"/>
      <c r="I50" s="247"/>
      <c r="J50" s="247"/>
      <c r="K50" s="247"/>
      <c r="L50" s="245"/>
    </row>
    <row r="51" spans="2:12" ht="12" hidden="1">
      <c r="B51" s="218"/>
      <c r="L51" s="218"/>
    </row>
    <row r="52" spans="2:12" ht="12" hidden="1">
      <c r="B52" s="218"/>
      <c r="L52" s="218"/>
    </row>
    <row r="53" spans="2:12" ht="12" hidden="1">
      <c r="B53" s="218"/>
      <c r="L53" s="218"/>
    </row>
    <row r="54" spans="2:12" ht="12" hidden="1">
      <c r="B54" s="218"/>
      <c r="L54" s="218"/>
    </row>
    <row r="55" spans="2:12" ht="12" hidden="1">
      <c r="B55" s="218"/>
      <c r="L55" s="218"/>
    </row>
    <row r="56" spans="2:12" ht="12" hidden="1">
      <c r="B56" s="218"/>
      <c r="L56" s="218"/>
    </row>
    <row r="57" spans="2:12" ht="12" hidden="1">
      <c r="B57" s="218"/>
      <c r="L57" s="218"/>
    </row>
    <row r="58" spans="2:12" ht="12" hidden="1">
      <c r="B58" s="218"/>
      <c r="L58" s="218"/>
    </row>
    <row r="59" spans="2:12" ht="12" hidden="1">
      <c r="B59" s="218"/>
      <c r="L59" s="218"/>
    </row>
    <row r="60" spans="2:12" ht="12" hidden="1">
      <c r="B60" s="218"/>
      <c r="L60" s="218"/>
    </row>
    <row r="61" spans="1:31" s="225" customFormat="1" ht="12.75" hidden="1">
      <c r="A61" s="222"/>
      <c r="B61" s="223"/>
      <c r="C61" s="222"/>
      <c r="D61" s="248" t="s">
        <v>52</v>
      </c>
      <c r="E61" s="249"/>
      <c r="F61" s="250" t="s">
        <v>53</v>
      </c>
      <c r="G61" s="248" t="s">
        <v>52</v>
      </c>
      <c r="H61" s="249"/>
      <c r="I61" s="249"/>
      <c r="J61" s="251" t="s">
        <v>53</v>
      </c>
      <c r="K61" s="249"/>
      <c r="L61" s="245"/>
      <c r="S61" s="222"/>
      <c r="T61" s="222"/>
      <c r="U61" s="222"/>
      <c r="V61" s="222"/>
      <c r="W61" s="222"/>
      <c r="X61" s="222"/>
      <c r="Y61" s="222"/>
      <c r="Z61" s="222"/>
      <c r="AA61" s="222"/>
      <c r="AB61" s="222"/>
      <c r="AC61" s="222"/>
      <c r="AD61" s="222"/>
      <c r="AE61" s="222"/>
    </row>
    <row r="62" spans="2:12" ht="12" hidden="1">
      <c r="B62" s="218"/>
      <c r="L62" s="218"/>
    </row>
    <row r="63" spans="2:12" ht="12" hidden="1">
      <c r="B63" s="218"/>
      <c r="L63" s="218"/>
    </row>
    <row r="64" spans="2:12" ht="12" hidden="1">
      <c r="B64" s="218"/>
      <c r="L64" s="218"/>
    </row>
    <row r="65" spans="1:31" s="225" customFormat="1" ht="12.75" hidden="1">
      <c r="A65" s="222"/>
      <c r="B65" s="223"/>
      <c r="C65" s="222"/>
      <c r="D65" s="246" t="s">
        <v>54</v>
      </c>
      <c r="E65" s="252"/>
      <c r="F65" s="252"/>
      <c r="G65" s="246" t="s">
        <v>55</v>
      </c>
      <c r="H65" s="252"/>
      <c r="I65" s="252"/>
      <c r="J65" s="252"/>
      <c r="K65" s="252"/>
      <c r="L65" s="245"/>
      <c r="S65" s="222"/>
      <c r="T65" s="222"/>
      <c r="U65" s="222"/>
      <c r="V65" s="222"/>
      <c r="W65" s="222"/>
      <c r="X65" s="222"/>
      <c r="Y65" s="222"/>
      <c r="Z65" s="222"/>
      <c r="AA65" s="222"/>
      <c r="AB65" s="222"/>
      <c r="AC65" s="222"/>
      <c r="AD65" s="222"/>
      <c r="AE65" s="222"/>
    </row>
    <row r="66" spans="2:12" ht="12" hidden="1">
      <c r="B66" s="218"/>
      <c r="L66" s="218"/>
    </row>
    <row r="67" spans="2:12" ht="12" hidden="1">
      <c r="B67" s="218"/>
      <c r="L67" s="218"/>
    </row>
    <row r="68" spans="2:12" ht="12" hidden="1">
      <c r="B68" s="218"/>
      <c r="L68" s="218"/>
    </row>
    <row r="69" spans="2:12" ht="12" hidden="1">
      <c r="B69" s="218"/>
      <c r="L69" s="218"/>
    </row>
    <row r="70" spans="2:12" ht="12" hidden="1">
      <c r="B70" s="218"/>
      <c r="L70" s="218"/>
    </row>
    <row r="71" spans="2:12" ht="12" hidden="1">
      <c r="B71" s="218"/>
      <c r="L71" s="218"/>
    </row>
    <row r="72" spans="2:12" ht="12" hidden="1">
      <c r="B72" s="218"/>
      <c r="L72" s="218"/>
    </row>
    <row r="73" spans="2:12" ht="12" hidden="1">
      <c r="B73" s="218"/>
      <c r="L73" s="218"/>
    </row>
    <row r="74" spans="2:12" ht="12" hidden="1">
      <c r="B74" s="218"/>
      <c r="L74" s="218"/>
    </row>
    <row r="75" spans="2:12" ht="12" hidden="1">
      <c r="B75" s="218"/>
      <c r="L75" s="218"/>
    </row>
    <row r="76" spans="1:31" s="225" customFormat="1" ht="12.75" hidden="1">
      <c r="A76" s="222"/>
      <c r="B76" s="223"/>
      <c r="C76" s="222"/>
      <c r="D76" s="248" t="s">
        <v>52</v>
      </c>
      <c r="E76" s="249"/>
      <c r="F76" s="250" t="s">
        <v>53</v>
      </c>
      <c r="G76" s="248" t="s">
        <v>52</v>
      </c>
      <c r="H76" s="249"/>
      <c r="I76" s="249"/>
      <c r="J76" s="251" t="s">
        <v>53</v>
      </c>
      <c r="K76" s="249"/>
      <c r="L76" s="245"/>
      <c r="S76" s="222"/>
      <c r="T76" s="222"/>
      <c r="U76" s="222"/>
      <c r="V76" s="222"/>
      <c r="W76" s="222"/>
      <c r="X76" s="222"/>
      <c r="Y76" s="222"/>
      <c r="Z76" s="222"/>
      <c r="AA76" s="222"/>
      <c r="AB76" s="222"/>
      <c r="AC76" s="222"/>
      <c r="AD76" s="222"/>
      <c r="AE76" s="222"/>
    </row>
    <row r="77" spans="1:31" s="225" customFormat="1" ht="14.45" customHeight="1" hidden="1">
      <c r="A77" s="222"/>
      <c r="B77" s="253"/>
      <c r="C77" s="254"/>
      <c r="D77" s="254"/>
      <c r="E77" s="254"/>
      <c r="F77" s="254"/>
      <c r="G77" s="254"/>
      <c r="H77" s="254"/>
      <c r="I77" s="254"/>
      <c r="J77" s="254"/>
      <c r="K77" s="254"/>
      <c r="L77" s="245"/>
      <c r="S77" s="222"/>
      <c r="T77" s="222"/>
      <c r="U77" s="222"/>
      <c r="V77" s="222"/>
      <c r="W77" s="222"/>
      <c r="X77" s="222"/>
      <c r="Y77" s="222"/>
      <c r="Z77" s="222"/>
      <c r="AA77" s="222"/>
      <c r="AB77" s="222"/>
      <c r="AC77" s="222"/>
      <c r="AD77" s="222"/>
      <c r="AE77" s="222"/>
    </row>
    <row r="78" ht="12" hidden="1"/>
    <row r="79" ht="12" hidden="1"/>
    <row r="80" ht="12" hidden="1"/>
    <row r="81" spans="1:31" s="225" customFormat="1" ht="6.95" customHeight="1" hidden="1">
      <c r="A81" s="222"/>
      <c r="B81" s="255"/>
      <c r="C81" s="256"/>
      <c r="D81" s="256"/>
      <c r="E81" s="256"/>
      <c r="F81" s="256"/>
      <c r="G81" s="256"/>
      <c r="H81" s="256"/>
      <c r="I81" s="256"/>
      <c r="J81" s="256"/>
      <c r="K81" s="256"/>
      <c r="L81" s="245"/>
      <c r="S81" s="222"/>
      <c r="T81" s="222"/>
      <c r="U81" s="222"/>
      <c r="V81" s="222"/>
      <c r="W81" s="222"/>
      <c r="X81" s="222"/>
      <c r="Y81" s="222"/>
      <c r="Z81" s="222"/>
      <c r="AA81" s="222"/>
      <c r="AB81" s="222"/>
      <c r="AC81" s="222"/>
      <c r="AD81" s="222"/>
      <c r="AE81" s="222"/>
    </row>
    <row r="82" spans="1:31" s="225" customFormat="1" ht="24.95" customHeight="1" hidden="1">
      <c r="A82" s="222"/>
      <c r="B82" s="223"/>
      <c r="C82" s="219" t="s">
        <v>97</v>
      </c>
      <c r="D82" s="222"/>
      <c r="E82" s="222"/>
      <c r="F82" s="222"/>
      <c r="G82" s="222"/>
      <c r="H82" s="222"/>
      <c r="I82" s="222"/>
      <c r="J82" s="222"/>
      <c r="K82" s="222"/>
      <c r="L82" s="245"/>
      <c r="S82" s="222"/>
      <c r="T82" s="222"/>
      <c r="U82" s="222"/>
      <c r="V82" s="222"/>
      <c r="W82" s="222"/>
      <c r="X82" s="222"/>
      <c r="Y82" s="222"/>
      <c r="Z82" s="222"/>
      <c r="AA82" s="222"/>
      <c r="AB82" s="222"/>
      <c r="AC82" s="222"/>
      <c r="AD82" s="222"/>
      <c r="AE82" s="222"/>
    </row>
    <row r="83" spans="1:31" s="225" customFormat="1" ht="6.95" customHeight="1" hidden="1">
      <c r="A83" s="222"/>
      <c r="B83" s="223"/>
      <c r="C83" s="222"/>
      <c r="D83" s="222"/>
      <c r="E83" s="222"/>
      <c r="F83" s="222"/>
      <c r="G83" s="222"/>
      <c r="H83" s="222"/>
      <c r="I83" s="222"/>
      <c r="J83" s="222"/>
      <c r="K83" s="222"/>
      <c r="L83" s="245"/>
      <c r="S83" s="222"/>
      <c r="T83" s="222"/>
      <c r="U83" s="222"/>
      <c r="V83" s="222"/>
      <c r="W83" s="222"/>
      <c r="X83" s="222"/>
      <c r="Y83" s="222"/>
      <c r="Z83" s="222"/>
      <c r="AA83" s="222"/>
      <c r="AB83" s="222"/>
      <c r="AC83" s="222"/>
      <c r="AD83" s="222"/>
      <c r="AE83" s="222"/>
    </row>
    <row r="84" spans="1:31" s="225" customFormat="1" ht="12" customHeight="1" hidden="1">
      <c r="A84" s="222"/>
      <c r="B84" s="223"/>
      <c r="C84" s="221" t="s">
        <v>14</v>
      </c>
      <c r="D84" s="222"/>
      <c r="E84" s="222"/>
      <c r="F84" s="222"/>
      <c r="G84" s="222"/>
      <c r="H84" s="222"/>
      <c r="I84" s="222"/>
      <c r="J84" s="222"/>
      <c r="K84" s="222"/>
      <c r="L84" s="245"/>
      <c r="S84" s="222"/>
      <c r="T84" s="222"/>
      <c r="U84" s="222"/>
      <c r="V84" s="222"/>
      <c r="W84" s="222"/>
      <c r="X84" s="222"/>
      <c r="Y84" s="222"/>
      <c r="Z84" s="222"/>
      <c r="AA84" s="222"/>
      <c r="AB84" s="222"/>
      <c r="AC84" s="222"/>
      <c r="AD84" s="222"/>
      <c r="AE84" s="222"/>
    </row>
    <row r="85" spans="1:31" s="225" customFormat="1" ht="16.5" customHeight="1" hidden="1">
      <c r="A85" s="222"/>
      <c r="B85" s="223"/>
      <c r="C85" s="222"/>
      <c r="D85" s="222"/>
      <c r="E85" s="832" t="str">
        <f>E7</f>
        <v>Středisko Okrouhlík - nástavba a stavební úpravy</v>
      </c>
      <c r="F85" s="833"/>
      <c r="G85" s="833"/>
      <c r="H85" s="833"/>
      <c r="I85" s="222"/>
      <c r="J85" s="222"/>
      <c r="K85" s="222"/>
      <c r="L85" s="245"/>
      <c r="S85" s="222"/>
      <c r="T85" s="222"/>
      <c r="U85" s="222"/>
      <c r="V85" s="222"/>
      <c r="W85" s="222"/>
      <c r="X85" s="222"/>
      <c r="Y85" s="222"/>
      <c r="Z85" s="222"/>
      <c r="AA85" s="222"/>
      <c r="AB85" s="222"/>
      <c r="AC85" s="222"/>
      <c r="AD85" s="222"/>
      <c r="AE85" s="222"/>
    </row>
    <row r="86" spans="2:12" ht="12" customHeight="1" hidden="1">
      <c r="B86" s="218"/>
      <c r="C86" s="221" t="s">
        <v>95</v>
      </c>
      <c r="L86" s="218"/>
    </row>
    <row r="87" spans="1:31" s="225" customFormat="1" ht="16.5" customHeight="1" hidden="1">
      <c r="A87" s="222"/>
      <c r="B87" s="223"/>
      <c r="C87" s="222"/>
      <c r="D87" s="222"/>
      <c r="E87" s="832" t="s">
        <v>96</v>
      </c>
      <c r="F87" s="831"/>
      <c r="G87" s="831"/>
      <c r="H87" s="831"/>
      <c r="I87" s="222"/>
      <c r="J87" s="222"/>
      <c r="K87" s="222"/>
      <c r="L87" s="245"/>
      <c r="S87" s="222"/>
      <c r="T87" s="222"/>
      <c r="U87" s="222"/>
      <c r="V87" s="222"/>
      <c r="W87" s="222"/>
      <c r="X87" s="222"/>
      <c r="Y87" s="222"/>
      <c r="Z87" s="222"/>
      <c r="AA87" s="222"/>
      <c r="AB87" s="222"/>
      <c r="AC87" s="222"/>
      <c r="AD87" s="222"/>
      <c r="AE87" s="222"/>
    </row>
    <row r="88" spans="1:31" s="225" customFormat="1" ht="12" customHeight="1" hidden="1">
      <c r="A88" s="222"/>
      <c r="B88" s="223"/>
      <c r="C88" s="221" t="s">
        <v>1346</v>
      </c>
      <c r="D88" s="222"/>
      <c r="E88" s="222"/>
      <c r="F88" s="222"/>
      <c r="G88" s="222"/>
      <c r="H88" s="222"/>
      <c r="I88" s="222"/>
      <c r="J88" s="222"/>
      <c r="K88" s="222"/>
      <c r="L88" s="245"/>
      <c r="S88" s="222"/>
      <c r="T88" s="222"/>
      <c r="U88" s="222"/>
      <c r="V88" s="222"/>
      <c r="W88" s="222"/>
      <c r="X88" s="222"/>
      <c r="Y88" s="222"/>
      <c r="Z88" s="222"/>
      <c r="AA88" s="222"/>
      <c r="AB88" s="222"/>
      <c r="AC88" s="222"/>
      <c r="AD88" s="222"/>
      <c r="AE88" s="222"/>
    </row>
    <row r="89" spans="1:31" s="225" customFormat="1" ht="16.5" customHeight="1" hidden="1">
      <c r="A89" s="222"/>
      <c r="B89" s="223"/>
      <c r="C89" s="222"/>
      <c r="D89" s="222"/>
      <c r="E89" s="830" t="str">
        <f>E11</f>
        <v>01-02 - VZT</v>
      </c>
      <c r="F89" s="831"/>
      <c r="G89" s="831"/>
      <c r="H89" s="831"/>
      <c r="I89" s="222"/>
      <c r="J89" s="222"/>
      <c r="K89" s="222"/>
      <c r="L89" s="245"/>
      <c r="S89" s="222"/>
      <c r="T89" s="222"/>
      <c r="U89" s="222"/>
      <c r="V89" s="222"/>
      <c r="W89" s="222"/>
      <c r="X89" s="222"/>
      <c r="Y89" s="222"/>
      <c r="Z89" s="222"/>
      <c r="AA89" s="222"/>
      <c r="AB89" s="222"/>
      <c r="AC89" s="222"/>
      <c r="AD89" s="222"/>
      <c r="AE89" s="222"/>
    </row>
    <row r="90" spans="1:31" s="225" customFormat="1" ht="6.95" customHeight="1" hidden="1">
      <c r="A90" s="222"/>
      <c r="B90" s="223"/>
      <c r="C90" s="222"/>
      <c r="D90" s="222"/>
      <c r="E90" s="222"/>
      <c r="F90" s="222"/>
      <c r="G90" s="222"/>
      <c r="H90" s="222"/>
      <c r="I90" s="222"/>
      <c r="J90" s="222"/>
      <c r="K90" s="222"/>
      <c r="L90" s="245"/>
      <c r="S90" s="222"/>
      <c r="T90" s="222"/>
      <c r="U90" s="222"/>
      <c r="V90" s="222"/>
      <c r="W90" s="222"/>
      <c r="X90" s="222"/>
      <c r="Y90" s="222"/>
      <c r="Z90" s="222"/>
      <c r="AA90" s="222"/>
      <c r="AB90" s="222"/>
      <c r="AC90" s="222"/>
      <c r="AD90" s="222"/>
      <c r="AE90" s="222"/>
    </row>
    <row r="91" spans="1:31" s="225" customFormat="1" ht="12" customHeight="1" hidden="1">
      <c r="A91" s="222"/>
      <c r="B91" s="223"/>
      <c r="C91" s="221" t="s">
        <v>18</v>
      </c>
      <c r="D91" s="222"/>
      <c r="E91" s="222"/>
      <c r="F91" s="226" t="str">
        <f>F14</f>
        <v>st.p. 1443, k.ú. Staré Benátky</v>
      </c>
      <c r="G91" s="222"/>
      <c r="H91" s="222"/>
      <c r="I91" s="221" t="s">
        <v>20</v>
      </c>
      <c r="J91" s="227" t="str">
        <f>IF(J14="","",J14)</f>
        <v>8. 10. 2021</v>
      </c>
      <c r="K91" s="222"/>
      <c r="L91" s="245"/>
      <c r="S91" s="222"/>
      <c r="T91" s="222"/>
      <c r="U91" s="222"/>
      <c r="V91" s="222"/>
      <c r="W91" s="222"/>
      <c r="X91" s="222"/>
      <c r="Y91" s="222"/>
      <c r="Z91" s="222"/>
      <c r="AA91" s="222"/>
      <c r="AB91" s="222"/>
      <c r="AC91" s="222"/>
      <c r="AD91" s="222"/>
      <c r="AE91" s="222"/>
    </row>
    <row r="92" spans="1:31" s="225" customFormat="1" ht="6.95" customHeight="1" hidden="1">
      <c r="A92" s="222"/>
      <c r="B92" s="223"/>
      <c r="C92" s="222"/>
      <c r="D92" s="222"/>
      <c r="E92" s="222"/>
      <c r="F92" s="222"/>
      <c r="G92" s="222"/>
      <c r="H92" s="222"/>
      <c r="I92" s="222"/>
      <c r="J92" s="222"/>
      <c r="K92" s="222"/>
      <c r="L92" s="245"/>
      <c r="S92" s="222"/>
      <c r="T92" s="222"/>
      <c r="U92" s="222"/>
      <c r="V92" s="222"/>
      <c r="W92" s="222"/>
      <c r="X92" s="222"/>
      <c r="Y92" s="222"/>
      <c r="Z92" s="222"/>
      <c r="AA92" s="222"/>
      <c r="AB92" s="222"/>
      <c r="AC92" s="222"/>
      <c r="AD92" s="222"/>
      <c r="AE92" s="222"/>
    </row>
    <row r="93" spans="1:31" s="225" customFormat="1" ht="54.4" customHeight="1" hidden="1">
      <c r="A93" s="222"/>
      <c r="B93" s="223"/>
      <c r="C93" s="221" t="s">
        <v>22</v>
      </c>
      <c r="D93" s="222"/>
      <c r="E93" s="222"/>
      <c r="F93" s="226" t="str">
        <f>E17</f>
        <v>VaK Mladá Boleslav, Čechova 1151, Mladá Boleslav</v>
      </c>
      <c r="G93" s="222"/>
      <c r="H93" s="222"/>
      <c r="I93" s="221" t="s">
        <v>30</v>
      </c>
      <c r="J93" s="257" t="str">
        <f>E23</f>
        <v>ŽÁROVKA PROJEKTANTI,Křižíkova 788/2,Hradec Králové</v>
      </c>
      <c r="K93" s="222"/>
      <c r="L93" s="245"/>
      <c r="S93" s="222"/>
      <c r="T93" s="222"/>
      <c r="U93" s="222"/>
      <c r="V93" s="222"/>
      <c r="W93" s="222"/>
      <c r="X93" s="222"/>
      <c r="Y93" s="222"/>
      <c r="Z93" s="222"/>
      <c r="AA93" s="222"/>
      <c r="AB93" s="222"/>
      <c r="AC93" s="222"/>
      <c r="AD93" s="222"/>
      <c r="AE93" s="222"/>
    </row>
    <row r="94" spans="1:31" s="225" customFormat="1" ht="15.2" customHeight="1" hidden="1">
      <c r="A94" s="222"/>
      <c r="B94" s="223"/>
      <c r="C94" s="221" t="s">
        <v>28</v>
      </c>
      <c r="D94" s="222"/>
      <c r="E94" s="222"/>
      <c r="F94" s="226" t="str">
        <f>IF(E20="","",E20)</f>
        <v xml:space="preserve"> </v>
      </c>
      <c r="G94" s="222"/>
      <c r="H94" s="222"/>
      <c r="I94" s="221" t="s">
        <v>35</v>
      </c>
      <c r="J94" s="257" t="str">
        <f>E26</f>
        <v xml:space="preserve"> </v>
      </c>
      <c r="K94" s="222"/>
      <c r="L94" s="245"/>
      <c r="S94" s="222"/>
      <c r="T94" s="222"/>
      <c r="U94" s="222"/>
      <c r="V94" s="222"/>
      <c r="W94" s="222"/>
      <c r="X94" s="222"/>
      <c r="Y94" s="222"/>
      <c r="Z94" s="222"/>
      <c r="AA94" s="222"/>
      <c r="AB94" s="222"/>
      <c r="AC94" s="222"/>
      <c r="AD94" s="222"/>
      <c r="AE94" s="222"/>
    </row>
    <row r="95" spans="1:31" s="225" customFormat="1" ht="10.35" customHeight="1" hidden="1">
      <c r="A95" s="222"/>
      <c r="B95" s="223"/>
      <c r="C95" s="222"/>
      <c r="D95" s="222"/>
      <c r="E95" s="222"/>
      <c r="F95" s="222"/>
      <c r="G95" s="222"/>
      <c r="H95" s="222"/>
      <c r="I95" s="222"/>
      <c r="J95" s="222"/>
      <c r="K95" s="222"/>
      <c r="L95" s="245"/>
      <c r="S95" s="222"/>
      <c r="T95" s="222"/>
      <c r="U95" s="222"/>
      <c r="V95" s="222"/>
      <c r="W95" s="222"/>
      <c r="X95" s="222"/>
      <c r="Y95" s="222"/>
      <c r="Z95" s="222"/>
      <c r="AA95" s="222"/>
      <c r="AB95" s="222"/>
      <c r="AC95" s="222"/>
      <c r="AD95" s="222"/>
      <c r="AE95" s="222"/>
    </row>
    <row r="96" spans="1:31" s="263" customFormat="1" ht="29.25" customHeight="1" hidden="1">
      <c r="A96" s="258"/>
      <c r="B96" s="259"/>
      <c r="C96" s="260" t="s">
        <v>98</v>
      </c>
      <c r="D96" s="258"/>
      <c r="E96" s="258"/>
      <c r="F96" s="258"/>
      <c r="G96" s="258"/>
      <c r="H96" s="258"/>
      <c r="I96" s="258"/>
      <c r="J96" s="261" t="s">
        <v>99</v>
      </c>
      <c r="K96" s="258"/>
      <c r="L96" s="647"/>
      <c r="S96" s="258"/>
      <c r="T96" s="258"/>
      <c r="U96" s="258"/>
      <c r="V96" s="258"/>
      <c r="W96" s="258"/>
      <c r="X96" s="258"/>
      <c r="Y96" s="258"/>
      <c r="Z96" s="258"/>
      <c r="AA96" s="258"/>
      <c r="AB96" s="258"/>
      <c r="AC96" s="258"/>
      <c r="AD96" s="258"/>
      <c r="AE96" s="258"/>
    </row>
    <row r="97" spans="1:31" s="225" customFormat="1" ht="10.35" customHeight="1" hidden="1">
      <c r="A97" s="222"/>
      <c r="B97" s="223"/>
      <c r="C97" s="222"/>
      <c r="D97" s="222"/>
      <c r="E97" s="222"/>
      <c r="F97" s="222"/>
      <c r="G97" s="222"/>
      <c r="H97" s="222"/>
      <c r="I97" s="222"/>
      <c r="J97" s="222"/>
      <c r="K97" s="222"/>
      <c r="L97" s="245"/>
      <c r="S97" s="222"/>
      <c r="T97" s="222"/>
      <c r="U97" s="222"/>
      <c r="V97" s="222"/>
      <c r="W97" s="222"/>
      <c r="X97" s="222"/>
      <c r="Y97" s="222"/>
      <c r="Z97" s="222"/>
      <c r="AA97" s="222"/>
      <c r="AB97" s="222"/>
      <c r="AC97" s="222"/>
      <c r="AD97" s="222"/>
      <c r="AE97" s="222"/>
    </row>
    <row r="98" spans="1:47" s="225" customFormat="1" ht="22.9" customHeight="1" hidden="1">
      <c r="A98" s="222"/>
      <c r="B98" s="223"/>
      <c r="C98" s="264" t="s">
        <v>100</v>
      </c>
      <c r="D98" s="222"/>
      <c r="E98" s="222"/>
      <c r="F98" s="222"/>
      <c r="G98" s="222"/>
      <c r="H98" s="222"/>
      <c r="I98" s="222"/>
      <c r="J98" s="233">
        <f>J122</f>
        <v>0</v>
      </c>
      <c r="K98" s="222"/>
      <c r="L98" s="245"/>
      <c r="S98" s="222"/>
      <c r="T98" s="222"/>
      <c r="U98" s="222"/>
      <c r="V98" s="222"/>
      <c r="W98" s="222"/>
      <c r="X98" s="222"/>
      <c r="Y98" s="222"/>
      <c r="Z98" s="222"/>
      <c r="AA98" s="222"/>
      <c r="AB98" s="222"/>
      <c r="AC98" s="222"/>
      <c r="AD98" s="222"/>
      <c r="AE98" s="222"/>
      <c r="AU98" s="214" t="s">
        <v>101</v>
      </c>
    </row>
    <row r="99" spans="2:12" s="266" customFormat="1" ht="24.95" customHeight="1" hidden="1">
      <c r="B99" s="265"/>
      <c r="D99" s="267" t="s">
        <v>112</v>
      </c>
      <c r="E99" s="268"/>
      <c r="F99" s="268"/>
      <c r="G99" s="268"/>
      <c r="H99" s="268"/>
      <c r="I99" s="268"/>
      <c r="J99" s="269">
        <f>J124</f>
        <v>0</v>
      </c>
      <c r="L99" s="265"/>
    </row>
    <row r="100" spans="2:12" s="272" customFormat="1" ht="19.9" customHeight="1" hidden="1">
      <c r="B100" s="271"/>
      <c r="D100" s="273" t="s">
        <v>1668</v>
      </c>
      <c r="E100" s="274"/>
      <c r="F100" s="274"/>
      <c r="G100" s="274"/>
      <c r="H100" s="274"/>
      <c r="I100" s="274"/>
      <c r="J100" s="275">
        <f>J125</f>
        <v>0</v>
      </c>
      <c r="L100" s="271"/>
    </row>
    <row r="101" spans="1:31" s="225" customFormat="1" ht="21.75" customHeight="1" hidden="1">
      <c r="A101" s="222"/>
      <c r="B101" s="223"/>
      <c r="C101" s="222"/>
      <c r="D101" s="222"/>
      <c r="E101" s="222"/>
      <c r="F101" s="222"/>
      <c r="G101" s="222"/>
      <c r="H101" s="222"/>
      <c r="I101" s="222"/>
      <c r="J101" s="222"/>
      <c r="K101" s="222"/>
      <c r="L101" s="245"/>
      <c r="S101" s="222"/>
      <c r="T101" s="222"/>
      <c r="U101" s="222"/>
      <c r="V101" s="222"/>
      <c r="W101" s="222"/>
      <c r="X101" s="222"/>
      <c r="Y101" s="222"/>
      <c r="Z101" s="222"/>
      <c r="AA101" s="222"/>
      <c r="AB101" s="222"/>
      <c r="AC101" s="222"/>
      <c r="AD101" s="222"/>
      <c r="AE101" s="222"/>
    </row>
    <row r="102" spans="1:31" s="225" customFormat="1" ht="6.95" customHeight="1" hidden="1">
      <c r="A102" s="222"/>
      <c r="B102" s="253"/>
      <c r="C102" s="254"/>
      <c r="D102" s="254"/>
      <c r="E102" s="254"/>
      <c r="F102" s="254"/>
      <c r="G102" s="254"/>
      <c r="H102" s="254"/>
      <c r="I102" s="254"/>
      <c r="J102" s="254"/>
      <c r="K102" s="254"/>
      <c r="L102" s="245"/>
      <c r="S102" s="222"/>
      <c r="T102" s="222"/>
      <c r="U102" s="222"/>
      <c r="V102" s="222"/>
      <c r="W102" s="222"/>
      <c r="X102" s="222"/>
      <c r="Y102" s="222"/>
      <c r="Z102" s="222"/>
      <c r="AA102" s="222"/>
      <c r="AB102" s="222"/>
      <c r="AC102" s="222"/>
      <c r="AD102" s="222"/>
      <c r="AE102" s="222"/>
    </row>
    <row r="103" ht="12" hidden="1"/>
    <row r="104" ht="12" hidden="1"/>
    <row r="106" spans="1:31" s="225" customFormat="1" ht="6.95" customHeight="1">
      <c r="A106" s="222"/>
      <c r="B106" s="255"/>
      <c r="C106" s="256"/>
      <c r="D106" s="256"/>
      <c r="E106" s="256"/>
      <c r="F106" s="256"/>
      <c r="G106" s="256"/>
      <c r="H106" s="256"/>
      <c r="I106" s="256"/>
      <c r="J106" s="256"/>
      <c r="K106" s="256"/>
      <c r="L106" s="245"/>
      <c r="S106" s="222"/>
      <c r="T106" s="222"/>
      <c r="U106" s="222"/>
      <c r="V106" s="222"/>
      <c r="W106" s="222"/>
      <c r="X106" s="222"/>
      <c r="Y106" s="222"/>
      <c r="Z106" s="222"/>
      <c r="AA106" s="222"/>
      <c r="AB106" s="222"/>
      <c r="AC106" s="222"/>
      <c r="AD106" s="222"/>
      <c r="AE106" s="222"/>
    </row>
    <row r="107" spans="1:31" s="225" customFormat="1" ht="24.95" customHeight="1">
      <c r="A107" s="222"/>
      <c r="B107" s="223"/>
      <c r="C107" s="219" t="s">
        <v>131</v>
      </c>
      <c r="D107" s="222"/>
      <c r="E107" s="222"/>
      <c r="F107" s="222"/>
      <c r="G107" s="222"/>
      <c r="H107" s="222"/>
      <c r="I107" s="222"/>
      <c r="J107" s="222"/>
      <c r="K107" s="222"/>
      <c r="L107" s="245"/>
      <c r="S107" s="222"/>
      <c r="T107" s="222"/>
      <c r="U107" s="222"/>
      <c r="V107" s="222"/>
      <c r="W107" s="222"/>
      <c r="X107" s="222"/>
      <c r="Y107" s="222"/>
      <c r="Z107" s="222"/>
      <c r="AA107" s="222"/>
      <c r="AB107" s="222"/>
      <c r="AC107" s="222"/>
      <c r="AD107" s="222"/>
      <c r="AE107" s="222"/>
    </row>
    <row r="108" spans="1:31" s="225" customFormat="1" ht="6.95" customHeight="1">
      <c r="A108" s="222"/>
      <c r="B108" s="223"/>
      <c r="C108" s="222"/>
      <c r="D108" s="222"/>
      <c r="E108" s="222"/>
      <c r="F108" s="222"/>
      <c r="G108" s="222"/>
      <c r="H108" s="222"/>
      <c r="I108" s="222"/>
      <c r="J108" s="222"/>
      <c r="K108" s="222"/>
      <c r="L108" s="245"/>
      <c r="S108" s="222"/>
      <c r="T108" s="222"/>
      <c r="U108" s="222"/>
      <c r="V108" s="222"/>
      <c r="W108" s="222"/>
      <c r="X108" s="222"/>
      <c r="Y108" s="222"/>
      <c r="Z108" s="222"/>
      <c r="AA108" s="222"/>
      <c r="AB108" s="222"/>
      <c r="AC108" s="222"/>
      <c r="AD108" s="222"/>
      <c r="AE108" s="222"/>
    </row>
    <row r="109" spans="1:31" s="225" customFormat="1" ht="12" customHeight="1">
      <c r="A109" s="222"/>
      <c r="B109" s="223"/>
      <c r="C109" s="221" t="s">
        <v>14</v>
      </c>
      <c r="D109" s="222"/>
      <c r="E109" s="222"/>
      <c r="F109" s="222"/>
      <c r="G109" s="222"/>
      <c r="H109" s="222"/>
      <c r="I109" s="222"/>
      <c r="J109" s="222"/>
      <c r="K109" s="222"/>
      <c r="L109" s="245"/>
      <c r="S109" s="222"/>
      <c r="T109" s="222"/>
      <c r="U109" s="222"/>
      <c r="V109" s="222"/>
      <c r="W109" s="222"/>
      <c r="X109" s="222"/>
      <c r="Y109" s="222"/>
      <c r="Z109" s="222"/>
      <c r="AA109" s="222"/>
      <c r="AB109" s="222"/>
      <c r="AC109" s="222"/>
      <c r="AD109" s="222"/>
      <c r="AE109" s="222"/>
    </row>
    <row r="110" spans="1:31" s="225" customFormat="1" ht="16.5" customHeight="1">
      <c r="A110" s="222"/>
      <c r="B110" s="223"/>
      <c r="C110" s="222"/>
      <c r="D110" s="222"/>
      <c r="E110" s="832" t="str">
        <f>E7</f>
        <v>Středisko Okrouhlík - nástavba a stavební úpravy</v>
      </c>
      <c r="F110" s="833"/>
      <c r="G110" s="833"/>
      <c r="H110" s="833"/>
      <c r="I110" s="222"/>
      <c r="J110" s="222"/>
      <c r="K110" s="222"/>
      <c r="L110" s="245"/>
      <c r="S110" s="222"/>
      <c r="T110" s="222"/>
      <c r="U110" s="222"/>
      <c r="V110" s="222"/>
      <c r="W110" s="222"/>
      <c r="X110" s="222"/>
      <c r="Y110" s="222"/>
      <c r="Z110" s="222"/>
      <c r="AA110" s="222"/>
      <c r="AB110" s="222"/>
      <c r="AC110" s="222"/>
      <c r="AD110" s="222"/>
      <c r="AE110" s="222"/>
    </row>
    <row r="111" spans="2:12" ht="12" customHeight="1">
      <c r="B111" s="218"/>
      <c r="C111" s="221" t="s">
        <v>95</v>
      </c>
      <c r="L111" s="218"/>
    </row>
    <row r="112" spans="1:31" s="225" customFormat="1" ht="16.5" customHeight="1">
      <c r="A112" s="222"/>
      <c r="B112" s="223"/>
      <c r="C112" s="222"/>
      <c r="D112" s="222"/>
      <c r="E112" s="832" t="s">
        <v>3836</v>
      </c>
      <c r="F112" s="831"/>
      <c r="G112" s="831"/>
      <c r="H112" s="831"/>
      <c r="I112" s="222"/>
      <c r="J112" s="222"/>
      <c r="K112" s="222"/>
      <c r="L112" s="245"/>
      <c r="S112" s="222"/>
      <c r="T112" s="222"/>
      <c r="U112" s="222"/>
      <c r="V112" s="222"/>
      <c r="W112" s="222"/>
      <c r="X112" s="222"/>
      <c r="Y112" s="222"/>
      <c r="Z112" s="222"/>
      <c r="AA112" s="222"/>
      <c r="AB112" s="222"/>
      <c r="AC112" s="222"/>
      <c r="AD112" s="222"/>
      <c r="AE112" s="222"/>
    </row>
    <row r="113" spans="1:31" s="225" customFormat="1" ht="12" customHeight="1">
      <c r="A113" s="222"/>
      <c r="B113" s="223"/>
      <c r="C113" s="221" t="s">
        <v>1346</v>
      </c>
      <c r="D113" s="222"/>
      <c r="E113" s="222"/>
      <c r="F113" s="222"/>
      <c r="G113" s="222"/>
      <c r="H113" s="222"/>
      <c r="I113" s="222"/>
      <c r="J113" s="222"/>
      <c r="K113" s="222"/>
      <c r="L113" s="245"/>
      <c r="S113" s="222"/>
      <c r="T113" s="222"/>
      <c r="U113" s="222"/>
      <c r="V113" s="222"/>
      <c r="W113" s="222"/>
      <c r="X113" s="222"/>
      <c r="Y113" s="222"/>
      <c r="Z113" s="222"/>
      <c r="AA113" s="222"/>
      <c r="AB113" s="222"/>
      <c r="AC113" s="222"/>
      <c r="AD113" s="222"/>
      <c r="AE113" s="222"/>
    </row>
    <row r="114" spans="1:31" s="225" customFormat="1" ht="16.5" customHeight="1">
      <c r="A114" s="222"/>
      <c r="B114" s="223"/>
      <c r="C114" s="222"/>
      <c r="D114" s="222"/>
      <c r="E114" s="830" t="s">
        <v>1670</v>
      </c>
      <c r="F114" s="831"/>
      <c r="G114" s="831"/>
      <c r="H114" s="831"/>
      <c r="I114" s="222"/>
      <c r="J114" s="222"/>
      <c r="K114" s="222"/>
      <c r="L114" s="245"/>
      <c r="S114" s="222"/>
      <c r="T114" s="222"/>
      <c r="U114" s="222"/>
      <c r="V114" s="222"/>
      <c r="W114" s="222"/>
      <c r="X114" s="222"/>
      <c r="Y114" s="222"/>
      <c r="Z114" s="222"/>
      <c r="AA114" s="222"/>
      <c r="AB114" s="222"/>
      <c r="AC114" s="222"/>
      <c r="AD114" s="222"/>
      <c r="AE114" s="222"/>
    </row>
    <row r="115" spans="1:31" s="225" customFormat="1" ht="6.95" customHeight="1">
      <c r="A115" s="222"/>
      <c r="B115" s="223"/>
      <c r="C115" s="222"/>
      <c r="D115" s="222"/>
      <c r="E115" s="222"/>
      <c r="F115" s="222"/>
      <c r="G115" s="222"/>
      <c r="H115" s="222"/>
      <c r="I115" s="222"/>
      <c r="J115" s="222"/>
      <c r="K115" s="222"/>
      <c r="L115" s="245"/>
      <c r="S115" s="222"/>
      <c r="T115" s="222"/>
      <c r="U115" s="222"/>
      <c r="V115" s="222"/>
      <c r="W115" s="222"/>
      <c r="X115" s="222"/>
      <c r="Y115" s="222"/>
      <c r="Z115" s="222"/>
      <c r="AA115" s="222"/>
      <c r="AB115" s="222"/>
      <c r="AC115" s="222"/>
      <c r="AD115" s="222"/>
      <c r="AE115" s="222"/>
    </row>
    <row r="116" spans="1:31" s="225" customFormat="1" ht="12" customHeight="1">
      <c r="A116" s="222"/>
      <c r="B116" s="223"/>
      <c r="C116" s="221" t="s">
        <v>18</v>
      </c>
      <c r="D116" s="222"/>
      <c r="E116" s="222"/>
      <c r="F116" s="226" t="str">
        <f>F14</f>
        <v>st.p. 1443, k.ú. Staré Benátky</v>
      </c>
      <c r="G116" s="222"/>
      <c r="H116" s="222"/>
      <c r="I116" s="221" t="s">
        <v>20</v>
      </c>
      <c r="J116" s="227" t="str">
        <f>IF(J14="","",J14)</f>
        <v>8. 10. 2021</v>
      </c>
      <c r="K116" s="222"/>
      <c r="L116" s="245"/>
      <c r="S116" s="222"/>
      <c r="T116" s="222"/>
      <c r="U116" s="222"/>
      <c r="V116" s="222"/>
      <c r="W116" s="222"/>
      <c r="X116" s="222"/>
      <c r="Y116" s="222"/>
      <c r="Z116" s="222"/>
      <c r="AA116" s="222"/>
      <c r="AB116" s="222"/>
      <c r="AC116" s="222"/>
      <c r="AD116" s="222"/>
      <c r="AE116" s="222"/>
    </row>
    <row r="117" spans="1:31" s="225" customFormat="1" ht="6.95" customHeight="1">
      <c r="A117" s="222"/>
      <c r="B117" s="223"/>
      <c r="C117" s="222"/>
      <c r="D117" s="222"/>
      <c r="E117" s="222"/>
      <c r="F117" s="222"/>
      <c r="G117" s="222"/>
      <c r="H117" s="222"/>
      <c r="I117" s="222"/>
      <c r="J117" s="222"/>
      <c r="K117" s="222"/>
      <c r="L117" s="245"/>
      <c r="S117" s="222"/>
      <c r="T117" s="222"/>
      <c r="U117" s="222"/>
      <c r="V117" s="222"/>
      <c r="W117" s="222"/>
      <c r="X117" s="222"/>
      <c r="Y117" s="222"/>
      <c r="Z117" s="222"/>
      <c r="AA117" s="222"/>
      <c r="AB117" s="222"/>
      <c r="AC117" s="222"/>
      <c r="AD117" s="222"/>
      <c r="AE117" s="222"/>
    </row>
    <row r="118" spans="1:31" s="225" customFormat="1" ht="17.25" customHeight="1">
      <c r="A118" s="222"/>
      <c r="B118" s="223"/>
      <c r="C118" s="221" t="s">
        <v>22</v>
      </c>
      <c r="D118" s="222"/>
      <c r="E118" s="222"/>
      <c r="F118" s="226" t="str">
        <f>E17</f>
        <v>VaK Mladá Boleslav, Čechova 1151, Mladá Boleslav</v>
      </c>
      <c r="G118" s="222"/>
      <c r="H118" s="222"/>
      <c r="I118" s="221" t="s">
        <v>30</v>
      </c>
      <c r="J118" s="257" t="str">
        <f>E23</f>
        <v>ŽÁROVKA PROJEKTANTI,Křižíkova 788/2,Hradec Králové</v>
      </c>
      <c r="K118" s="222"/>
      <c r="L118" s="245"/>
      <c r="S118" s="222"/>
      <c r="T118" s="222"/>
      <c r="U118" s="222"/>
      <c r="V118" s="222"/>
      <c r="W118" s="222"/>
      <c r="X118" s="222"/>
      <c r="Y118" s="222"/>
      <c r="Z118" s="222"/>
      <c r="AA118" s="222"/>
      <c r="AB118" s="222"/>
      <c r="AC118" s="222"/>
      <c r="AD118" s="222"/>
      <c r="AE118" s="222"/>
    </row>
    <row r="119" spans="1:31" s="225" customFormat="1" ht="15.2" customHeight="1">
      <c r="A119" s="222"/>
      <c r="B119" s="223"/>
      <c r="C119" s="221" t="s">
        <v>28</v>
      </c>
      <c r="D119" s="222"/>
      <c r="E119" s="222"/>
      <c r="F119" s="226" t="str">
        <f>IF(E20="","",E20)</f>
        <v xml:space="preserve"> </v>
      </c>
      <c r="G119" s="222"/>
      <c r="H119" s="222"/>
      <c r="I119" s="221" t="s">
        <v>35</v>
      </c>
      <c r="J119" s="257" t="str">
        <f>E26</f>
        <v xml:space="preserve"> </v>
      </c>
      <c r="K119" s="222"/>
      <c r="L119" s="245"/>
      <c r="S119" s="222"/>
      <c r="T119" s="222"/>
      <c r="U119" s="222"/>
      <c r="V119" s="222"/>
      <c r="W119" s="222"/>
      <c r="X119" s="222"/>
      <c r="Y119" s="222"/>
      <c r="Z119" s="222"/>
      <c r="AA119" s="222"/>
      <c r="AB119" s="222"/>
      <c r="AC119" s="222"/>
      <c r="AD119" s="222"/>
      <c r="AE119" s="222"/>
    </row>
    <row r="120" spans="1:31" s="225" customFormat="1" ht="10.35" customHeight="1">
      <c r="A120" s="222"/>
      <c r="B120" s="223"/>
      <c r="C120" s="222"/>
      <c r="D120" s="222"/>
      <c r="E120" s="222"/>
      <c r="F120" s="222"/>
      <c r="G120" s="222"/>
      <c r="H120" s="222"/>
      <c r="I120" s="222"/>
      <c r="J120" s="222"/>
      <c r="K120" s="222"/>
      <c r="L120" s="245"/>
      <c r="S120" s="222"/>
      <c r="T120" s="222"/>
      <c r="U120" s="222"/>
      <c r="V120" s="222"/>
      <c r="W120" s="222"/>
      <c r="X120" s="222"/>
      <c r="Y120" s="222"/>
      <c r="Z120" s="222"/>
      <c r="AA120" s="222"/>
      <c r="AB120" s="222"/>
      <c r="AC120" s="222"/>
      <c r="AD120" s="222"/>
      <c r="AE120" s="222"/>
    </row>
    <row r="121" spans="1:31" s="286" customFormat="1" ht="29.25" customHeight="1">
      <c r="A121" s="277"/>
      <c r="B121" s="278"/>
      <c r="C121" s="279" t="s">
        <v>132</v>
      </c>
      <c r="D121" s="280" t="s">
        <v>61</v>
      </c>
      <c r="E121" s="280" t="s">
        <v>58</v>
      </c>
      <c r="F121" s="280" t="s">
        <v>59</v>
      </c>
      <c r="G121" s="280" t="s">
        <v>133</v>
      </c>
      <c r="H121" s="280" t="s">
        <v>134</v>
      </c>
      <c r="I121" s="280" t="s">
        <v>135</v>
      </c>
      <c r="J121" s="280" t="s">
        <v>99</v>
      </c>
      <c r="K121" s="281"/>
      <c r="L121" s="282"/>
      <c r="M121" s="283" t="s">
        <v>1</v>
      </c>
      <c r="N121" s="284" t="s">
        <v>41</v>
      </c>
      <c r="O121" s="284" t="s">
        <v>137</v>
      </c>
      <c r="P121" s="284" t="s">
        <v>138</v>
      </c>
      <c r="Q121" s="284" t="s">
        <v>139</v>
      </c>
      <c r="R121" s="284" t="s">
        <v>140</v>
      </c>
      <c r="S121" s="284" t="s">
        <v>141</v>
      </c>
      <c r="T121" s="285" t="s">
        <v>142</v>
      </c>
      <c r="U121" s="277"/>
      <c r="V121" s="277"/>
      <c r="W121" s="277"/>
      <c r="X121" s="277"/>
      <c r="Y121" s="277"/>
      <c r="Z121" s="277"/>
      <c r="AA121" s="277"/>
      <c r="AB121" s="277"/>
      <c r="AC121" s="277"/>
      <c r="AD121" s="277"/>
      <c r="AE121" s="277"/>
    </row>
    <row r="122" spans="1:63" s="225" customFormat="1" ht="22.9" customHeight="1">
      <c r="A122" s="222"/>
      <c r="B122" s="223"/>
      <c r="C122" s="287" t="s">
        <v>143</v>
      </c>
      <c r="D122" s="222"/>
      <c r="E122" s="222"/>
      <c r="F122" s="222"/>
      <c r="G122" s="222"/>
      <c r="H122" s="222"/>
      <c r="I122" s="222"/>
      <c r="J122" s="288">
        <f>J124</f>
        <v>0</v>
      </c>
      <c r="K122" s="222"/>
      <c r="L122" s="223"/>
      <c r="M122" s="289"/>
      <c r="N122" s="290"/>
      <c r="O122" s="231"/>
      <c r="P122" s="291">
        <f>P124</f>
        <v>62.727999999999994</v>
      </c>
      <c r="Q122" s="231"/>
      <c r="R122" s="291">
        <f>R124</f>
        <v>0.11434000000000001</v>
      </c>
      <c r="S122" s="231"/>
      <c r="T122" s="659">
        <f>T124</f>
        <v>0</v>
      </c>
      <c r="U122" s="222"/>
      <c r="V122" s="222"/>
      <c r="W122" s="222"/>
      <c r="X122" s="222"/>
      <c r="Y122" s="222"/>
      <c r="Z122" s="222"/>
      <c r="AA122" s="222"/>
      <c r="AB122" s="222"/>
      <c r="AC122" s="222"/>
      <c r="AD122" s="222"/>
      <c r="AE122" s="222"/>
      <c r="AT122" s="214" t="s">
        <v>75</v>
      </c>
      <c r="AU122" s="214" t="s">
        <v>101</v>
      </c>
      <c r="BK122" s="296">
        <f>BK124</f>
        <v>0</v>
      </c>
    </row>
    <row r="123" spans="1:63" s="225" customFormat="1" ht="22.9" customHeight="1">
      <c r="A123" s="222"/>
      <c r="B123" s="223"/>
      <c r="C123" s="287"/>
      <c r="D123" s="222"/>
      <c r="E123" s="222"/>
      <c r="F123" s="544" t="s">
        <v>3820</v>
      </c>
      <c r="G123" s="222"/>
      <c r="H123" s="222"/>
      <c r="I123" s="222"/>
      <c r="J123" s="288"/>
      <c r="K123" s="222"/>
      <c r="L123" s="223"/>
      <c r="M123" s="670"/>
      <c r="N123" s="671"/>
      <c r="O123" s="672"/>
      <c r="P123" s="673"/>
      <c r="Q123" s="672"/>
      <c r="R123" s="673"/>
      <c r="S123" s="672"/>
      <c r="T123" s="674"/>
      <c r="U123" s="222"/>
      <c r="V123" s="222"/>
      <c r="W123" s="222"/>
      <c r="X123" s="222"/>
      <c r="Y123" s="222"/>
      <c r="Z123" s="222"/>
      <c r="AA123" s="222"/>
      <c r="AB123" s="222"/>
      <c r="AC123" s="222"/>
      <c r="AD123" s="222"/>
      <c r="AE123" s="222"/>
      <c r="AT123" s="214"/>
      <c r="AU123" s="214"/>
      <c r="BK123" s="296"/>
    </row>
    <row r="124" spans="2:63" s="297" customFormat="1" ht="25.9" customHeight="1">
      <c r="B124" s="298"/>
      <c r="D124" s="299" t="s">
        <v>75</v>
      </c>
      <c r="E124" s="300" t="s">
        <v>747</v>
      </c>
      <c r="F124" s="300" t="s">
        <v>748</v>
      </c>
      <c r="J124" s="301">
        <f>J125</f>
        <v>0</v>
      </c>
      <c r="L124" s="298"/>
      <c r="M124" s="303"/>
      <c r="N124" s="304"/>
      <c r="O124" s="304"/>
      <c r="P124" s="305">
        <f>P125</f>
        <v>62.727999999999994</v>
      </c>
      <c r="Q124" s="304"/>
      <c r="R124" s="305">
        <f>R125</f>
        <v>0.11434000000000001</v>
      </c>
      <c r="S124" s="304"/>
      <c r="T124" s="313">
        <f>T125</f>
        <v>0</v>
      </c>
      <c r="AR124" s="299" t="s">
        <v>83</v>
      </c>
      <c r="AT124" s="308" t="s">
        <v>75</v>
      </c>
      <c r="AU124" s="308" t="s">
        <v>76</v>
      </c>
      <c r="AY124" s="299" t="s">
        <v>146</v>
      </c>
      <c r="BK124" s="309">
        <f>BK125</f>
        <v>0</v>
      </c>
    </row>
    <row r="125" spans="2:63" s="297" customFormat="1" ht="22.9" customHeight="1">
      <c r="B125" s="298"/>
      <c r="D125" s="299" t="s">
        <v>75</v>
      </c>
      <c r="E125" s="660" t="s">
        <v>1669</v>
      </c>
      <c r="F125" s="660" t="s">
        <v>1670</v>
      </c>
      <c r="J125" s="311">
        <f>SUM(J126:J285)</f>
        <v>0</v>
      </c>
      <c r="L125" s="298"/>
      <c r="M125" s="303"/>
      <c r="N125" s="304"/>
      <c r="O125" s="304"/>
      <c r="P125" s="305">
        <f>SUM(P126:P285)</f>
        <v>62.727999999999994</v>
      </c>
      <c r="Q125" s="304"/>
      <c r="R125" s="305">
        <f>SUM(R126:R285)</f>
        <v>0.11434000000000001</v>
      </c>
      <c r="S125" s="304"/>
      <c r="T125" s="313">
        <f>SUM(T126:T285)</f>
        <v>0</v>
      </c>
      <c r="AR125" s="299" t="s">
        <v>83</v>
      </c>
      <c r="AT125" s="308" t="s">
        <v>75</v>
      </c>
      <c r="AU125" s="308" t="s">
        <v>81</v>
      </c>
      <c r="AY125" s="299" t="s">
        <v>146</v>
      </c>
      <c r="BK125" s="309">
        <f>SUM(BK126:BK285)</f>
        <v>0</v>
      </c>
    </row>
    <row r="126" spans="1:65" s="225" customFormat="1" ht="33" customHeight="1">
      <c r="A126" s="222"/>
      <c r="B126" s="223"/>
      <c r="C126" s="314" t="s">
        <v>81</v>
      </c>
      <c r="D126" s="314" t="s">
        <v>148</v>
      </c>
      <c r="E126" s="315" t="s">
        <v>1671</v>
      </c>
      <c r="F126" s="316" t="s">
        <v>1672</v>
      </c>
      <c r="G126" s="317" t="s">
        <v>301</v>
      </c>
      <c r="H126" s="318">
        <v>6</v>
      </c>
      <c r="I126" s="79"/>
      <c r="J126" s="319">
        <f>ROUND(I126*H126,2)</f>
        <v>0</v>
      </c>
      <c r="K126" s="316"/>
      <c r="L126" s="223"/>
      <c r="M126" s="320" t="s">
        <v>1</v>
      </c>
      <c r="N126" s="321" t="s">
        <v>42</v>
      </c>
      <c r="O126" s="322">
        <v>4.59</v>
      </c>
      <c r="P126" s="322">
        <f>O126*H126</f>
        <v>27.54</v>
      </c>
      <c r="Q126" s="322">
        <v>0</v>
      </c>
      <c r="R126" s="322">
        <f>Q126*H126</f>
        <v>0</v>
      </c>
      <c r="S126" s="322">
        <v>0</v>
      </c>
      <c r="T126" s="323">
        <f>S126*H126</f>
        <v>0</v>
      </c>
      <c r="U126" s="222"/>
      <c r="V126" s="222"/>
      <c r="W126" s="222"/>
      <c r="X126" s="222"/>
      <c r="Y126" s="222"/>
      <c r="Z126" s="222"/>
      <c r="AA126" s="222"/>
      <c r="AB126" s="222"/>
      <c r="AC126" s="222"/>
      <c r="AD126" s="222"/>
      <c r="AE126" s="222"/>
      <c r="AR126" s="324" t="s">
        <v>212</v>
      </c>
      <c r="AT126" s="324" t="s">
        <v>148</v>
      </c>
      <c r="AU126" s="324" t="s">
        <v>83</v>
      </c>
      <c r="AY126" s="214" t="s">
        <v>146</v>
      </c>
      <c r="BE126" s="325">
        <f>IF(N126="základní",J126,0)</f>
        <v>0</v>
      </c>
      <c r="BF126" s="325">
        <f>IF(N126="snížená",J126,0)</f>
        <v>0</v>
      </c>
      <c r="BG126" s="325">
        <f>IF(N126="zákl. přenesená",J126,0)</f>
        <v>0</v>
      </c>
      <c r="BH126" s="325">
        <f>IF(N126="sníž. přenesená",J126,0)</f>
        <v>0</v>
      </c>
      <c r="BI126" s="325">
        <f>IF(N126="nulová",J126,0)</f>
        <v>0</v>
      </c>
      <c r="BJ126" s="214" t="s">
        <v>81</v>
      </c>
      <c r="BK126" s="325">
        <f>ROUND(I126*H126,2)</f>
        <v>0</v>
      </c>
      <c r="BL126" s="214" t="s">
        <v>212</v>
      </c>
      <c r="BM126" s="324" t="s">
        <v>1673</v>
      </c>
    </row>
    <row r="127" spans="2:51" s="326" customFormat="1" ht="22.5">
      <c r="B127" s="327"/>
      <c r="D127" s="328" t="s">
        <v>155</v>
      </c>
      <c r="E127" s="329" t="s">
        <v>1</v>
      </c>
      <c r="F127" s="330" t="s">
        <v>1674</v>
      </c>
      <c r="H127" s="329" t="s">
        <v>1</v>
      </c>
      <c r="I127" s="497"/>
      <c r="L127" s="327"/>
      <c r="M127" s="332"/>
      <c r="N127" s="333"/>
      <c r="O127" s="333"/>
      <c r="P127" s="333"/>
      <c r="Q127" s="333"/>
      <c r="R127" s="333"/>
      <c r="S127" s="333"/>
      <c r="T127" s="334"/>
      <c r="AT127" s="329" t="s">
        <v>155</v>
      </c>
      <c r="AU127" s="329" t="s">
        <v>83</v>
      </c>
      <c r="AV127" s="326" t="s">
        <v>81</v>
      </c>
      <c r="AW127" s="326" t="s">
        <v>34</v>
      </c>
      <c r="AX127" s="326" t="s">
        <v>76</v>
      </c>
      <c r="AY127" s="329" t="s">
        <v>146</v>
      </c>
    </row>
    <row r="128" spans="2:51" s="326" customFormat="1" ht="22.5">
      <c r="B128" s="327"/>
      <c r="D128" s="328" t="s">
        <v>155</v>
      </c>
      <c r="E128" s="329" t="s">
        <v>1</v>
      </c>
      <c r="F128" s="330" t="s">
        <v>1675</v>
      </c>
      <c r="H128" s="329" t="s">
        <v>1</v>
      </c>
      <c r="I128" s="497"/>
      <c r="L128" s="327"/>
      <c r="M128" s="332"/>
      <c r="N128" s="333"/>
      <c r="O128" s="333"/>
      <c r="P128" s="333"/>
      <c r="Q128" s="333"/>
      <c r="R128" s="333"/>
      <c r="S128" s="333"/>
      <c r="T128" s="334"/>
      <c r="AT128" s="329" t="s">
        <v>155</v>
      </c>
      <c r="AU128" s="329" t="s">
        <v>83</v>
      </c>
      <c r="AV128" s="326" t="s">
        <v>81</v>
      </c>
      <c r="AW128" s="326" t="s">
        <v>34</v>
      </c>
      <c r="AX128" s="326" t="s">
        <v>76</v>
      </c>
      <c r="AY128" s="329" t="s">
        <v>146</v>
      </c>
    </row>
    <row r="129" spans="2:51" s="326" customFormat="1" ht="33.75">
      <c r="B129" s="327"/>
      <c r="D129" s="328" t="s">
        <v>155</v>
      </c>
      <c r="E129" s="329" t="s">
        <v>1</v>
      </c>
      <c r="F129" s="330" t="s">
        <v>1676</v>
      </c>
      <c r="H129" s="329" t="s">
        <v>1</v>
      </c>
      <c r="I129" s="497"/>
      <c r="L129" s="327"/>
      <c r="M129" s="332"/>
      <c r="N129" s="333"/>
      <c r="O129" s="333"/>
      <c r="P129" s="333"/>
      <c r="Q129" s="333"/>
      <c r="R129" s="333"/>
      <c r="S129" s="333"/>
      <c r="T129" s="334"/>
      <c r="AT129" s="329" t="s">
        <v>155</v>
      </c>
      <c r="AU129" s="329" t="s">
        <v>83</v>
      </c>
      <c r="AV129" s="326" t="s">
        <v>81</v>
      </c>
      <c r="AW129" s="326" t="s">
        <v>34</v>
      </c>
      <c r="AX129" s="326" t="s">
        <v>76</v>
      </c>
      <c r="AY129" s="329" t="s">
        <v>146</v>
      </c>
    </row>
    <row r="130" spans="2:51" s="326" customFormat="1" ht="12">
      <c r="B130" s="327"/>
      <c r="D130" s="328" t="s">
        <v>155</v>
      </c>
      <c r="E130" s="329" t="s">
        <v>1</v>
      </c>
      <c r="F130" s="330" t="s">
        <v>1677</v>
      </c>
      <c r="H130" s="329" t="s">
        <v>1</v>
      </c>
      <c r="I130" s="497"/>
      <c r="L130" s="327"/>
      <c r="M130" s="332"/>
      <c r="N130" s="333"/>
      <c r="O130" s="333"/>
      <c r="P130" s="333"/>
      <c r="Q130" s="333"/>
      <c r="R130" s="333"/>
      <c r="S130" s="333"/>
      <c r="T130" s="334"/>
      <c r="AT130" s="329" t="s">
        <v>155</v>
      </c>
      <c r="AU130" s="329" t="s">
        <v>83</v>
      </c>
      <c r="AV130" s="326" t="s">
        <v>81</v>
      </c>
      <c r="AW130" s="326" t="s">
        <v>34</v>
      </c>
      <c r="AX130" s="326" t="s">
        <v>76</v>
      </c>
      <c r="AY130" s="329" t="s">
        <v>146</v>
      </c>
    </row>
    <row r="131" spans="2:51" s="326" customFormat="1" ht="12">
      <c r="B131" s="327"/>
      <c r="D131" s="328" t="s">
        <v>155</v>
      </c>
      <c r="E131" s="329" t="s">
        <v>1</v>
      </c>
      <c r="F131" s="330" t="s">
        <v>1678</v>
      </c>
      <c r="H131" s="329" t="s">
        <v>1</v>
      </c>
      <c r="I131" s="497"/>
      <c r="L131" s="327"/>
      <c r="M131" s="332"/>
      <c r="N131" s="333"/>
      <c r="O131" s="333"/>
      <c r="P131" s="333"/>
      <c r="Q131" s="333"/>
      <c r="R131" s="333"/>
      <c r="S131" s="333"/>
      <c r="T131" s="334"/>
      <c r="AT131" s="329" t="s">
        <v>155</v>
      </c>
      <c r="AU131" s="329" t="s">
        <v>83</v>
      </c>
      <c r="AV131" s="326" t="s">
        <v>81</v>
      </c>
      <c r="AW131" s="326" t="s">
        <v>34</v>
      </c>
      <c r="AX131" s="326" t="s">
        <v>76</v>
      </c>
      <c r="AY131" s="329" t="s">
        <v>146</v>
      </c>
    </row>
    <row r="132" spans="2:51" s="326" customFormat="1" ht="12">
      <c r="B132" s="327"/>
      <c r="D132" s="328" t="s">
        <v>155</v>
      </c>
      <c r="E132" s="329" t="s">
        <v>1</v>
      </c>
      <c r="F132" s="330" t="s">
        <v>304</v>
      </c>
      <c r="H132" s="329" t="s">
        <v>1</v>
      </c>
      <c r="I132" s="497"/>
      <c r="L132" s="327"/>
      <c r="M132" s="332"/>
      <c r="N132" s="333"/>
      <c r="O132" s="333"/>
      <c r="P132" s="333"/>
      <c r="Q132" s="333"/>
      <c r="R132" s="333"/>
      <c r="S132" s="333"/>
      <c r="T132" s="334"/>
      <c r="AT132" s="329" t="s">
        <v>155</v>
      </c>
      <c r="AU132" s="329" t="s">
        <v>83</v>
      </c>
      <c r="AV132" s="326" t="s">
        <v>81</v>
      </c>
      <c r="AW132" s="326" t="s">
        <v>34</v>
      </c>
      <c r="AX132" s="326" t="s">
        <v>76</v>
      </c>
      <c r="AY132" s="329" t="s">
        <v>146</v>
      </c>
    </row>
    <row r="133" spans="2:51" s="335" customFormat="1" ht="12">
      <c r="B133" s="336"/>
      <c r="D133" s="328" t="s">
        <v>155</v>
      </c>
      <c r="E133" s="337" t="s">
        <v>1</v>
      </c>
      <c r="F133" s="338" t="s">
        <v>83</v>
      </c>
      <c r="H133" s="339">
        <v>2</v>
      </c>
      <c r="I133" s="498"/>
      <c r="L133" s="336"/>
      <c r="M133" s="341"/>
      <c r="N133" s="342"/>
      <c r="O133" s="342"/>
      <c r="P133" s="342"/>
      <c r="Q133" s="342"/>
      <c r="R133" s="342"/>
      <c r="S133" s="342"/>
      <c r="T133" s="343"/>
      <c r="AT133" s="337" t="s">
        <v>155</v>
      </c>
      <c r="AU133" s="337" t="s">
        <v>83</v>
      </c>
      <c r="AV133" s="335" t="s">
        <v>83</v>
      </c>
      <c r="AW133" s="335" t="s">
        <v>34</v>
      </c>
      <c r="AX133" s="335" t="s">
        <v>76</v>
      </c>
      <c r="AY133" s="337" t="s">
        <v>146</v>
      </c>
    </row>
    <row r="134" spans="2:51" s="326" customFormat="1" ht="22.5">
      <c r="B134" s="327"/>
      <c r="D134" s="328" t="s">
        <v>155</v>
      </c>
      <c r="E134" s="329" t="s">
        <v>1</v>
      </c>
      <c r="F134" s="330" t="s">
        <v>1679</v>
      </c>
      <c r="H134" s="329" t="s">
        <v>1</v>
      </c>
      <c r="I134" s="497"/>
      <c r="L134" s="327"/>
      <c r="M134" s="332"/>
      <c r="N134" s="333"/>
      <c r="O134" s="333"/>
      <c r="P134" s="333"/>
      <c r="Q134" s="333"/>
      <c r="R134" s="333"/>
      <c r="S134" s="333"/>
      <c r="T134" s="334"/>
      <c r="AT134" s="329" t="s">
        <v>155</v>
      </c>
      <c r="AU134" s="329" t="s">
        <v>83</v>
      </c>
      <c r="AV134" s="326" t="s">
        <v>81</v>
      </c>
      <c r="AW134" s="326" t="s">
        <v>34</v>
      </c>
      <c r="AX134" s="326" t="s">
        <v>76</v>
      </c>
      <c r="AY134" s="329" t="s">
        <v>146</v>
      </c>
    </row>
    <row r="135" spans="2:51" s="326" customFormat="1" ht="22.5">
      <c r="B135" s="327"/>
      <c r="D135" s="328" t="s">
        <v>155</v>
      </c>
      <c r="E135" s="329" t="s">
        <v>1</v>
      </c>
      <c r="F135" s="330" t="s">
        <v>1675</v>
      </c>
      <c r="H135" s="329" t="s">
        <v>1</v>
      </c>
      <c r="I135" s="497"/>
      <c r="L135" s="327"/>
      <c r="M135" s="332"/>
      <c r="N135" s="333"/>
      <c r="O135" s="333"/>
      <c r="P135" s="333"/>
      <c r="Q135" s="333"/>
      <c r="R135" s="333"/>
      <c r="S135" s="333"/>
      <c r="T135" s="334"/>
      <c r="AT135" s="329" t="s">
        <v>155</v>
      </c>
      <c r="AU135" s="329" t="s">
        <v>83</v>
      </c>
      <c r="AV135" s="326" t="s">
        <v>81</v>
      </c>
      <c r="AW135" s="326" t="s">
        <v>34</v>
      </c>
      <c r="AX135" s="326" t="s">
        <v>76</v>
      </c>
      <c r="AY135" s="329" t="s">
        <v>146</v>
      </c>
    </row>
    <row r="136" spans="2:51" s="326" customFormat="1" ht="33.75">
      <c r="B136" s="327"/>
      <c r="D136" s="328" t="s">
        <v>155</v>
      </c>
      <c r="E136" s="329" t="s">
        <v>1</v>
      </c>
      <c r="F136" s="330" t="s">
        <v>1676</v>
      </c>
      <c r="H136" s="329" t="s">
        <v>1</v>
      </c>
      <c r="I136" s="497"/>
      <c r="L136" s="327"/>
      <c r="M136" s="332"/>
      <c r="N136" s="333"/>
      <c r="O136" s="333"/>
      <c r="P136" s="333"/>
      <c r="Q136" s="333"/>
      <c r="R136" s="333"/>
      <c r="S136" s="333"/>
      <c r="T136" s="334"/>
      <c r="AT136" s="329" t="s">
        <v>155</v>
      </c>
      <c r="AU136" s="329" t="s">
        <v>83</v>
      </c>
      <c r="AV136" s="326" t="s">
        <v>81</v>
      </c>
      <c r="AW136" s="326" t="s">
        <v>34</v>
      </c>
      <c r="AX136" s="326" t="s">
        <v>76</v>
      </c>
      <c r="AY136" s="329" t="s">
        <v>146</v>
      </c>
    </row>
    <row r="137" spans="2:51" s="326" customFormat="1" ht="12">
      <c r="B137" s="327"/>
      <c r="D137" s="328" t="s">
        <v>155</v>
      </c>
      <c r="E137" s="329" t="s">
        <v>1</v>
      </c>
      <c r="F137" s="330" t="s">
        <v>1680</v>
      </c>
      <c r="H137" s="329" t="s">
        <v>1</v>
      </c>
      <c r="I137" s="497"/>
      <c r="L137" s="327"/>
      <c r="M137" s="332"/>
      <c r="N137" s="333"/>
      <c r="O137" s="333"/>
      <c r="P137" s="333"/>
      <c r="Q137" s="333"/>
      <c r="R137" s="333"/>
      <c r="S137" s="333"/>
      <c r="T137" s="334"/>
      <c r="AT137" s="329" t="s">
        <v>155</v>
      </c>
      <c r="AU137" s="329" t="s">
        <v>83</v>
      </c>
      <c r="AV137" s="326" t="s">
        <v>81</v>
      </c>
      <c r="AW137" s="326" t="s">
        <v>34</v>
      </c>
      <c r="AX137" s="326" t="s">
        <v>76</v>
      </c>
      <c r="AY137" s="329" t="s">
        <v>146</v>
      </c>
    </row>
    <row r="138" spans="2:51" s="326" customFormat="1" ht="12">
      <c r="B138" s="327"/>
      <c r="D138" s="328" t="s">
        <v>155</v>
      </c>
      <c r="E138" s="329" t="s">
        <v>1</v>
      </c>
      <c r="F138" s="330" t="s">
        <v>1681</v>
      </c>
      <c r="H138" s="329" t="s">
        <v>1</v>
      </c>
      <c r="I138" s="497"/>
      <c r="L138" s="327"/>
      <c r="M138" s="332"/>
      <c r="N138" s="333"/>
      <c r="O138" s="333"/>
      <c r="P138" s="333"/>
      <c r="Q138" s="333"/>
      <c r="R138" s="333"/>
      <c r="S138" s="333"/>
      <c r="T138" s="334"/>
      <c r="AT138" s="329" t="s">
        <v>155</v>
      </c>
      <c r="AU138" s="329" t="s">
        <v>83</v>
      </c>
      <c r="AV138" s="326" t="s">
        <v>81</v>
      </c>
      <c r="AW138" s="326" t="s">
        <v>34</v>
      </c>
      <c r="AX138" s="326" t="s">
        <v>76</v>
      </c>
      <c r="AY138" s="329" t="s">
        <v>146</v>
      </c>
    </row>
    <row r="139" spans="2:51" s="326" customFormat="1" ht="12">
      <c r="B139" s="327"/>
      <c r="D139" s="328" t="s">
        <v>155</v>
      </c>
      <c r="E139" s="329" t="s">
        <v>1</v>
      </c>
      <c r="F139" s="330" t="s">
        <v>304</v>
      </c>
      <c r="H139" s="329" t="s">
        <v>1</v>
      </c>
      <c r="I139" s="497"/>
      <c r="L139" s="327"/>
      <c r="M139" s="332"/>
      <c r="N139" s="333"/>
      <c r="O139" s="333"/>
      <c r="P139" s="333"/>
      <c r="Q139" s="333"/>
      <c r="R139" s="333"/>
      <c r="S139" s="333"/>
      <c r="T139" s="334"/>
      <c r="AT139" s="329" t="s">
        <v>155</v>
      </c>
      <c r="AU139" s="329" t="s">
        <v>83</v>
      </c>
      <c r="AV139" s="326" t="s">
        <v>81</v>
      </c>
      <c r="AW139" s="326" t="s">
        <v>34</v>
      </c>
      <c r="AX139" s="326" t="s">
        <v>76</v>
      </c>
      <c r="AY139" s="329" t="s">
        <v>146</v>
      </c>
    </row>
    <row r="140" spans="2:51" s="335" customFormat="1" ht="12">
      <c r="B140" s="336"/>
      <c r="D140" s="328" t="s">
        <v>155</v>
      </c>
      <c r="E140" s="337" t="s">
        <v>1</v>
      </c>
      <c r="F140" s="338" t="s">
        <v>83</v>
      </c>
      <c r="H140" s="339">
        <v>2</v>
      </c>
      <c r="I140" s="498"/>
      <c r="L140" s="336"/>
      <c r="M140" s="341"/>
      <c r="N140" s="342"/>
      <c r="O140" s="342"/>
      <c r="P140" s="342"/>
      <c r="Q140" s="342"/>
      <c r="R140" s="342"/>
      <c r="S140" s="342"/>
      <c r="T140" s="343"/>
      <c r="AT140" s="337" t="s">
        <v>155</v>
      </c>
      <c r="AU140" s="337" t="s">
        <v>83</v>
      </c>
      <c r="AV140" s="335" t="s">
        <v>83</v>
      </c>
      <c r="AW140" s="335" t="s">
        <v>34</v>
      </c>
      <c r="AX140" s="335" t="s">
        <v>76</v>
      </c>
      <c r="AY140" s="337" t="s">
        <v>146</v>
      </c>
    </row>
    <row r="141" spans="2:51" s="326" customFormat="1" ht="12">
      <c r="B141" s="327"/>
      <c r="D141" s="328" t="s">
        <v>155</v>
      </c>
      <c r="E141" s="329" t="s">
        <v>1</v>
      </c>
      <c r="F141" s="330" t="s">
        <v>309</v>
      </c>
      <c r="H141" s="329" t="s">
        <v>1</v>
      </c>
      <c r="I141" s="497"/>
      <c r="L141" s="327"/>
      <c r="M141" s="332"/>
      <c r="N141" s="333"/>
      <c r="O141" s="333"/>
      <c r="P141" s="333"/>
      <c r="Q141" s="333"/>
      <c r="R141" s="333"/>
      <c r="S141" s="333"/>
      <c r="T141" s="334"/>
      <c r="AT141" s="329" t="s">
        <v>155</v>
      </c>
      <c r="AU141" s="329" t="s">
        <v>83</v>
      </c>
      <c r="AV141" s="326" t="s">
        <v>81</v>
      </c>
      <c r="AW141" s="326" t="s">
        <v>34</v>
      </c>
      <c r="AX141" s="326" t="s">
        <v>76</v>
      </c>
      <c r="AY141" s="329" t="s">
        <v>146</v>
      </c>
    </row>
    <row r="142" spans="2:51" s="335" customFormat="1" ht="12">
      <c r="B142" s="336"/>
      <c r="D142" s="328" t="s">
        <v>155</v>
      </c>
      <c r="E142" s="337" t="s">
        <v>1</v>
      </c>
      <c r="F142" s="338" t="s">
        <v>83</v>
      </c>
      <c r="H142" s="339">
        <v>2</v>
      </c>
      <c r="I142" s="498"/>
      <c r="L142" s="336"/>
      <c r="M142" s="341"/>
      <c r="N142" s="342"/>
      <c r="O142" s="342"/>
      <c r="P142" s="342"/>
      <c r="Q142" s="342"/>
      <c r="R142" s="342"/>
      <c r="S142" s="342"/>
      <c r="T142" s="343"/>
      <c r="AT142" s="337" t="s">
        <v>155</v>
      </c>
      <c r="AU142" s="337" t="s">
        <v>83</v>
      </c>
      <c r="AV142" s="335" t="s">
        <v>83</v>
      </c>
      <c r="AW142" s="335" t="s">
        <v>34</v>
      </c>
      <c r="AX142" s="335" t="s">
        <v>76</v>
      </c>
      <c r="AY142" s="337" t="s">
        <v>146</v>
      </c>
    </row>
    <row r="143" spans="2:51" s="347" customFormat="1" ht="12">
      <c r="B143" s="348"/>
      <c r="D143" s="328" t="s">
        <v>155</v>
      </c>
      <c r="E143" s="349" t="s">
        <v>1</v>
      </c>
      <c r="F143" s="356" t="s">
        <v>157</v>
      </c>
      <c r="H143" s="351">
        <v>6</v>
      </c>
      <c r="I143" s="499"/>
      <c r="L143" s="348"/>
      <c r="M143" s="353"/>
      <c r="N143" s="354"/>
      <c r="O143" s="354"/>
      <c r="P143" s="354"/>
      <c r="Q143" s="354"/>
      <c r="R143" s="354"/>
      <c r="S143" s="354"/>
      <c r="T143" s="355"/>
      <c r="AT143" s="349" t="s">
        <v>155</v>
      </c>
      <c r="AU143" s="349" t="s">
        <v>83</v>
      </c>
      <c r="AV143" s="347" t="s">
        <v>153</v>
      </c>
      <c r="AW143" s="347" t="s">
        <v>34</v>
      </c>
      <c r="AX143" s="347" t="s">
        <v>81</v>
      </c>
      <c r="AY143" s="349" t="s">
        <v>146</v>
      </c>
    </row>
    <row r="144" spans="1:65" s="225" customFormat="1" ht="24.2" customHeight="1">
      <c r="A144" s="222"/>
      <c r="B144" s="223"/>
      <c r="C144" s="358" t="s">
        <v>83</v>
      </c>
      <c r="D144" s="358" t="s">
        <v>208</v>
      </c>
      <c r="E144" s="359" t="s">
        <v>1682</v>
      </c>
      <c r="F144" s="364" t="s">
        <v>1683</v>
      </c>
      <c r="G144" s="361" t="s">
        <v>301</v>
      </c>
      <c r="H144" s="362">
        <v>2</v>
      </c>
      <c r="I144" s="80"/>
      <c r="J144" s="363">
        <f>ROUND(I144*H144,2)</f>
        <v>0</v>
      </c>
      <c r="K144" s="364"/>
      <c r="L144" s="675"/>
      <c r="M144" s="366" t="s">
        <v>1</v>
      </c>
      <c r="N144" s="367" t="s">
        <v>42</v>
      </c>
      <c r="O144" s="322">
        <v>0</v>
      </c>
      <c r="P144" s="322">
        <f>O144*H144</f>
        <v>0</v>
      </c>
      <c r="Q144" s="322">
        <v>0.0027</v>
      </c>
      <c r="R144" s="322">
        <f>Q144*H144</f>
        <v>0.0054</v>
      </c>
      <c r="S144" s="322">
        <v>0</v>
      </c>
      <c r="T144" s="323">
        <f>S144*H144</f>
        <v>0</v>
      </c>
      <c r="U144" s="222"/>
      <c r="V144" s="222"/>
      <c r="W144" s="222"/>
      <c r="X144" s="222"/>
      <c r="Y144" s="222"/>
      <c r="Z144" s="222"/>
      <c r="AA144" s="222"/>
      <c r="AB144" s="222"/>
      <c r="AC144" s="222"/>
      <c r="AD144" s="222"/>
      <c r="AE144" s="222"/>
      <c r="AR144" s="324" t="s">
        <v>298</v>
      </c>
      <c r="AT144" s="324" t="s">
        <v>208</v>
      </c>
      <c r="AU144" s="324" t="s">
        <v>83</v>
      </c>
      <c r="AY144" s="214" t="s">
        <v>146</v>
      </c>
      <c r="BE144" s="325">
        <f>IF(N144="základní",J144,0)</f>
        <v>0</v>
      </c>
      <c r="BF144" s="325">
        <f>IF(N144="snížená",J144,0)</f>
        <v>0</v>
      </c>
      <c r="BG144" s="325">
        <f>IF(N144="zákl. přenesená",J144,0)</f>
        <v>0</v>
      </c>
      <c r="BH144" s="325">
        <f>IF(N144="sníž. přenesená",J144,0)</f>
        <v>0</v>
      </c>
      <c r="BI144" s="325">
        <f>IF(N144="nulová",J144,0)</f>
        <v>0</v>
      </c>
      <c r="BJ144" s="214" t="s">
        <v>81</v>
      </c>
      <c r="BK144" s="325">
        <f>ROUND(I144*H144,2)</f>
        <v>0</v>
      </c>
      <c r="BL144" s="214" t="s">
        <v>212</v>
      </c>
      <c r="BM144" s="324" t="s">
        <v>1684</v>
      </c>
    </row>
    <row r="145" spans="2:51" s="326" customFormat="1" ht="22.5">
      <c r="B145" s="327"/>
      <c r="D145" s="328" t="s">
        <v>155</v>
      </c>
      <c r="E145" s="329" t="s">
        <v>1</v>
      </c>
      <c r="F145" s="330" t="s">
        <v>1674</v>
      </c>
      <c r="H145" s="329" t="s">
        <v>1</v>
      </c>
      <c r="I145" s="497"/>
      <c r="L145" s="327"/>
      <c r="M145" s="332"/>
      <c r="N145" s="333"/>
      <c r="O145" s="333"/>
      <c r="P145" s="333"/>
      <c r="Q145" s="333"/>
      <c r="R145" s="333"/>
      <c r="S145" s="333"/>
      <c r="T145" s="334"/>
      <c r="AT145" s="329" t="s">
        <v>155</v>
      </c>
      <c r="AU145" s="329" t="s">
        <v>83</v>
      </c>
      <c r="AV145" s="326" t="s">
        <v>81</v>
      </c>
      <c r="AW145" s="326" t="s">
        <v>34</v>
      </c>
      <c r="AX145" s="326" t="s">
        <v>76</v>
      </c>
      <c r="AY145" s="329" t="s">
        <v>146</v>
      </c>
    </row>
    <row r="146" spans="2:51" s="326" customFormat="1" ht="22.5">
      <c r="B146" s="327"/>
      <c r="D146" s="328" t="s">
        <v>155</v>
      </c>
      <c r="E146" s="329" t="s">
        <v>1</v>
      </c>
      <c r="F146" s="330" t="s">
        <v>1675</v>
      </c>
      <c r="H146" s="329" t="s">
        <v>1</v>
      </c>
      <c r="I146" s="497"/>
      <c r="L146" s="327"/>
      <c r="M146" s="332"/>
      <c r="N146" s="333"/>
      <c r="O146" s="333"/>
      <c r="P146" s="333"/>
      <c r="Q146" s="333"/>
      <c r="R146" s="333"/>
      <c r="S146" s="333"/>
      <c r="T146" s="334"/>
      <c r="AT146" s="329" t="s">
        <v>155</v>
      </c>
      <c r="AU146" s="329" t="s">
        <v>83</v>
      </c>
      <c r="AV146" s="326" t="s">
        <v>81</v>
      </c>
      <c r="AW146" s="326" t="s">
        <v>34</v>
      </c>
      <c r="AX146" s="326" t="s">
        <v>76</v>
      </c>
      <c r="AY146" s="329" t="s">
        <v>146</v>
      </c>
    </row>
    <row r="147" spans="2:51" s="326" customFormat="1" ht="33.75">
      <c r="B147" s="327"/>
      <c r="D147" s="328" t="s">
        <v>155</v>
      </c>
      <c r="E147" s="329" t="s">
        <v>1</v>
      </c>
      <c r="F147" s="330" t="s">
        <v>1676</v>
      </c>
      <c r="H147" s="329" t="s">
        <v>1</v>
      </c>
      <c r="I147" s="497"/>
      <c r="L147" s="327"/>
      <c r="M147" s="332"/>
      <c r="N147" s="333"/>
      <c r="O147" s="333"/>
      <c r="P147" s="333"/>
      <c r="Q147" s="333"/>
      <c r="R147" s="333"/>
      <c r="S147" s="333"/>
      <c r="T147" s="334"/>
      <c r="AT147" s="329" t="s">
        <v>155</v>
      </c>
      <c r="AU147" s="329" t="s">
        <v>83</v>
      </c>
      <c r="AV147" s="326" t="s">
        <v>81</v>
      </c>
      <c r="AW147" s="326" t="s">
        <v>34</v>
      </c>
      <c r="AX147" s="326" t="s">
        <v>76</v>
      </c>
      <c r="AY147" s="329" t="s">
        <v>146</v>
      </c>
    </row>
    <row r="148" spans="2:51" s="326" customFormat="1" ht="12">
      <c r="B148" s="327"/>
      <c r="D148" s="328" t="s">
        <v>155</v>
      </c>
      <c r="E148" s="329" t="s">
        <v>1</v>
      </c>
      <c r="F148" s="330" t="s">
        <v>1677</v>
      </c>
      <c r="H148" s="329" t="s">
        <v>1</v>
      </c>
      <c r="I148" s="497"/>
      <c r="L148" s="327"/>
      <c r="M148" s="332"/>
      <c r="N148" s="333"/>
      <c r="O148" s="333"/>
      <c r="P148" s="333"/>
      <c r="Q148" s="333"/>
      <c r="R148" s="333"/>
      <c r="S148" s="333"/>
      <c r="T148" s="334"/>
      <c r="AT148" s="329" t="s">
        <v>155</v>
      </c>
      <c r="AU148" s="329" t="s">
        <v>83</v>
      </c>
      <c r="AV148" s="326" t="s">
        <v>81</v>
      </c>
      <c r="AW148" s="326" t="s">
        <v>34</v>
      </c>
      <c r="AX148" s="326" t="s">
        <v>76</v>
      </c>
      <c r="AY148" s="329" t="s">
        <v>146</v>
      </c>
    </row>
    <row r="149" spans="2:51" s="326" customFormat="1" ht="12">
      <c r="B149" s="327"/>
      <c r="D149" s="328" t="s">
        <v>155</v>
      </c>
      <c r="E149" s="329" t="s">
        <v>1</v>
      </c>
      <c r="F149" s="330" t="s">
        <v>1678</v>
      </c>
      <c r="H149" s="329" t="s">
        <v>1</v>
      </c>
      <c r="I149" s="497"/>
      <c r="L149" s="327"/>
      <c r="M149" s="332"/>
      <c r="N149" s="333"/>
      <c r="O149" s="333"/>
      <c r="P149" s="333"/>
      <c r="Q149" s="333"/>
      <c r="R149" s="333"/>
      <c r="S149" s="333"/>
      <c r="T149" s="334"/>
      <c r="AT149" s="329" t="s">
        <v>155</v>
      </c>
      <c r="AU149" s="329" t="s">
        <v>83</v>
      </c>
      <c r="AV149" s="326" t="s">
        <v>81</v>
      </c>
      <c r="AW149" s="326" t="s">
        <v>34</v>
      </c>
      <c r="AX149" s="326" t="s">
        <v>76</v>
      </c>
      <c r="AY149" s="329" t="s">
        <v>146</v>
      </c>
    </row>
    <row r="150" spans="2:51" s="326" customFormat="1" ht="12">
      <c r="B150" s="327"/>
      <c r="D150" s="328" t="s">
        <v>155</v>
      </c>
      <c r="E150" s="329" t="s">
        <v>1</v>
      </c>
      <c r="F150" s="330" t="s">
        <v>304</v>
      </c>
      <c r="H150" s="329" t="s">
        <v>1</v>
      </c>
      <c r="I150" s="497"/>
      <c r="L150" s="327"/>
      <c r="M150" s="332"/>
      <c r="N150" s="333"/>
      <c r="O150" s="333"/>
      <c r="P150" s="333"/>
      <c r="Q150" s="333"/>
      <c r="R150" s="333"/>
      <c r="S150" s="333"/>
      <c r="T150" s="334"/>
      <c r="AT150" s="329" t="s">
        <v>155</v>
      </c>
      <c r="AU150" s="329" t="s">
        <v>83</v>
      </c>
      <c r="AV150" s="326" t="s">
        <v>81</v>
      </c>
      <c r="AW150" s="326" t="s">
        <v>34</v>
      </c>
      <c r="AX150" s="326" t="s">
        <v>76</v>
      </c>
      <c r="AY150" s="329" t="s">
        <v>146</v>
      </c>
    </row>
    <row r="151" spans="2:51" s="335" customFormat="1" ht="12">
      <c r="B151" s="336"/>
      <c r="D151" s="328" t="s">
        <v>155</v>
      </c>
      <c r="E151" s="337" t="s">
        <v>1</v>
      </c>
      <c r="F151" s="338" t="s">
        <v>83</v>
      </c>
      <c r="H151" s="339">
        <v>2</v>
      </c>
      <c r="I151" s="498"/>
      <c r="L151" s="336"/>
      <c r="M151" s="341"/>
      <c r="N151" s="342"/>
      <c r="O151" s="342"/>
      <c r="P151" s="342"/>
      <c r="Q151" s="342"/>
      <c r="R151" s="342"/>
      <c r="S151" s="342"/>
      <c r="T151" s="343"/>
      <c r="AT151" s="337" t="s">
        <v>155</v>
      </c>
      <c r="AU151" s="337" t="s">
        <v>83</v>
      </c>
      <c r="AV151" s="335" t="s">
        <v>83</v>
      </c>
      <c r="AW151" s="335" t="s">
        <v>34</v>
      </c>
      <c r="AX151" s="335" t="s">
        <v>81</v>
      </c>
      <c r="AY151" s="337" t="s">
        <v>146</v>
      </c>
    </row>
    <row r="152" spans="1:65" s="225" customFormat="1" ht="24.2" customHeight="1">
      <c r="A152" s="222"/>
      <c r="B152" s="223"/>
      <c r="C152" s="358" t="s">
        <v>159</v>
      </c>
      <c r="D152" s="358" t="s">
        <v>208</v>
      </c>
      <c r="E152" s="359" t="s">
        <v>1685</v>
      </c>
      <c r="F152" s="364" t="s">
        <v>1686</v>
      </c>
      <c r="G152" s="361" t="s">
        <v>301</v>
      </c>
      <c r="H152" s="362">
        <v>4</v>
      </c>
      <c r="I152" s="80"/>
      <c r="J152" s="363">
        <f>ROUND(I152*H152,2)</f>
        <v>0</v>
      </c>
      <c r="K152" s="364"/>
      <c r="L152" s="675"/>
      <c r="M152" s="366" t="s">
        <v>1</v>
      </c>
      <c r="N152" s="367" t="s">
        <v>42</v>
      </c>
      <c r="O152" s="322">
        <v>0</v>
      </c>
      <c r="P152" s="322">
        <f>O152*H152</f>
        <v>0</v>
      </c>
      <c r="Q152" s="322">
        <v>0.002</v>
      </c>
      <c r="R152" s="322">
        <f>Q152*H152</f>
        <v>0.008</v>
      </c>
      <c r="S152" s="322">
        <v>0</v>
      </c>
      <c r="T152" s="323">
        <f>S152*H152</f>
        <v>0</v>
      </c>
      <c r="U152" s="222"/>
      <c r="V152" s="222"/>
      <c r="W152" s="222"/>
      <c r="X152" s="222"/>
      <c r="Y152" s="222"/>
      <c r="Z152" s="222"/>
      <c r="AA152" s="222"/>
      <c r="AB152" s="222"/>
      <c r="AC152" s="222"/>
      <c r="AD152" s="222"/>
      <c r="AE152" s="222"/>
      <c r="AR152" s="324" t="s">
        <v>298</v>
      </c>
      <c r="AT152" s="324" t="s">
        <v>208</v>
      </c>
      <c r="AU152" s="324" t="s">
        <v>83</v>
      </c>
      <c r="AY152" s="214" t="s">
        <v>146</v>
      </c>
      <c r="BE152" s="325">
        <f>IF(N152="základní",J152,0)</f>
        <v>0</v>
      </c>
      <c r="BF152" s="325">
        <f>IF(N152="snížená",J152,0)</f>
        <v>0</v>
      </c>
      <c r="BG152" s="325">
        <f>IF(N152="zákl. přenesená",J152,0)</f>
        <v>0</v>
      </c>
      <c r="BH152" s="325">
        <f>IF(N152="sníž. přenesená",J152,0)</f>
        <v>0</v>
      </c>
      <c r="BI152" s="325">
        <f>IF(N152="nulová",J152,0)</f>
        <v>0</v>
      </c>
      <c r="BJ152" s="214" t="s">
        <v>81</v>
      </c>
      <c r="BK152" s="325">
        <f>ROUND(I152*H152,2)</f>
        <v>0</v>
      </c>
      <c r="BL152" s="214" t="s">
        <v>212</v>
      </c>
      <c r="BM152" s="324" t="s">
        <v>1687</v>
      </c>
    </row>
    <row r="153" spans="2:51" s="326" customFormat="1" ht="22.5">
      <c r="B153" s="327"/>
      <c r="D153" s="328" t="s">
        <v>155</v>
      </c>
      <c r="E153" s="329" t="s">
        <v>1</v>
      </c>
      <c r="F153" s="330" t="s">
        <v>1679</v>
      </c>
      <c r="H153" s="329" t="s">
        <v>1</v>
      </c>
      <c r="I153" s="497"/>
      <c r="L153" s="327"/>
      <c r="M153" s="332"/>
      <c r="N153" s="333"/>
      <c r="O153" s="333"/>
      <c r="P153" s="333"/>
      <c r="Q153" s="333"/>
      <c r="R153" s="333"/>
      <c r="S153" s="333"/>
      <c r="T153" s="334"/>
      <c r="AT153" s="329" t="s">
        <v>155</v>
      </c>
      <c r="AU153" s="329" t="s">
        <v>83</v>
      </c>
      <c r="AV153" s="326" t="s">
        <v>81</v>
      </c>
      <c r="AW153" s="326" t="s">
        <v>34</v>
      </c>
      <c r="AX153" s="326" t="s">
        <v>76</v>
      </c>
      <c r="AY153" s="329" t="s">
        <v>146</v>
      </c>
    </row>
    <row r="154" spans="2:51" s="326" customFormat="1" ht="22.5">
      <c r="B154" s="327"/>
      <c r="D154" s="328" t="s">
        <v>155</v>
      </c>
      <c r="E154" s="329" t="s">
        <v>1</v>
      </c>
      <c r="F154" s="330" t="s">
        <v>1675</v>
      </c>
      <c r="H154" s="329" t="s">
        <v>1</v>
      </c>
      <c r="I154" s="497"/>
      <c r="L154" s="327"/>
      <c r="M154" s="332"/>
      <c r="N154" s="333"/>
      <c r="O154" s="333"/>
      <c r="P154" s="333"/>
      <c r="Q154" s="333"/>
      <c r="R154" s="333"/>
      <c r="S154" s="333"/>
      <c r="T154" s="334"/>
      <c r="AT154" s="329" t="s">
        <v>155</v>
      </c>
      <c r="AU154" s="329" t="s">
        <v>83</v>
      </c>
      <c r="AV154" s="326" t="s">
        <v>81</v>
      </c>
      <c r="AW154" s="326" t="s">
        <v>34</v>
      </c>
      <c r="AX154" s="326" t="s">
        <v>76</v>
      </c>
      <c r="AY154" s="329" t="s">
        <v>146</v>
      </c>
    </row>
    <row r="155" spans="2:51" s="326" customFormat="1" ht="33.75">
      <c r="B155" s="327"/>
      <c r="D155" s="328" t="s">
        <v>155</v>
      </c>
      <c r="E155" s="329" t="s">
        <v>1</v>
      </c>
      <c r="F155" s="330" t="s">
        <v>1676</v>
      </c>
      <c r="H155" s="329" t="s">
        <v>1</v>
      </c>
      <c r="I155" s="497"/>
      <c r="L155" s="327"/>
      <c r="M155" s="332"/>
      <c r="N155" s="333"/>
      <c r="O155" s="333"/>
      <c r="P155" s="333"/>
      <c r="Q155" s="333"/>
      <c r="R155" s="333"/>
      <c r="S155" s="333"/>
      <c r="T155" s="334"/>
      <c r="AT155" s="329" t="s">
        <v>155</v>
      </c>
      <c r="AU155" s="329" t="s">
        <v>83</v>
      </c>
      <c r="AV155" s="326" t="s">
        <v>81</v>
      </c>
      <c r="AW155" s="326" t="s">
        <v>34</v>
      </c>
      <c r="AX155" s="326" t="s">
        <v>76</v>
      </c>
      <c r="AY155" s="329" t="s">
        <v>146</v>
      </c>
    </row>
    <row r="156" spans="2:51" s="326" customFormat="1" ht="12">
      <c r="B156" s="327"/>
      <c r="D156" s="328" t="s">
        <v>155</v>
      </c>
      <c r="E156" s="329" t="s">
        <v>1</v>
      </c>
      <c r="F156" s="330" t="s">
        <v>1680</v>
      </c>
      <c r="H156" s="329" t="s">
        <v>1</v>
      </c>
      <c r="I156" s="497"/>
      <c r="L156" s="327"/>
      <c r="M156" s="332"/>
      <c r="N156" s="333"/>
      <c r="O156" s="333"/>
      <c r="P156" s="333"/>
      <c r="Q156" s="333"/>
      <c r="R156" s="333"/>
      <c r="S156" s="333"/>
      <c r="T156" s="334"/>
      <c r="AT156" s="329" t="s">
        <v>155</v>
      </c>
      <c r="AU156" s="329" t="s">
        <v>83</v>
      </c>
      <c r="AV156" s="326" t="s">
        <v>81</v>
      </c>
      <c r="AW156" s="326" t="s">
        <v>34</v>
      </c>
      <c r="AX156" s="326" t="s">
        <v>76</v>
      </c>
      <c r="AY156" s="329" t="s">
        <v>146</v>
      </c>
    </row>
    <row r="157" spans="2:51" s="326" customFormat="1" ht="12">
      <c r="B157" s="327"/>
      <c r="D157" s="328" t="s">
        <v>155</v>
      </c>
      <c r="E157" s="329" t="s">
        <v>1</v>
      </c>
      <c r="F157" s="330" t="s">
        <v>1681</v>
      </c>
      <c r="H157" s="329" t="s">
        <v>1</v>
      </c>
      <c r="I157" s="497"/>
      <c r="L157" s="327"/>
      <c r="M157" s="332"/>
      <c r="N157" s="333"/>
      <c r="O157" s="333"/>
      <c r="P157" s="333"/>
      <c r="Q157" s="333"/>
      <c r="R157" s="333"/>
      <c r="S157" s="333"/>
      <c r="T157" s="334"/>
      <c r="AT157" s="329" t="s">
        <v>155</v>
      </c>
      <c r="AU157" s="329" t="s">
        <v>83</v>
      </c>
      <c r="AV157" s="326" t="s">
        <v>81</v>
      </c>
      <c r="AW157" s="326" t="s">
        <v>34</v>
      </c>
      <c r="AX157" s="326" t="s">
        <v>76</v>
      </c>
      <c r="AY157" s="329" t="s">
        <v>146</v>
      </c>
    </row>
    <row r="158" spans="2:51" s="326" customFormat="1" ht="12">
      <c r="B158" s="327"/>
      <c r="D158" s="328" t="s">
        <v>155</v>
      </c>
      <c r="E158" s="329" t="s">
        <v>1</v>
      </c>
      <c r="F158" s="330" t="s">
        <v>304</v>
      </c>
      <c r="H158" s="329" t="s">
        <v>1</v>
      </c>
      <c r="I158" s="497"/>
      <c r="L158" s="327"/>
      <c r="M158" s="332"/>
      <c r="N158" s="333"/>
      <c r="O158" s="333"/>
      <c r="P158" s="333"/>
      <c r="Q158" s="333"/>
      <c r="R158" s="333"/>
      <c r="S158" s="333"/>
      <c r="T158" s="334"/>
      <c r="AT158" s="329" t="s">
        <v>155</v>
      </c>
      <c r="AU158" s="329" t="s">
        <v>83</v>
      </c>
      <c r="AV158" s="326" t="s">
        <v>81</v>
      </c>
      <c r="AW158" s="326" t="s">
        <v>34</v>
      </c>
      <c r="AX158" s="326" t="s">
        <v>76</v>
      </c>
      <c r="AY158" s="329" t="s">
        <v>146</v>
      </c>
    </row>
    <row r="159" spans="2:51" s="335" customFormat="1" ht="12">
      <c r="B159" s="336"/>
      <c r="D159" s="328" t="s">
        <v>155</v>
      </c>
      <c r="E159" s="337" t="s">
        <v>1</v>
      </c>
      <c r="F159" s="338" t="s">
        <v>83</v>
      </c>
      <c r="H159" s="339">
        <v>2</v>
      </c>
      <c r="I159" s="498"/>
      <c r="L159" s="336"/>
      <c r="M159" s="341"/>
      <c r="N159" s="342"/>
      <c r="O159" s="342"/>
      <c r="P159" s="342"/>
      <c r="Q159" s="342"/>
      <c r="R159" s="342"/>
      <c r="S159" s="342"/>
      <c r="T159" s="343"/>
      <c r="AT159" s="337" t="s">
        <v>155</v>
      </c>
      <c r="AU159" s="337" t="s">
        <v>83</v>
      </c>
      <c r="AV159" s="335" t="s">
        <v>83</v>
      </c>
      <c r="AW159" s="335" t="s">
        <v>34</v>
      </c>
      <c r="AX159" s="335" t="s">
        <v>76</v>
      </c>
      <c r="AY159" s="337" t="s">
        <v>146</v>
      </c>
    </row>
    <row r="160" spans="2:51" s="326" customFormat="1" ht="12">
      <c r="B160" s="327"/>
      <c r="D160" s="328" t="s">
        <v>155</v>
      </c>
      <c r="E160" s="329" t="s">
        <v>1</v>
      </c>
      <c r="F160" s="330" t="s">
        <v>309</v>
      </c>
      <c r="H160" s="329" t="s">
        <v>1</v>
      </c>
      <c r="I160" s="497"/>
      <c r="L160" s="327"/>
      <c r="M160" s="332"/>
      <c r="N160" s="333"/>
      <c r="O160" s="333"/>
      <c r="P160" s="333"/>
      <c r="Q160" s="333"/>
      <c r="R160" s="333"/>
      <c r="S160" s="333"/>
      <c r="T160" s="334"/>
      <c r="AT160" s="329" t="s">
        <v>155</v>
      </c>
      <c r="AU160" s="329" t="s">
        <v>83</v>
      </c>
      <c r="AV160" s="326" t="s">
        <v>81</v>
      </c>
      <c r="AW160" s="326" t="s">
        <v>34</v>
      </c>
      <c r="AX160" s="326" t="s">
        <v>76</v>
      </c>
      <c r="AY160" s="329" t="s">
        <v>146</v>
      </c>
    </row>
    <row r="161" spans="2:51" s="335" customFormat="1" ht="12">
      <c r="B161" s="336"/>
      <c r="D161" s="328" t="s">
        <v>155</v>
      </c>
      <c r="E161" s="337" t="s">
        <v>1</v>
      </c>
      <c r="F161" s="338" t="s">
        <v>83</v>
      </c>
      <c r="H161" s="339">
        <v>2</v>
      </c>
      <c r="I161" s="498"/>
      <c r="L161" s="336"/>
      <c r="M161" s="341"/>
      <c r="N161" s="342"/>
      <c r="O161" s="342"/>
      <c r="P161" s="342"/>
      <c r="Q161" s="342"/>
      <c r="R161" s="342"/>
      <c r="S161" s="342"/>
      <c r="T161" s="343"/>
      <c r="AT161" s="337" t="s">
        <v>155</v>
      </c>
      <c r="AU161" s="337" t="s">
        <v>83</v>
      </c>
      <c r="AV161" s="335" t="s">
        <v>83</v>
      </c>
      <c r="AW161" s="335" t="s">
        <v>34</v>
      </c>
      <c r="AX161" s="335" t="s">
        <v>76</v>
      </c>
      <c r="AY161" s="337" t="s">
        <v>146</v>
      </c>
    </row>
    <row r="162" spans="2:51" s="347" customFormat="1" ht="12">
      <c r="B162" s="348"/>
      <c r="D162" s="328" t="s">
        <v>155</v>
      </c>
      <c r="E162" s="349" t="s">
        <v>1</v>
      </c>
      <c r="F162" s="356" t="s">
        <v>157</v>
      </c>
      <c r="H162" s="351">
        <v>4</v>
      </c>
      <c r="I162" s="499"/>
      <c r="L162" s="348"/>
      <c r="M162" s="353"/>
      <c r="N162" s="354"/>
      <c r="O162" s="354"/>
      <c r="P162" s="354"/>
      <c r="Q162" s="354"/>
      <c r="R162" s="354"/>
      <c r="S162" s="354"/>
      <c r="T162" s="355"/>
      <c r="AT162" s="349" t="s">
        <v>155</v>
      </c>
      <c r="AU162" s="349" t="s">
        <v>83</v>
      </c>
      <c r="AV162" s="347" t="s">
        <v>153</v>
      </c>
      <c r="AW162" s="347" t="s">
        <v>34</v>
      </c>
      <c r="AX162" s="347" t="s">
        <v>81</v>
      </c>
      <c r="AY162" s="349" t="s">
        <v>146</v>
      </c>
    </row>
    <row r="163" spans="1:65" s="225" customFormat="1" ht="21.75" customHeight="1">
      <c r="A163" s="222"/>
      <c r="B163" s="223"/>
      <c r="C163" s="314" t="s">
        <v>153</v>
      </c>
      <c r="D163" s="314" t="s">
        <v>148</v>
      </c>
      <c r="E163" s="315" t="s">
        <v>1688</v>
      </c>
      <c r="F163" s="316" t="s">
        <v>2627</v>
      </c>
      <c r="G163" s="317" t="s">
        <v>301</v>
      </c>
      <c r="H163" s="318">
        <v>13</v>
      </c>
      <c r="I163" s="79"/>
      <c r="J163" s="319">
        <f>ROUND(I163*H163,2)</f>
        <v>0</v>
      </c>
      <c r="K163" s="316"/>
      <c r="L163" s="223"/>
      <c r="M163" s="320" t="s">
        <v>1</v>
      </c>
      <c r="N163" s="321" t="s">
        <v>42</v>
      </c>
      <c r="O163" s="322">
        <v>0.423</v>
      </c>
      <c r="P163" s="322">
        <f>O163*H163</f>
        <v>5.499</v>
      </c>
      <c r="Q163" s="322">
        <v>0</v>
      </c>
      <c r="R163" s="322">
        <f>Q163*H163</f>
        <v>0</v>
      </c>
      <c r="S163" s="322">
        <v>0</v>
      </c>
      <c r="T163" s="323">
        <f>S163*H163</f>
        <v>0</v>
      </c>
      <c r="U163" s="222"/>
      <c r="V163" s="222"/>
      <c r="W163" s="222"/>
      <c r="X163" s="222"/>
      <c r="Y163" s="222"/>
      <c r="Z163" s="222"/>
      <c r="AA163" s="222"/>
      <c r="AB163" s="222"/>
      <c r="AC163" s="222"/>
      <c r="AD163" s="222"/>
      <c r="AE163" s="222"/>
      <c r="AR163" s="324" t="s">
        <v>212</v>
      </c>
      <c r="AT163" s="324" t="s">
        <v>148</v>
      </c>
      <c r="AU163" s="324" t="s">
        <v>83</v>
      </c>
      <c r="AY163" s="214" t="s">
        <v>146</v>
      </c>
      <c r="BE163" s="325">
        <f>IF(N163="základní",J163,0)</f>
        <v>0</v>
      </c>
      <c r="BF163" s="325">
        <f>IF(N163="snížená",J163,0)</f>
        <v>0</v>
      </c>
      <c r="BG163" s="325">
        <f>IF(N163="zákl. přenesená",J163,0)</f>
        <v>0</v>
      </c>
      <c r="BH163" s="325">
        <f>IF(N163="sníž. přenesená",J163,0)</f>
        <v>0</v>
      </c>
      <c r="BI163" s="325">
        <f>IF(N163="nulová",J163,0)</f>
        <v>0</v>
      </c>
      <c r="BJ163" s="214" t="s">
        <v>81</v>
      </c>
      <c r="BK163" s="325">
        <f>ROUND(I163*H163,2)</f>
        <v>0</v>
      </c>
      <c r="BL163" s="214" t="s">
        <v>212</v>
      </c>
      <c r="BM163" s="324" t="s">
        <v>1689</v>
      </c>
    </row>
    <row r="164" spans="2:51" s="326" customFormat="1" ht="33.75">
      <c r="B164" s="327"/>
      <c r="D164" s="328" t="s">
        <v>155</v>
      </c>
      <c r="E164" s="329" t="s">
        <v>1</v>
      </c>
      <c r="F164" s="330" t="s">
        <v>1690</v>
      </c>
      <c r="H164" s="329" t="s">
        <v>1</v>
      </c>
      <c r="I164" s="497"/>
      <c r="L164" s="327"/>
      <c r="M164" s="332"/>
      <c r="N164" s="333"/>
      <c r="O164" s="333"/>
      <c r="P164" s="333"/>
      <c r="Q164" s="333"/>
      <c r="R164" s="333"/>
      <c r="S164" s="333"/>
      <c r="T164" s="334"/>
      <c r="AT164" s="329" t="s">
        <v>155</v>
      </c>
      <c r="AU164" s="329" t="s">
        <v>83</v>
      </c>
      <c r="AV164" s="326" t="s">
        <v>81</v>
      </c>
      <c r="AW164" s="326" t="s">
        <v>34</v>
      </c>
      <c r="AX164" s="326" t="s">
        <v>76</v>
      </c>
      <c r="AY164" s="329" t="s">
        <v>146</v>
      </c>
    </row>
    <row r="165" spans="2:51" s="326" customFormat="1" ht="12">
      <c r="B165" s="327"/>
      <c r="D165" s="328" t="s">
        <v>155</v>
      </c>
      <c r="E165" s="329" t="s">
        <v>1</v>
      </c>
      <c r="F165" s="330" t="s">
        <v>1691</v>
      </c>
      <c r="H165" s="329" t="s">
        <v>1</v>
      </c>
      <c r="I165" s="497"/>
      <c r="L165" s="327"/>
      <c r="M165" s="332"/>
      <c r="N165" s="333"/>
      <c r="O165" s="333"/>
      <c r="P165" s="333"/>
      <c r="Q165" s="333"/>
      <c r="R165" s="333"/>
      <c r="S165" s="333"/>
      <c r="T165" s="334"/>
      <c r="AT165" s="329" t="s">
        <v>155</v>
      </c>
      <c r="AU165" s="329" t="s">
        <v>83</v>
      </c>
      <c r="AV165" s="326" t="s">
        <v>81</v>
      </c>
      <c r="AW165" s="326" t="s">
        <v>34</v>
      </c>
      <c r="AX165" s="326" t="s">
        <v>76</v>
      </c>
      <c r="AY165" s="329" t="s">
        <v>146</v>
      </c>
    </row>
    <row r="166" spans="2:51" s="326" customFormat="1" ht="12">
      <c r="B166" s="327"/>
      <c r="D166" s="328" t="s">
        <v>155</v>
      </c>
      <c r="E166" s="329" t="s">
        <v>1</v>
      </c>
      <c r="F166" s="330" t="s">
        <v>304</v>
      </c>
      <c r="H166" s="329" t="s">
        <v>1</v>
      </c>
      <c r="I166" s="497"/>
      <c r="L166" s="327"/>
      <c r="M166" s="332"/>
      <c r="N166" s="333"/>
      <c r="O166" s="333"/>
      <c r="P166" s="333"/>
      <c r="Q166" s="333"/>
      <c r="R166" s="333"/>
      <c r="S166" s="333"/>
      <c r="T166" s="334"/>
      <c r="AT166" s="329" t="s">
        <v>155</v>
      </c>
      <c r="AU166" s="329" t="s">
        <v>83</v>
      </c>
      <c r="AV166" s="326" t="s">
        <v>81</v>
      </c>
      <c r="AW166" s="326" t="s">
        <v>34</v>
      </c>
      <c r="AX166" s="326" t="s">
        <v>76</v>
      </c>
      <c r="AY166" s="329" t="s">
        <v>146</v>
      </c>
    </row>
    <row r="167" spans="2:51" s="335" customFormat="1" ht="12">
      <c r="B167" s="336"/>
      <c r="D167" s="328" t="s">
        <v>155</v>
      </c>
      <c r="E167" s="337" t="s">
        <v>1</v>
      </c>
      <c r="F167" s="338" t="s">
        <v>191</v>
      </c>
      <c r="H167" s="339">
        <v>9</v>
      </c>
      <c r="I167" s="498"/>
      <c r="L167" s="336"/>
      <c r="M167" s="341"/>
      <c r="N167" s="342"/>
      <c r="O167" s="342"/>
      <c r="P167" s="342"/>
      <c r="Q167" s="342"/>
      <c r="R167" s="342"/>
      <c r="S167" s="342"/>
      <c r="T167" s="343"/>
      <c r="AT167" s="337" t="s">
        <v>155</v>
      </c>
      <c r="AU167" s="337" t="s">
        <v>83</v>
      </c>
      <c r="AV167" s="335" t="s">
        <v>83</v>
      </c>
      <c r="AW167" s="335" t="s">
        <v>34</v>
      </c>
      <c r="AX167" s="335" t="s">
        <v>76</v>
      </c>
      <c r="AY167" s="337" t="s">
        <v>146</v>
      </c>
    </row>
    <row r="168" spans="2:51" s="326" customFormat="1" ht="12">
      <c r="B168" s="327"/>
      <c r="D168" s="328" t="s">
        <v>155</v>
      </c>
      <c r="E168" s="329" t="s">
        <v>1</v>
      </c>
      <c r="F168" s="330" t="s">
        <v>309</v>
      </c>
      <c r="H168" s="329" t="s">
        <v>1</v>
      </c>
      <c r="I168" s="497"/>
      <c r="L168" s="327"/>
      <c r="M168" s="332"/>
      <c r="N168" s="333"/>
      <c r="O168" s="333"/>
      <c r="P168" s="333"/>
      <c r="Q168" s="333"/>
      <c r="R168" s="333"/>
      <c r="S168" s="333"/>
      <c r="T168" s="334"/>
      <c r="AT168" s="329" t="s">
        <v>155</v>
      </c>
      <c r="AU168" s="329" t="s">
        <v>83</v>
      </c>
      <c r="AV168" s="326" t="s">
        <v>81</v>
      </c>
      <c r="AW168" s="326" t="s">
        <v>34</v>
      </c>
      <c r="AX168" s="326" t="s">
        <v>76</v>
      </c>
      <c r="AY168" s="329" t="s">
        <v>146</v>
      </c>
    </row>
    <row r="169" spans="2:51" s="335" customFormat="1" ht="12">
      <c r="B169" s="336"/>
      <c r="D169" s="328" t="s">
        <v>155</v>
      </c>
      <c r="E169" s="337" t="s">
        <v>1</v>
      </c>
      <c r="F169" s="338" t="s">
        <v>153</v>
      </c>
      <c r="H169" s="339">
        <v>4</v>
      </c>
      <c r="I169" s="498"/>
      <c r="L169" s="336"/>
      <c r="M169" s="341"/>
      <c r="N169" s="342"/>
      <c r="O169" s="342"/>
      <c r="P169" s="342"/>
      <c r="Q169" s="342"/>
      <c r="R169" s="342"/>
      <c r="S169" s="342"/>
      <c r="T169" s="343"/>
      <c r="AT169" s="337" t="s">
        <v>155</v>
      </c>
      <c r="AU169" s="337" t="s">
        <v>83</v>
      </c>
      <c r="AV169" s="335" t="s">
        <v>83</v>
      </c>
      <c r="AW169" s="335" t="s">
        <v>34</v>
      </c>
      <c r="AX169" s="335" t="s">
        <v>76</v>
      </c>
      <c r="AY169" s="337" t="s">
        <v>146</v>
      </c>
    </row>
    <row r="170" spans="2:51" s="347" customFormat="1" ht="12">
      <c r="B170" s="348"/>
      <c r="D170" s="328" t="s">
        <v>155</v>
      </c>
      <c r="E170" s="349" t="s">
        <v>1</v>
      </c>
      <c r="F170" s="356" t="s">
        <v>157</v>
      </c>
      <c r="H170" s="351">
        <v>13</v>
      </c>
      <c r="I170" s="499"/>
      <c r="L170" s="348"/>
      <c r="M170" s="353"/>
      <c r="N170" s="354"/>
      <c r="O170" s="354"/>
      <c r="P170" s="354"/>
      <c r="Q170" s="354"/>
      <c r="R170" s="354"/>
      <c r="S170" s="354"/>
      <c r="T170" s="355"/>
      <c r="AT170" s="349" t="s">
        <v>155</v>
      </c>
      <c r="AU170" s="349" t="s">
        <v>83</v>
      </c>
      <c r="AV170" s="347" t="s">
        <v>153</v>
      </c>
      <c r="AW170" s="347" t="s">
        <v>34</v>
      </c>
      <c r="AX170" s="347" t="s">
        <v>81</v>
      </c>
      <c r="AY170" s="349" t="s">
        <v>146</v>
      </c>
    </row>
    <row r="171" spans="1:65" s="225" customFormat="1" ht="21.75" customHeight="1">
      <c r="A171" s="222"/>
      <c r="B171" s="223"/>
      <c r="C171" s="358" t="s">
        <v>177</v>
      </c>
      <c r="D171" s="358" t="s">
        <v>208</v>
      </c>
      <c r="E171" s="359" t="s">
        <v>1692</v>
      </c>
      <c r="F171" s="364" t="s">
        <v>1693</v>
      </c>
      <c r="G171" s="361" t="s">
        <v>301</v>
      </c>
      <c r="H171" s="362">
        <v>13</v>
      </c>
      <c r="I171" s="80"/>
      <c r="J171" s="363">
        <f>ROUND(I171*H171,2)</f>
        <v>0</v>
      </c>
      <c r="K171" s="364"/>
      <c r="L171" s="675"/>
      <c r="M171" s="366" t="s">
        <v>1</v>
      </c>
      <c r="N171" s="367" t="s">
        <v>42</v>
      </c>
      <c r="O171" s="322">
        <v>0</v>
      </c>
      <c r="P171" s="322">
        <f>O171*H171</f>
        <v>0</v>
      </c>
      <c r="Q171" s="322">
        <v>0.0005</v>
      </c>
      <c r="R171" s="322">
        <f>Q171*H171</f>
        <v>0.006500000000000001</v>
      </c>
      <c r="S171" s="322">
        <v>0</v>
      </c>
      <c r="T171" s="323">
        <f>S171*H171</f>
        <v>0</v>
      </c>
      <c r="U171" s="222"/>
      <c r="V171" s="222"/>
      <c r="W171" s="222"/>
      <c r="X171" s="222"/>
      <c r="Y171" s="222"/>
      <c r="Z171" s="222"/>
      <c r="AA171" s="222"/>
      <c r="AB171" s="222"/>
      <c r="AC171" s="222"/>
      <c r="AD171" s="222"/>
      <c r="AE171" s="222"/>
      <c r="AR171" s="324" t="s">
        <v>298</v>
      </c>
      <c r="AT171" s="324" t="s">
        <v>208</v>
      </c>
      <c r="AU171" s="324" t="s">
        <v>83</v>
      </c>
      <c r="AY171" s="214" t="s">
        <v>146</v>
      </c>
      <c r="BE171" s="325">
        <f>IF(N171="základní",J171,0)</f>
        <v>0</v>
      </c>
      <c r="BF171" s="325">
        <f>IF(N171="snížená",J171,0)</f>
        <v>0</v>
      </c>
      <c r="BG171" s="325">
        <f>IF(N171="zákl. přenesená",J171,0)</f>
        <v>0</v>
      </c>
      <c r="BH171" s="325">
        <f>IF(N171="sníž. přenesená",J171,0)</f>
        <v>0</v>
      </c>
      <c r="BI171" s="325">
        <f>IF(N171="nulová",J171,0)</f>
        <v>0</v>
      </c>
      <c r="BJ171" s="214" t="s">
        <v>81</v>
      </c>
      <c r="BK171" s="325">
        <f>ROUND(I171*H171,2)</f>
        <v>0</v>
      </c>
      <c r="BL171" s="214" t="s">
        <v>212</v>
      </c>
      <c r="BM171" s="324" t="s">
        <v>1694</v>
      </c>
    </row>
    <row r="172" spans="1:65" s="225" customFormat="1" ht="24.2" customHeight="1">
      <c r="A172" s="222"/>
      <c r="B172" s="223"/>
      <c r="C172" s="314" t="s">
        <v>181</v>
      </c>
      <c r="D172" s="314" t="s">
        <v>148</v>
      </c>
      <c r="E172" s="315" t="s">
        <v>1695</v>
      </c>
      <c r="F172" s="316" t="s">
        <v>1696</v>
      </c>
      <c r="G172" s="317" t="s">
        <v>301</v>
      </c>
      <c r="H172" s="318">
        <v>4</v>
      </c>
      <c r="I172" s="79"/>
      <c r="J172" s="319">
        <f>ROUND(I172*H172,2)</f>
        <v>0</v>
      </c>
      <c r="K172" s="316"/>
      <c r="L172" s="223"/>
      <c r="M172" s="320" t="s">
        <v>1</v>
      </c>
      <c r="N172" s="321" t="s">
        <v>42</v>
      </c>
      <c r="O172" s="322">
        <v>0.677</v>
      </c>
      <c r="P172" s="322">
        <f>O172*H172</f>
        <v>2.708</v>
      </c>
      <c r="Q172" s="322">
        <v>0</v>
      </c>
      <c r="R172" s="322">
        <f>Q172*H172</f>
        <v>0</v>
      </c>
      <c r="S172" s="322">
        <v>0</v>
      </c>
      <c r="T172" s="323">
        <f>S172*H172</f>
        <v>0</v>
      </c>
      <c r="U172" s="222"/>
      <c r="V172" s="222"/>
      <c r="W172" s="222"/>
      <c r="X172" s="222"/>
      <c r="Y172" s="222"/>
      <c r="Z172" s="222"/>
      <c r="AA172" s="222"/>
      <c r="AB172" s="222"/>
      <c r="AC172" s="222"/>
      <c r="AD172" s="222"/>
      <c r="AE172" s="222"/>
      <c r="AR172" s="324" t="s">
        <v>212</v>
      </c>
      <c r="AT172" s="324" t="s">
        <v>148</v>
      </c>
      <c r="AU172" s="324" t="s">
        <v>83</v>
      </c>
      <c r="AY172" s="214" t="s">
        <v>146</v>
      </c>
      <c r="BE172" s="325">
        <f>IF(N172="základní",J172,0)</f>
        <v>0</v>
      </c>
      <c r="BF172" s="325">
        <f>IF(N172="snížená",J172,0)</f>
        <v>0</v>
      </c>
      <c r="BG172" s="325">
        <f>IF(N172="zákl. přenesená",J172,0)</f>
        <v>0</v>
      </c>
      <c r="BH172" s="325">
        <f>IF(N172="sníž. přenesená",J172,0)</f>
        <v>0</v>
      </c>
      <c r="BI172" s="325">
        <f>IF(N172="nulová",J172,0)</f>
        <v>0</v>
      </c>
      <c r="BJ172" s="214" t="s">
        <v>81</v>
      </c>
      <c r="BK172" s="325">
        <f>ROUND(I172*H172,2)</f>
        <v>0</v>
      </c>
      <c r="BL172" s="214" t="s">
        <v>212</v>
      </c>
      <c r="BM172" s="324" t="s">
        <v>1697</v>
      </c>
    </row>
    <row r="173" spans="2:51" s="326" customFormat="1" ht="12">
      <c r="B173" s="327"/>
      <c r="D173" s="328" t="s">
        <v>155</v>
      </c>
      <c r="E173" s="329" t="s">
        <v>1</v>
      </c>
      <c r="F173" s="330" t="s">
        <v>1698</v>
      </c>
      <c r="H173" s="329" t="s">
        <v>1</v>
      </c>
      <c r="I173" s="497"/>
      <c r="L173" s="327"/>
      <c r="M173" s="332"/>
      <c r="N173" s="333"/>
      <c r="O173" s="333"/>
      <c r="P173" s="333"/>
      <c r="Q173" s="333"/>
      <c r="R173" s="333"/>
      <c r="S173" s="333"/>
      <c r="T173" s="334"/>
      <c r="AT173" s="329" t="s">
        <v>155</v>
      </c>
      <c r="AU173" s="329" t="s">
        <v>83</v>
      </c>
      <c r="AV173" s="326" t="s">
        <v>81</v>
      </c>
      <c r="AW173" s="326" t="s">
        <v>34</v>
      </c>
      <c r="AX173" s="326" t="s">
        <v>76</v>
      </c>
      <c r="AY173" s="329" t="s">
        <v>146</v>
      </c>
    </row>
    <row r="174" spans="2:51" s="326" customFormat="1" ht="12">
      <c r="B174" s="327"/>
      <c r="D174" s="328" t="s">
        <v>155</v>
      </c>
      <c r="E174" s="329" t="s">
        <v>1</v>
      </c>
      <c r="F174" s="330" t="s">
        <v>1699</v>
      </c>
      <c r="H174" s="329" t="s">
        <v>1</v>
      </c>
      <c r="I174" s="497"/>
      <c r="L174" s="327"/>
      <c r="M174" s="332"/>
      <c r="N174" s="333"/>
      <c r="O174" s="333"/>
      <c r="P174" s="333"/>
      <c r="Q174" s="333"/>
      <c r="R174" s="333"/>
      <c r="S174" s="333"/>
      <c r="T174" s="334"/>
      <c r="AT174" s="329" t="s">
        <v>155</v>
      </c>
      <c r="AU174" s="329" t="s">
        <v>83</v>
      </c>
      <c r="AV174" s="326" t="s">
        <v>81</v>
      </c>
      <c r="AW174" s="326" t="s">
        <v>34</v>
      </c>
      <c r="AX174" s="326" t="s">
        <v>76</v>
      </c>
      <c r="AY174" s="329" t="s">
        <v>146</v>
      </c>
    </row>
    <row r="175" spans="2:51" s="326" customFormat="1" ht="12">
      <c r="B175" s="327"/>
      <c r="D175" s="328" t="s">
        <v>155</v>
      </c>
      <c r="E175" s="329" t="s">
        <v>1</v>
      </c>
      <c r="F175" s="330" t="s">
        <v>304</v>
      </c>
      <c r="H175" s="329" t="s">
        <v>1</v>
      </c>
      <c r="I175" s="497"/>
      <c r="L175" s="327"/>
      <c r="M175" s="332"/>
      <c r="N175" s="333"/>
      <c r="O175" s="333"/>
      <c r="P175" s="333"/>
      <c r="Q175" s="333"/>
      <c r="R175" s="333"/>
      <c r="S175" s="333"/>
      <c r="T175" s="334"/>
      <c r="AT175" s="329" t="s">
        <v>155</v>
      </c>
      <c r="AU175" s="329" t="s">
        <v>83</v>
      </c>
      <c r="AV175" s="326" t="s">
        <v>81</v>
      </c>
      <c r="AW175" s="326" t="s">
        <v>34</v>
      </c>
      <c r="AX175" s="326" t="s">
        <v>76</v>
      </c>
      <c r="AY175" s="329" t="s">
        <v>146</v>
      </c>
    </row>
    <row r="176" spans="2:51" s="335" customFormat="1" ht="12">
      <c r="B176" s="336"/>
      <c r="D176" s="328" t="s">
        <v>155</v>
      </c>
      <c r="E176" s="337" t="s">
        <v>1</v>
      </c>
      <c r="F176" s="338" t="s">
        <v>153</v>
      </c>
      <c r="H176" s="339">
        <v>4</v>
      </c>
      <c r="I176" s="498"/>
      <c r="L176" s="336"/>
      <c r="M176" s="341"/>
      <c r="N176" s="342"/>
      <c r="O176" s="342"/>
      <c r="P176" s="342"/>
      <c r="Q176" s="342"/>
      <c r="R176" s="342"/>
      <c r="S176" s="342"/>
      <c r="T176" s="343"/>
      <c r="AT176" s="337" t="s">
        <v>155</v>
      </c>
      <c r="AU176" s="337" t="s">
        <v>83</v>
      </c>
      <c r="AV176" s="335" t="s">
        <v>83</v>
      </c>
      <c r="AW176" s="335" t="s">
        <v>34</v>
      </c>
      <c r="AX176" s="335" t="s">
        <v>81</v>
      </c>
      <c r="AY176" s="337" t="s">
        <v>146</v>
      </c>
    </row>
    <row r="177" spans="1:65" s="225" customFormat="1" ht="54" customHeight="1">
      <c r="A177" s="222"/>
      <c r="B177" s="223"/>
      <c r="C177" s="358" t="s">
        <v>185</v>
      </c>
      <c r="D177" s="358" t="s">
        <v>208</v>
      </c>
      <c r="E177" s="359"/>
      <c r="F177" s="364" t="s">
        <v>3826</v>
      </c>
      <c r="G177" s="361" t="s">
        <v>301</v>
      </c>
      <c r="H177" s="362">
        <v>4</v>
      </c>
      <c r="I177" s="80"/>
      <c r="J177" s="363">
        <f>ROUND(I177*H177,2)</f>
        <v>0</v>
      </c>
      <c r="K177" s="364"/>
      <c r="L177" s="675"/>
      <c r="M177" s="366" t="s">
        <v>1</v>
      </c>
      <c r="N177" s="367" t="s">
        <v>42</v>
      </c>
      <c r="O177" s="322">
        <v>0</v>
      </c>
      <c r="P177" s="322">
        <f>O177*H177</f>
        <v>0</v>
      </c>
      <c r="Q177" s="322">
        <v>0.0008</v>
      </c>
      <c r="R177" s="322">
        <f>Q177*H177</f>
        <v>0.0032</v>
      </c>
      <c r="S177" s="322">
        <v>0</v>
      </c>
      <c r="T177" s="323">
        <f>S177*H177</f>
        <v>0</v>
      </c>
      <c r="U177" s="222"/>
      <c r="V177" s="222"/>
      <c r="W177" s="222"/>
      <c r="X177" s="222"/>
      <c r="Y177" s="222"/>
      <c r="Z177" s="222"/>
      <c r="AA177" s="222"/>
      <c r="AB177" s="222"/>
      <c r="AC177" s="222"/>
      <c r="AD177" s="222"/>
      <c r="AE177" s="222"/>
      <c r="AR177" s="324" t="s">
        <v>298</v>
      </c>
      <c r="AT177" s="324" t="s">
        <v>208</v>
      </c>
      <c r="AU177" s="324" t="s">
        <v>83</v>
      </c>
      <c r="AY177" s="214" t="s">
        <v>146</v>
      </c>
      <c r="BE177" s="325">
        <f>IF(N177="základní",J177,0)</f>
        <v>0</v>
      </c>
      <c r="BF177" s="325">
        <f>IF(N177="snížená",J177,0)</f>
        <v>0</v>
      </c>
      <c r="BG177" s="325">
        <f>IF(N177="zákl. přenesená",J177,0)</f>
        <v>0</v>
      </c>
      <c r="BH177" s="325">
        <f>IF(N177="sníž. přenesená",J177,0)</f>
        <v>0</v>
      </c>
      <c r="BI177" s="325">
        <f>IF(N177="nulová",J177,0)</f>
        <v>0</v>
      </c>
      <c r="BJ177" s="214" t="s">
        <v>81</v>
      </c>
      <c r="BK177" s="325">
        <f>ROUND(I177*H177,2)</f>
        <v>0</v>
      </c>
      <c r="BL177" s="214" t="s">
        <v>212</v>
      </c>
      <c r="BM177" s="324" t="s">
        <v>1700</v>
      </c>
    </row>
    <row r="178" spans="1:65" s="225" customFormat="1" ht="37.9" customHeight="1">
      <c r="A178" s="222"/>
      <c r="B178" s="223"/>
      <c r="C178" s="314" t="s">
        <v>189</v>
      </c>
      <c r="D178" s="314" t="s">
        <v>148</v>
      </c>
      <c r="E178" s="315" t="s">
        <v>1701</v>
      </c>
      <c r="F178" s="316" t="s">
        <v>1702</v>
      </c>
      <c r="G178" s="317" t="s">
        <v>158</v>
      </c>
      <c r="H178" s="318">
        <v>11</v>
      </c>
      <c r="I178" s="79"/>
      <c r="J178" s="319">
        <f>ROUND(I178*H178,2)</f>
        <v>0</v>
      </c>
      <c r="K178" s="316"/>
      <c r="L178" s="223"/>
      <c r="M178" s="320" t="s">
        <v>1</v>
      </c>
      <c r="N178" s="321" t="s">
        <v>42</v>
      </c>
      <c r="O178" s="322">
        <v>0.523</v>
      </c>
      <c r="P178" s="322">
        <f>O178*H178</f>
        <v>5.753</v>
      </c>
      <c r="Q178" s="322">
        <v>0.00344</v>
      </c>
      <c r="R178" s="322">
        <f>Q178*H178</f>
        <v>0.03784</v>
      </c>
      <c r="S178" s="322">
        <v>0</v>
      </c>
      <c r="T178" s="323">
        <f>S178*H178</f>
        <v>0</v>
      </c>
      <c r="U178" s="222"/>
      <c r="V178" s="222"/>
      <c r="W178" s="222"/>
      <c r="X178" s="222"/>
      <c r="Y178" s="222"/>
      <c r="Z178" s="222"/>
      <c r="AA178" s="222"/>
      <c r="AB178" s="222"/>
      <c r="AC178" s="222"/>
      <c r="AD178" s="222"/>
      <c r="AE178" s="222"/>
      <c r="AR178" s="324" t="s">
        <v>212</v>
      </c>
      <c r="AT178" s="324" t="s">
        <v>148</v>
      </c>
      <c r="AU178" s="324" t="s">
        <v>83</v>
      </c>
      <c r="AY178" s="214" t="s">
        <v>146</v>
      </c>
      <c r="BE178" s="325">
        <f>IF(N178="základní",J178,0)</f>
        <v>0</v>
      </c>
      <c r="BF178" s="325">
        <f>IF(N178="snížená",J178,0)</f>
        <v>0</v>
      </c>
      <c r="BG178" s="325">
        <f>IF(N178="zákl. přenesená",J178,0)</f>
        <v>0</v>
      </c>
      <c r="BH178" s="325">
        <f>IF(N178="sníž. přenesená",J178,0)</f>
        <v>0</v>
      </c>
      <c r="BI178" s="325">
        <f>IF(N178="nulová",J178,0)</f>
        <v>0</v>
      </c>
      <c r="BJ178" s="214" t="s">
        <v>81</v>
      </c>
      <c r="BK178" s="325">
        <f>ROUND(I178*H178,2)</f>
        <v>0</v>
      </c>
      <c r="BL178" s="214" t="s">
        <v>212</v>
      </c>
      <c r="BM178" s="324" t="s">
        <v>1703</v>
      </c>
    </row>
    <row r="179" spans="2:51" s="326" customFormat="1" ht="12">
      <c r="B179" s="327"/>
      <c r="D179" s="328" t="s">
        <v>155</v>
      </c>
      <c r="E179" s="329" t="s">
        <v>1</v>
      </c>
      <c r="F179" s="330" t="s">
        <v>1704</v>
      </c>
      <c r="H179" s="329" t="s">
        <v>1</v>
      </c>
      <c r="I179" s="497"/>
      <c r="L179" s="327"/>
      <c r="M179" s="332"/>
      <c r="N179" s="333"/>
      <c r="O179" s="333"/>
      <c r="P179" s="333"/>
      <c r="Q179" s="333"/>
      <c r="R179" s="333"/>
      <c r="S179" s="333"/>
      <c r="T179" s="334"/>
      <c r="AT179" s="329" t="s">
        <v>155</v>
      </c>
      <c r="AU179" s="329" t="s">
        <v>83</v>
      </c>
      <c r="AV179" s="326" t="s">
        <v>81</v>
      </c>
      <c r="AW179" s="326" t="s">
        <v>34</v>
      </c>
      <c r="AX179" s="326" t="s">
        <v>76</v>
      </c>
      <c r="AY179" s="329" t="s">
        <v>146</v>
      </c>
    </row>
    <row r="180" spans="2:51" s="326" customFormat="1" ht="12">
      <c r="B180" s="327"/>
      <c r="D180" s="328" t="s">
        <v>155</v>
      </c>
      <c r="E180" s="329" t="s">
        <v>1</v>
      </c>
      <c r="F180" s="330" t="s">
        <v>1705</v>
      </c>
      <c r="H180" s="329" t="s">
        <v>1</v>
      </c>
      <c r="I180" s="497"/>
      <c r="L180" s="327"/>
      <c r="M180" s="332"/>
      <c r="N180" s="333"/>
      <c r="O180" s="333"/>
      <c r="P180" s="333"/>
      <c r="Q180" s="333"/>
      <c r="R180" s="333"/>
      <c r="S180" s="333"/>
      <c r="T180" s="334"/>
      <c r="AT180" s="329" t="s">
        <v>155</v>
      </c>
      <c r="AU180" s="329" t="s">
        <v>83</v>
      </c>
      <c r="AV180" s="326" t="s">
        <v>81</v>
      </c>
      <c r="AW180" s="326" t="s">
        <v>34</v>
      </c>
      <c r="AX180" s="326" t="s">
        <v>76</v>
      </c>
      <c r="AY180" s="329" t="s">
        <v>146</v>
      </c>
    </row>
    <row r="181" spans="2:51" s="326" customFormat="1" ht="12">
      <c r="B181" s="327"/>
      <c r="D181" s="328" t="s">
        <v>155</v>
      </c>
      <c r="E181" s="329" t="s">
        <v>1</v>
      </c>
      <c r="F181" s="330" t="s">
        <v>1706</v>
      </c>
      <c r="H181" s="329" t="s">
        <v>1</v>
      </c>
      <c r="I181" s="497"/>
      <c r="L181" s="327"/>
      <c r="M181" s="332"/>
      <c r="N181" s="333"/>
      <c r="O181" s="333"/>
      <c r="P181" s="333"/>
      <c r="Q181" s="333"/>
      <c r="R181" s="333"/>
      <c r="S181" s="333"/>
      <c r="T181" s="334"/>
      <c r="AT181" s="329" t="s">
        <v>155</v>
      </c>
      <c r="AU181" s="329" t="s">
        <v>83</v>
      </c>
      <c r="AV181" s="326" t="s">
        <v>81</v>
      </c>
      <c r="AW181" s="326" t="s">
        <v>34</v>
      </c>
      <c r="AX181" s="326" t="s">
        <v>76</v>
      </c>
      <c r="AY181" s="329" t="s">
        <v>146</v>
      </c>
    </row>
    <row r="182" spans="2:51" s="326" customFormat="1" ht="12">
      <c r="B182" s="327"/>
      <c r="D182" s="328" t="s">
        <v>155</v>
      </c>
      <c r="E182" s="329" t="s">
        <v>1</v>
      </c>
      <c r="F182" s="330" t="s">
        <v>304</v>
      </c>
      <c r="H182" s="329" t="s">
        <v>1</v>
      </c>
      <c r="I182" s="497"/>
      <c r="L182" s="327"/>
      <c r="M182" s="332"/>
      <c r="N182" s="333"/>
      <c r="O182" s="333"/>
      <c r="P182" s="333"/>
      <c r="Q182" s="333"/>
      <c r="R182" s="333"/>
      <c r="S182" s="333"/>
      <c r="T182" s="334"/>
      <c r="AT182" s="329" t="s">
        <v>155</v>
      </c>
      <c r="AU182" s="329" t="s">
        <v>83</v>
      </c>
      <c r="AV182" s="326" t="s">
        <v>81</v>
      </c>
      <c r="AW182" s="326" t="s">
        <v>34</v>
      </c>
      <c r="AX182" s="326" t="s">
        <v>76</v>
      </c>
      <c r="AY182" s="329" t="s">
        <v>146</v>
      </c>
    </row>
    <row r="183" spans="2:51" s="335" customFormat="1" ht="12">
      <c r="B183" s="336"/>
      <c r="D183" s="328" t="s">
        <v>155</v>
      </c>
      <c r="E183" s="337" t="s">
        <v>1</v>
      </c>
      <c r="F183" s="338" t="s">
        <v>1071</v>
      </c>
      <c r="H183" s="339">
        <v>2</v>
      </c>
      <c r="I183" s="498"/>
      <c r="L183" s="336"/>
      <c r="M183" s="341"/>
      <c r="N183" s="342"/>
      <c r="O183" s="342"/>
      <c r="P183" s="342"/>
      <c r="Q183" s="342"/>
      <c r="R183" s="342"/>
      <c r="S183" s="342"/>
      <c r="T183" s="343"/>
      <c r="AT183" s="337" t="s">
        <v>155</v>
      </c>
      <c r="AU183" s="337" t="s">
        <v>83</v>
      </c>
      <c r="AV183" s="335" t="s">
        <v>83</v>
      </c>
      <c r="AW183" s="335" t="s">
        <v>34</v>
      </c>
      <c r="AX183" s="335" t="s">
        <v>76</v>
      </c>
      <c r="AY183" s="337" t="s">
        <v>146</v>
      </c>
    </row>
    <row r="184" spans="2:51" s="326" customFormat="1" ht="12">
      <c r="B184" s="327"/>
      <c r="D184" s="328" t="s">
        <v>155</v>
      </c>
      <c r="E184" s="329" t="s">
        <v>1</v>
      </c>
      <c r="F184" s="330" t="s">
        <v>1707</v>
      </c>
      <c r="H184" s="329" t="s">
        <v>1</v>
      </c>
      <c r="I184" s="497"/>
      <c r="L184" s="327"/>
      <c r="M184" s="332"/>
      <c r="N184" s="333"/>
      <c r="O184" s="333"/>
      <c r="P184" s="333"/>
      <c r="Q184" s="333"/>
      <c r="R184" s="333"/>
      <c r="S184" s="333"/>
      <c r="T184" s="334"/>
      <c r="AT184" s="329" t="s">
        <v>155</v>
      </c>
      <c r="AU184" s="329" t="s">
        <v>83</v>
      </c>
      <c r="AV184" s="326" t="s">
        <v>81</v>
      </c>
      <c r="AW184" s="326" t="s">
        <v>34</v>
      </c>
      <c r="AX184" s="326" t="s">
        <v>76</v>
      </c>
      <c r="AY184" s="329" t="s">
        <v>146</v>
      </c>
    </row>
    <row r="185" spans="2:51" s="326" customFormat="1" ht="12">
      <c r="B185" s="327"/>
      <c r="D185" s="328" t="s">
        <v>155</v>
      </c>
      <c r="E185" s="329" t="s">
        <v>1</v>
      </c>
      <c r="F185" s="330" t="s">
        <v>1708</v>
      </c>
      <c r="H185" s="329" t="s">
        <v>1</v>
      </c>
      <c r="I185" s="497"/>
      <c r="L185" s="327"/>
      <c r="M185" s="332"/>
      <c r="N185" s="333"/>
      <c r="O185" s="333"/>
      <c r="P185" s="333"/>
      <c r="Q185" s="333"/>
      <c r="R185" s="333"/>
      <c r="S185" s="333"/>
      <c r="T185" s="334"/>
      <c r="AT185" s="329" t="s">
        <v>155</v>
      </c>
      <c r="AU185" s="329" t="s">
        <v>83</v>
      </c>
      <c r="AV185" s="326" t="s">
        <v>81</v>
      </c>
      <c r="AW185" s="326" t="s">
        <v>34</v>
      </c>
      <c r="AX185" s="326" t="s">
        <v>76</v>
      </c>
      <c r="AY185" s="329" t="s">
        <v>146</v>
      </c>
    </row>
    <row r="186" spans="2:51" s="326" customFormat="1" ht="12">
      <c r="B186" s="327"/>
      <c r="D186" s="328" t="s">
        <v>155</v>
      </c>
      <c r="E186" s="329" t="s">
        <v>1</v>
      </c>
      <c r="F186" s="330" t="s">
        <v>1709</v>
      </c>
      <c r="H186" s="329" t="s">
        <v>1</v>
      </c>
      <c r="I186" s="497"/>
      <c r="L186" s="327"/>
      <c r="M186" s="332"/>
      <c r="N186" s="333"/>
      <c r="O186" s="333"/>
      <c r="P186" s="333"/>
      <c r="Q186" s="333"/>
      <c r="R186" s="333"/>
      <c r="S186" s="333"/>
      <c r="T186" s="334"/>
      <c r="AT186" s="329" t="s">
        <v>155</v>
      </c>
      <c r="AU186" s="329" t="s">
        <v>83</v>
      </c>
      <c r="AV186" s="326" t="s">
        <v>81</v>
      </c>
      <c r="AW186" s="326" t="s">
        <v>34</v>
      </c>
      <c r="AX186" s="326" t="s">
        <v>76</v>
      </c>
      <c r="AY186" s="329" t="s">
        <v>146</v>
      </c>
    </row>
    <row r="187" spans="2:51" s="326" customFormat="1" ht="12">
      <c r="B187" s="327"/>
      <c r="D187" s="328" t="s">
        <v>155</v>
      </c>
      <c r="E187" s="329" t="s">
        <v>1</v>
      </c>
      <c r="F187" s="330" t="s">
        <v>309</v>
      </c>
      <c r="H187" s="329" t="s">
        <v>1</v>
      </c>
      <c r="I187" s="497"/>
      <c r="L187" s="327"/>
      <c r="M187" s="332"/>
      <c r="N187" s="333"/>
      <c r="O187" s="333"/>
      <c r="P187" s="333"/>
      <c r="Q187" s="333"/>
      <c r="R187" s="333"/>
      <c r="S187" s="333"/>
      <c r="T187" s="334"/>
      <c r="AT187" s="329" t="s">
        <v>155</v>
      </c>
      <c r="AU187" s="329" t="s">
        <v>83</v>
      </c>
      <c r="AV187" s="326" t="s">
        <v>81</v>
      </c>
      <c r="AW187" s="326" t="s">
        <v>34</v>
      </c>
      <c r="AX187" s="326" t="s">
        <v>76</v>
      </c>
      <c r="AY187" s="329" t="s">
        <v>146</v>
      </c>
    </row>
    <row r="188" spans="2:51" s="335" customFormat="1" ht="12">
      <c r="B188" s="336"/>
      <c r="D188" s="328" t="s">
        <v>155</v>
      </c>
      <c r="E188" s="337" t="s">
        <v>1</v>
      </c>
      <c r="F188" s="338" t="s">
        <v>1710</v>
      </c>
      <c r="H188" s="339">
        <v>6</v>
      </c>
      <c r="I188" s="498"/>
      <c r="L188" s="336"/>
      <c r="M188" s="341"/>
      <c r="N188" s="342"/>
      <c r="O188" s="342"/>
      <c r="P188" s="342"/>
      <c r="Q188" s="342"/>
      <c r="R188" s="342"/>
      <c r="S188" s="342"/>
      <c r="T188" s="343"/>
      <c r="AT188" s="337" t="s">
        <v>155</v>
      </c>
      <c r="AU188" s="337" t="s">
        <v>83</v>
      </c>
      <c r="AV188" s="335" t="s">
        <v>83</v>
      </c>
      <c r="AW188" s="335" t="s">
        <v>34</v>
      </c>
      <c r="AX188" s="335" t="s">
        <v>76</v>
      </c>
      <c r="AY188" s="337" t="s">
        <v>146</v>
      </c>
    </row>
    <row r="189" spans="2:51" s="326" customFormat="1" ht="12">
      <c r="B189" s="327"/>
      <c r="D189" s="328" t="s">
        <v>155</v>
      </c>
      <c r="E189" s="329" t="s">
        <v>1</v>
      </c>
      <c r="F189" s="330" t="s">
        <v>1711</v>
      </c>
      <c r="H189" s="329" t="s">
        <v>1</v>
      </c>
      <c r="I189" s="497"/>
      <c r="L189" s="327"/>
      <c r="M189" s="332"/>
      <c r="N189" s="333"/>
      <c r="O189" s="333"/>
      <c r="P189" s="333"/>
      <c r="Q189" s="333"/>
      <c r="R189" s="333"/>
      <c r="S189" s="333"/>
      <c r="T189" s="334"/>
      <c r="AT189" s="329" t="s">
        <v>155</v>
      </c>
      <c r="AU189" s="329" t="s">
        <v>83</v>
      </c>
      <c r="AV189" s="326" t="s">
        <v>81</v>
      </c>
      <c r="AW189" s="326" t="s">
        <v>34</v>
      </c>
      <c r="AX189" s="326" t="s">
        <v>76</v>
      </c>
      <c r="AY189" s="329" t="s">
        <v>146</v>
      </c>
    </row>
    <row r="190" spans="2:51" s="326" customFormat="1" ht="12">
      <c r="B190" s="327"/>
      <c r="D190" s="328" t="s">
        <v>155</v>
      </c>
      <c r="E190" s="329" t="s">
        <v>1</v>
      </c>
      <c r="F190" s="330" t="s">
        <v>1705</v>
      </c>
      <c r="H190" s="329" t="s">
        <v>1</v>
      </c>
      <c r="I190" s="497"/>
      <c r="L190" s="327"/>
      <c r="M190" s="332"/>
      <c r="N190" s="333"/>
      <c r="O190" s="333"/>
      <c r="P190" s="333"/>
      <c r="Q190" s="333"/>
      <c r="R190" s="333"/>
      <c r="S190" s="333"/>
      <c r="T190" s="334"/>
      <c r="AT190" s="329" t="s">
        <v>155</v>
      </c>
      <c r="AU190" s="329" t="s">
        <v>83</v>
      </c>
      <c r="AV190" s="326" t="s">
        <v>81</v>
      </c>
      <c r="AW190" s="326" t="s">
        <v>34</v>
      </c>
      <c r="AX190" s="326" t="s">
        <v>76</v>
      </c>
      <c r="AY190" s="329" t="s">
        <v>146</v>
      </c>
    </row>
    <row r="191" spans="2:51" s="326" customFormat="1" ht="12">
      <c r="B191" s="327"/>
      <c r="D191" s="328" t="s">
        <v>155</v>
      </c>
      <c r="E191" s="329" t="s">
        <v>1</v>
      </c>
      <c r="F191" s="330" t="s">
        <v>1712</v>
      </c>
      <c r="H191" s="329" t="s">
        <v>1</v>
      </c>
      <c r="I191" s="497"/>
      <c r="L191" s="327"/>
      <c r="M191" s="332"/>
      <c r="N191" s="333"/>
      <c r="O191" s="333"/>
      <c r="P191" s="333"/>
      <c r="Q191" s="333"/>
      <c r="R191" s="333"/>
      <c r="S191" s="333"/>
      <c r="T191" s="334"/>
      <c r="AT191" s="329" t="s">
        <v>155</v>
      </c>
      <c r="AU191" s="329" t="s">
        <v>83</v>
      </c>
      <c r="AV191" s="326" t="s">
        <v>81</v>
      </c>
      <c r="AW191" s="326" t="s">
        <v>34</v>
      </c>
      <c r="AX191" s="326" t="s">
        <v>76</v>
      </c>
      <c r="AY191" s="329" t="s">
        <v>146</v>
      </c>
    </row>
    <row r="192" spans="2:51" s="326" customFormat="1" ht="12">
      <c r="B192" s="327"/>
      <c r="D192" s="328" t="s">
        <v>155</v>
      </c>
      <c r="E192" s="329" t="s">
        <v>1</v>
      </c>
      <c r="F192" s="330" t="s">
        <v>304</v>
      </c>
      <c r="H192" s="329" t="s">
        <v>1</v>
      </c>
      <c r="I192" s="497"/>
      <c r="L192" s="327"/>
      <c r="M192" s="332"/>
      <c r="N192" s="333"/>
      <c r="O192" s="333"/>
      <c r="P192" s="333"/>
      <c r="Q192" s="333"/>
      <c r="R192" s="333"/>
      <c r="S192" s="333"/>
      <c r="T192" s="334"/>
      <c r="AT192" s="329" t="s">
        <v>155</v>
      </c>
      <c r="AU192" s="329" t="s">
        <v>83</v>
      </c>
      <c r="AV192" s="326" t="s">
        <v>81</v>
      </c>
      <c r="AW192" s="326" t="s">
        <v>34</v>
      </c>
      <c r="AX192" s="326" t="s">
        <v>76</v>
      </c>
      <c r="AY192" s="329" t="s">
        <v>146</v>
      </c>
    </row>
    <row r="193" spans="2:51" s="335" customFormat="1" ht="12">
      <c r="B193" s="336"/>
      <c r="D193" s="328" t="s">
        <v>155</v>
      </c>
      <c r="E193" s="337" t="s">
        <v>1</v>
      </c>
      <c r="F193" s="338" t="s">
        <v>1713</v>
      </c>
      <c r="H193" s="339">
        <v>3</v>
      </c>
      <c r="I193" s="498"/>
      <c r="L193" s="336"/>
      <c r="M193" s="341"/>
      <c r="N193" s="342"/>
      <c r="O193" s="342"/>
      <c r="P193" s="342"/>
      <c r="Q193" s="342"/>
      <c r="R193" s="342"/>
      <c r="S193" s="342"/>
      <c r="T193" s="343"/>
      <c r="AT193" s="337" t="s">
        <v>155</v>
      </c>
      <c r="AU193" s="337" t="s">
        <v>83</v>
      </c>
      <c r="AV193" s="335" t="s">
        <v>83</v>
      </c>
      <c r="AW193" s="335" t="s">
        <v>34</v>
      </c>
      <c r="AX193" s="335" t="s">
        <v>76</v>
      </c>
      <c r="AY193" s="337" t="s">
        <v>146</v>
      </c>
    </row>
    <row r="194" spans="2:51" s="347" customFormat="1" ht="12">
      <c r="B194" s="348"/>
      <c r="D194" s="328" t="s">
        <v>155</v>
      </c>
      <c r="E194" s="349" t="s">
        <v>1</v>
      </c>
      <c r="F194" s="356" t="s">
        <v>157</v>
      </c>
      <c r="H194" s="351">
        <v>11</v>
      </c>
      <c r="I194" s="499"/>
      <c r="L194" s="348"/>
      <c r="M194" s="353"/>
      <c r="N194" s="354"/>
      <c r="O194" s="354"/>
      <c r="P194" s="354"/>
      <c r="Q194" s="354"/>
      <c r="R194" s="354"/>
      <c r="S194" s="354"/>
      <c r="T194" s="355"/>
      <c r="AT194" s="349" t="s">
        <v>155</v>
      </c>
      <c r="AU194" s="349" t="s">
        <v>83</v>
      </c>
      <c r="AV194" s="347" t="s">
        <v>153</v>
      </c>
      <c r="AW194" s="347" t="s">
        <v>34</v>
      </c>
      <c r="AX194" s="347" t="s">
        <v>81</v>
      </c>
      <c r="AY194" s="349" t="s">
        <v>146</v>
      </c>
    </row>
    <row r="195" spans="1:65" s="225" customFormat="1" ht="24.2" customHeight="1">
      <c r="A195" s="222"/>
      <c r="B195" s="223"/>
      <c r="C195" s="314" t="s">
        <v>191</v>
      </c>
      <c r="D195" s="314" t="s">
        <v>148</v>
      </c>
      <c r="E195" s="315" t="s">
        <v>1714</v>
      </c>
      <c r="F195" s="316" t="s">
        <v>1715</v>
      </c>
      <c r="G195" s="317" t="s">
        <v>301</v>
      </c>
      <c r="H195" s="318">
        <v>2</v>
      </c>
      <c r="I195" s="79"/>
      <c r="J195" s="319">
        <f>ROUND(I195*H195,2)</f>
        <v>0</v>
      </c>
      <c r="K195" s="316"/>
      <c r="L195" s="223"/>
      <c r="M195" s="320" t="s">
        <v>1</v>
      </c>
      <c r="N195" s="321" t="s">
        <v>42</v>
      </c>
      <c r="O195" s="322">
        <v>0.53</v>
      </c>
      <c r="P195" s="322">
        <f>O195*H195</f>
        <v>1.06</v>
      </c>
      <c r="Q195" s="322">
        <v>0</v>
      </c>
      <c r="R195" s="322">
        <f>Q195*H195</f>
        <v>0</v>
      </c>
      <c r="S195" s="322">
        <v>0</v>
      </c>
      <c r="T195" s="323">
        <f>S195*H195</f>
        <v>0</v>
      </c>
      <c r="U195" s="222"/>
      <c r="V195" s="222"/>
      <c r="W195" s="222"/>
      <c r="X195" s="222"/>
      <c r="Y195" s="222"/>
      <c r="Z195" s="222"/>
      <c r="AA195" s="222"/>
      <c r="AB195" s="222"/>
      <c r="AC195" s="222"/>
      <c r="AD195" s="222"/>
      <c r="AE195" s="222"/>
      <c r="AR195" s="324" t="s">
        <v>212</v>
      </c>
      <c r="AT195" s="324" t="s">
        <v>148</v>
      </c>
      <c r="AU195" s="324" t="s">
        <v>83</v>
      </c>
      <c r="AY195" s="214" t="s">
        <v>146</v>
      </c>
      <c r="BE195" s="325">
        <f>IF(N195="základní",J195,0)</f>
        <v>0</v>
      </c>
      <c r="BF195" s="325">
        <f>IF(N195="snížená",J195,0)</f>
        <v>0</v>
      </c>
      <c r="BG195" s="325">
        <f>IF(N195="zákl. přenesená",J195,0)</f>
        <v>0</v>
      </c>
      <c r="BH195" s="325">
        <f>IF(N195="sníž. přenesená",J195,0)</f>
        <v>0</v>
      </c>
      <c r="BI195" s="325">
        <f>IF(N195="nulová",J195,0)</f>
        <v>0</v>
      </c>
      <c r="BJ195" s="214" t="s">
        <v>81</v>
      </c>
      <c r="BK195" s="325">
        <f>ROUND(I195*H195,2)</f>
        <v>0</v>
      </c>
      <c r="BL195" s="214" t="s">
        <v>212</v>
      </c>
      <c r="BM195" s="324" t="s">
        <v>1716</v>
      </c>
    </row>
    <row r="196" spans="2:51" s="326" customFormat="1" ht="22.5">
      <c r="B196" s="327"/>
      <c r="D196" s="328" t="s">
        <v>155</v>
      </c>
      <c r="E196" s="329" t="s">
        <v>1</v>
      </c>
      <c r="F196" s="330" t="s">
        <v>1717</v>
      </c>
      <c r="H196" s="329" t="s">
        <v>1</v>
      </c>
      <c r="I196" s="497"/>
      <c r="L196" s="327"/>
      <c r="M196" s="332"/>
      <c r="N196" s="333"/>
      <c r="O196" s="333"/>
      <c r="P196" s="333"/>
      <c r="Q196" s="333"/>
      <c r="R196" s="333"/>
      <c r="S196" s="333"/>
      <c r="T196" s="334"/>
      <c r="AT196" s="329" t="s">
        <v>155</v>
      </c>
      <c r="AU196" s="329" t="s">
        <v>83</v>
      </c>
      <c r="AV196" s="326" t="s">
        <v>81</v>
      </c>
      <c r="AW196" s="326" t="s">
        <v>34</v>
      </c>
      <c r="AX196" s="326" t="s">
        <v>76</v>
      </c>
      <c r="AY196" s="329" t="s">
        <v>146</v>
      </c>
    </row>
    <row r="197" spans="2:51" s="326" customFormat="1" ht="12">
      <c r="B197" s="327"/>
      <c r="D197" s="328" t="s">
        <v>155</v>
      </c>
      <c r="E197" s="329" t="s">
        <v>1</v>
      </c>
      <c r="F197" s="330" t="s">
        <v>1718</v>
      </c>
      <c r="H197" s="329" t="s">
        <v>1</v>
      </c>
      <c r="I197" s="497"/>
      <c r="L197" s="327"/>
      <c r="M197" s="332"/>
      <c r="N197" s="333"/>
      <c r="O197" s="333"/>
      <c r="P197" s="333"/>
      <c r="Q197" s="333"/>
      <c r="R197" s="333"/>
      <c r="S197" s="333"/>
      <c r="T197" s="334"/>
      <c r="AT197" s="329" t="s">
        <v>155</v>
      </c>
      <c r="AU197" s="329" t="s">
        <v>83</v>
      </c>
      <c r="AV197" s="326" t="s">
        <v>81</v>
      </c>
      <c r="AW197" s="326" t="s">
        <v>34</v>
      </c>
      <c r="AX197" s="326" t="s">
        <v>76</v>
      </c>
      <c r="AY197" s="329" t="s">
        <v>146</v>
      </c>
    </row>
    <row r="198" spans="2:51" s="326" customFormat="1" ht="12">
      <c r="B198" s="327"/>
      <c r="D198" s="328" t="s">
        <v>155</v>
      </c>
      <c r="E198" s="329" t="s">
        <v>1</v>
      </c>
      <c r="F198" s="330" t="s">
        <v>309</v>
      </c>
      <c r="H198" s="329" t="s">
        <v>1</v>
      </c>
      <c r="I198" s="497"/>
      <c r="L198" s="327"/>
      <c r="M198" s="332"/>
      <c r="N198" s="333"/>
      <c r="O198" s="333"/>
      <c r="P198" s="333"/>
      <c r="Q198" s="333"/>
      <c r="R198" s="333"/>
      <c r="S198" s="333"/>
      <c r="T198" s="334"/>
      <c r="AT198" s="329" t="s">
        <v>155</v>
      </c>
      <c r="AU198" s="329" t="s">
        <v>83</v>
      </c>
      <c r="AV198" s="326" t="s">
        <v>81</v>
      </c>
      <c r="AW198" s="326" t="s">
        <v>34</v>
      </c>
      <c r="AX198" s="326" t="s">
        <v>76</v>
      </c>
      <c r="AY198" s="329" t="s">
        <v>146</v>
      </c>
    </row>
    <row r="199" spans="2:51" s="335" customFormat="1" ht="12">
      <c r="B199" s="336"/>
      <c r="D199" s="328" t="s">
        <v>155</v>
      </c>
      <c r="E199" s="337" t="s">
        <v>1</v>
      </c>
      <c r="F199" s="338" t="s">
        <v>83</v>
      </c>
      <c r="H199" s="339">
        <v>2</v>
      </c>
      <c r="I199" s="498"/>
      <c r="L199" s="336"/>
      <c r="M199" s="341"/>
      <c r="N199" s="342"/>
      <c r="O199" s="342"/>
      <c r="P199" s="342"/>
      <c r="Q199" s="342"/>
      <c r="R199" s="342"/>
      <c r="S199" s="342"/>
      <c r="T199" s="343"/>
      <c r="AT199" s="337" t="s">
        <v>155</v>
      </c>
      <c r="AU199" s="337" t="s">
        <v>83</v>
      </c>
      <c r="AV199" s="335" t="s">
        <v>83</v>
      </c>
      <c r="AW199" s="335" t="s">
        <v>34</v>
      </c>
      <c r="AX199" s="335" t="s">
        <v>81</v>
      </c>
      <c r="AY199" s="337" t="s">
        <v>146</v>
      </c>
    </row>
    <row r="200" spans="1:65" s="225" customFormat="1" ht="16.5" customHeight="1">
      <c r="A200" s="222"/>
      <c r="B200" s="223"/>
      <c r="C200" s="358" t="s">
        <v>196</v>
      </c>
      <c r="D200" s="358" t="s">
        <v>208</v>
      </c>
      <c r="E200" s="359" t="s">
        <v>1719</v>
      </c>
      <c r="F200" s="364" t="s">
        <v>1720</v>
      </c>
      <c r="G200" s="361" t="s">
        <v>301</v>
      </c>
      <c r="H200" s="362">
        <v>2</v>
      </c>
      <c r="I200" s="80"/>
      <c r="J200" s="363">
        <f>ROUND(I200*H200,2)</f>
        <v>0</v>
      </c>
      <c r="K200" s="364"/>
      <c r="L200" s="675"/>
      <c r="M200" s="366" t="s">
        <v>1</v>
      </c>
      <c r="N200" s="367" t="s">
        <v>42</v>
      </c>
      <c r="O200" s="322">
        <v>0</v>
      </c>
      <c r="P200" s="322">
        <f>O200*H200</f>
        <v>0</v>
      </c>
      <c r="Q200" s="322">
        <v>0.0001</v>
      </c>
      <c r="R200" s="322">
        <f>Q200*H200</f>
        <v>0.0002</v>
      </c>
      <c r="S200" s="322">
        <v>0</v>
      </c>
      <c r="T200" s="323">
        <f>S200*H200</f>
        <v>0</v>
      </c>
      <c r="U200" s="222"/>
      <c r="V200" s="222"/>
      <c r="W200" s="222"/>
      <c r="X200" s="222"/>
      <c r="Y200" s="222"/>
      <c r="Z200" s="222"/>
      <c r="AA200" s="222"/>
      <c r="AB200" s="222"/>
      <c r="AC200" s="222"/>
      <c r="AD200" s="222"/>
      <c r="AE200" s="222"/>
      <c r="AR200" s="324" t="s">
        <v>298</v>
      </c>
      <c r="AT200" s="324" t="s">
        <v>208</v>
      </c>
      <c r="AU200" s="324" t="s">
        <v>83</v>
      </c>
      <c r="AY200" s="214" t="s">
        <v>146</v>
      </c>
      <c r="BE200" s="325">
        <f>IF(N200="základní",J200,0)</f>
        <v>0</v>
      </c>
      <c r="BF200" s="325">
        <f>IF(N200="snížená",J200,0)</f>
        <v>0</v>
      </c>
      <c r="BG200" s="325">
        <f>IF(N200="zákl. přenesená",J200,0)</f>
        <v>0</v>
      </c>
      <c r="BH200" s="325">
        <f>IF(N200="sníž. přenesená",J200,0)</f>
        <v>0</v>
      </c>
      <c r="BI200" s="325">
        <f>IF(N200="nulová",J200,0)</f>
        <v>0</v>
      </c>
      <c r="BJ200" s="214" t="s">
        <v>81</v>
      </c>
      <c r="BK200" s="325">
        <f>ROUND(I200*H200,2)</f>
        <v>0</v>
      </c>
      <c r="BL200" s="214" t="s">
        <v>212</v>
      </c>
      <c r="BM200" s="324" t="s">
        <v>1721</v>
      </c>
    </row>
    <row r="201" spans="1:65" s="225" customFormat="1" ht="37.9" customHeight="1">
      <c r="A201" s="222"/>
      <c r="B201" s="223"/>
      <c r="C201" s="314" t="s">
        <v>199</v>
      </c>
      <c r="D201" s="314" t="s">
        <v>148</v>
      </c>
      <c r="E201" s="315" t="s">
        <v>1722</v>
      </c>
      <c r="F201" s="316" t="s">
        <v>1723</v>
      </c>
      <c r="G201" s="317" t="s">
        <v>301</v>
      </c>
      <c r="H201" s="318">
        <v>8</v>
      </c>
      <c r="I201" s="79"/>
      <c r="J201" s="319">
        <f>ROUND(I201*H201,2)</f>
        <v>0</v>
      </c>
      <c r="K201" s="316"/>
      <c r="L201" s="223"/>
      <c r="M201" s="320" t="s">
        <v>1</v>
      </c>
      <c r="N201" s="321" t="s">
        <v>42</v>
      </c>
      <c r="O201" s="322">
        <v>0.351</v>
      </c>
      <c r="P201" s="322">
        <f>O201*H201</f>
        <v>2.808</v>
      </c>
      <c r="Q201" s="322">
        <v>0</v>
      </c>
      <c r="R201" s="322">
        <f>Q201*H201</f>
        <v>0</v>
      </c>
      <c r="S201" s="322">
        <v>0</v>
      </c>
      <c r="T201" s="323">
        <f>S201*H201</f>
        <v>0</v>
      </c>
      <c r="U201" s="222"/>
      <c r="V201" s="222"/>
      <c r="W201" s="222"/>
      <c r="X201" s="222"/>
      <c r="Y201" s="222"/>
      <c r="Z201" s="222"/>
      <c r="AA201" s="222"/>
      <c r="AB201" s="222"/>
      <c r="AC201" s="222"/>
      <c r="AD201" s="222"/>
      <c r="AE201" s="222"/>
      <c r="AR201" s="324" t="s">
        <v>212</v>
      </c>
      <c r="AT201" s="324" t="s">
        <v>148</v>
      </c>
      <c r="AU201" s="324" t="s">
        <v>83</v>
      </c>
      <c r="AY201" s="214" t="s">
        <v>146</v>
      </c>
      <c r="BE201" s="325">
        <f>IF(N201="základní",J201,0)</f>
        <v>0</v>
      </c>
      <c r="BF201" s="325">
        <f>IF(N201="snížená",J201,0)</f>
        <v>0</v>
      </c>
      <c r="BG201" s="325">
        <f>IF(N201="zákl. přenesená",J201,0)</f>
        <v>0</v>
      </c>
      <c r="BH201" s="325">
        <f>IF(N201="sníž. přenesená",J201,0)</f>
        <v>0</v>
      </c>
      <c r="BI201" s="325">
        <f>IF(N201="nulová",J201,0)</f>
        <v>0</v>
      </c>
      <c r="BJ201" s="214" t="s">
        <v>81</v>
      </c>
      <c r="BK201" s="325">
        <f>ROUND(I201*H201,2)</f>
        <v>0</v>
      </c>
      <c r="BL201" s="214" t="s">
        <v>212</v>
      </c>
      <c r="BM201" s="324" t="s">
        <v>1724</v>
      </c>
    </row>
    <row r="202" spans="2:51" s="326" customFormat="1" ht="33.75">
      <c r="B202" s="327"/>
      <c r="D202" s="328" t="s">
        <v>155</v>
      </c>
      <c r="E202" s="329" t="s">
        <v>1</v>
      </c>
      <c r="F202" s="330" t="s">
        <v>1725</v>
      </c>
      <c r="H202" s="329" t="s">
        <v>1</v>
      </c>
      <c r="I202" s="497"/>
      <c r="L202" s="327"/>
      <c r="M202" s="332"/>
      <c r="N202" s="333"/>
      <c r="O202" s="333"/>
      <c r="P202" s="333"/>
      <c r="Q202" s="333"/>
      <c r="R202" s="333"/>
      <c r="S202" s="333"/>
      <c r="T202" s="334"/>
      <c r="AT202" s="329" t="s">
        <v>155</v>
      </c>
      <c r="AU202" s="329" t="s">
        <v>83</v>
      </c>
      <c r="AV202" s="326" t="s">
        <v>81</v>
      </c>
      <c r="AW202" s="326" t="s">
        <v>34</v>
      </c>
      <c r="AX202" s="326" t="s">
        <v>76</v>
      </c>
      <c r="AY202" s="329" t="s">
        <v>146</v>
      </c>
    </row>
    <row r="203" spans="2:51" s="326" customFormat="1" ht="12">
      <c r="B203" s="327"/>
      <c r="D203" s="328" t="s">
        <v>155</v>
      </c>
      <c r="E203" s="329" t="s">
        <v>1</v>
      </c>
      <c r="F203" s="330" t="s">
        <v>1726</v>
      </c>
      <c r="H203" s="329" t="s">
        <v>1</v>
      </c>
      <c r="I203" s="497"/>
      <c r="L203" s="327"/>
      <c r="M203" s="332"/>
      <c r="N203" s="333"/>
      <c r="O203" s="333"/>
      <c r="P203" s="333"/>
      <c r="Q203" s="333"/>
      <c r="R203" s="333"/>
      <c r="S203" s="333"/>
      <c r="T203" s="334"/>
      <c r="AT203" s="329" t="s">
        <v>155</v>
      </c>
      <c r="AU203" s="329" t="s">
        <v>83</v>
      </c>
      <c r="AV203" s="326" t="s">
        <v>81</v>
      </c>
      <c r="AW203" s="326" t="s">
        <v>34</v>
      </c>
      <c r="AX203" s="326" t="s">
        <v>76</v>
      </c>
      <c r="AY203" s="329" t="s">
        <v>146</v>
      </c>
    </row>
    <row r="204" spans="2:51" s="326" customFormat="1" ht="12">
      <c r="B204" s="327"/>
      <c r="D204" s="328" t="s">
        <v>155</v>
      </c>
      <c r="E204" s="329" t="s">
        <v>1</v>
      </c>
      <c r="F204" s="330" t="s">
        <v>304</v>
      </c>
      <c r="H204" s="329" t="s">
        <v>1</v>
      </c>
      <c r="I204" s="497"/>
      <c r="L204" s="327"/>
      <c r="M204" s="332"/>
      <c r="N204" s="333"/>
      <c r="O204" s="333"/>
      <c r="P204" s="333"/>
      <c r="Q204" s="333"/>
      <c r="R204" s="333"/>
      <c r="S204" s="333"/>
      <c r="T204" s="334"/>
      <c r="AT204" s="329" t="s">
        <v>155</v>
      </c>
      <c r="AU204" s="329" t="s">
        <v>83</v>
      </c>
      <c r="AV204" s="326" t="s">
        <v>81</v>
      </c>
      <c r="AW204" s="326" t="s">
        <v>34</v>
      </c>
      <c r="AX204" s="326" t="s">
        <v>76</v>
      </c>
      <c r="AY204" s="329" t="s">
        <v>146</v>
      </c>
    </row>
    <row r="205" spans="2:51" s="335" customFormat="1" ht="12">
      <c r="B205" s="336"/>
      <c r="D205" s="328" t="s">
        <v>155</v>
      </c>
      <c r="E205" s="337" t="s">
        <v>1</v>
      </c>
      <c r="F205" s="338" t="s">
        <v>181</v>
      </c>
      <c r="H205" s="339">
        <v>6</v>
      </c>
      <c r="I205" s="498"/>
      <c r="L205" s="336"/>
      <c r="M205" s="341"/>
      <c r="N205" s="342"/>
      <c r="O205" s="342"/>
      <c r="P205" s="342"/>
      <c r="Q205" s="342"/>
      <c r="R205" s="342"/>
      <c r="S205" s="342"/>
      <c r="T205" s="343"/>
      <c r="AT205" s="337" t="s">
        <v>155</v>
      </c>
      <c r="AU205" s="337" t="s">
        <v>83</v>
      </c>
      <c r="AV205" s="335" t="s">
        <v>83</v>
      </c>
      <c r="AW205" s="335" t="s">
        <v>34</v>
      </c>
      <c r="AX205" s="335" t="s">
        <v>76</v>
      </c>
      <c r="AY205" s="337" t="s">
        <v>146</v>
      </c>
    </row>
    <row r="206" spans="2:51" s="326" customFormat="1" ht="33.75">
      <c r="B206" s="327"/>
      <c r="D206" s="328" t="s">
        <v>155</v>
      </c>
      <c r="E206" s="329" t="s">
        <v>1</v>
      </c>
      <c r="F206" s="330" t="s">
        <v>1727</v>
      </c>
      <c r="H206" s="329" t="s">
        <v>1</v>
      </c>
      <c r="I206" s="497"/>
      <c r="L206" s="327"/>
      <c r="M206" s="332"/>
      <c r="N206" s="333"/>
      <c r="O206" s="333"/>
      <c r="P206" s="333"/>
      <c r="Q206" s="333"/>
      <c r="R206" s="333"/>
      <c r="S206" s="333"/>
      <c r="T206" s="334"/>
      <c r="AT206" s="329" t="s">
        <v>155</v>
      </c>
      <c r="AU206" s="329" t="s">
        <v>83</v>
      </c>
      <c r="AV206" s="326" t="s">
        <v>81</v>
      </c>
      <c r="AW206" s="326" t="s">
        <v>34</v>
      </c>
      <c r="AX206" s="326" t="s">
        <v>76</v>
      </c>
      <c r="AY206" s="329" t="s">
        <v>146</v>
      </c>
    </row>
    <row r="207" spans="2:51" s="326" customFormat="1" ht="12">
      <c r="B207" s="327"/>
      <c r="D207" s="328" t="s">
        <v>155</v>
      </c>
      <c r="E207" s="329" t="s">
        <v>1</v>
      </c>
      <c r="F207" s="330" t="s">
        <v>1728</v>
      </c>
      <c r="H207" s="329" t="s">
        <v>1</v>
      </c>
      <c r="I207" s="497"/>
      <c r="L207" s="327"/>
      <c r="M207" s="332"/>
      <c r="N207" s="333"/>
      <c r="O207" s="333"/>
      <c r="P207" s="333"/>
      <c r="Q207" s="333"/>
      <c r="R207" s="333"/>
      <c r="S207" s="333"/>
      <c r="T207" s="334"/>
      <c r="AT207" s="329" t="s">
        <v>155</v>
      </c>
      <c r="AU207" s="329" t="s">
        <v>83</v>
      </c>
      <c r="AV207" s="326" t="s">
        <v>81</v>
      </c>
      <c r="AW207" s="326" t="s">
        <v>34</v>
      </c>
      <c r="AX207" s="326" t="s">
        <v>76</v>
      </c>
      <c r="AY207" s="329" t="s">
        <v>146</v>
      </c>
    </row>
    <row r="208" spans="2:51" s="326" customFormat="1" ht="12">
      <c r="B208" s="327"/>
      <c r="D208" s="328" t="s">
        <v>155</v>
      </c>
      <c r="E208" s="329" t="s">
        <v>1</v>
      </c>
      <c r="F208" s="330" t="s">
        <v>309</v>
      </c>
      <c r="H208" s="329" t="s">
        <v>1</v>
      </c>
      <c r="I208" s="497"/>
      <c r="L208" s="327"/>
      <c r="M208" s="332"/>
      <c r="N208" s="333"/>
      <c r="O208" s="333"/>
      <c r="P208" s="333"/>
      <c r="Q208" s="333"/>
      <c r="R208" s="333"/>
      <c r="S208" s="333"/>
      <c r="T208" s="334"/>
      <c r="AT208" s="329" t="s">
        <v>155</v>
      </c>
      <c r="AU208" s="329" t="s">
        <v>83</v>
      </c>
      <c r="AV208" s="326" t="s">
        <v>81</v>
      </c>
      <c r="AW208" s="326" t="s">
        <v>34</v>
      </c>
      <c r="AX208" s="326" t="s">
        <v>76</v>
      </c>
      <c r="AY208" s="329" t="s">
        <v>146</v>
      </c>
    </row>
    <row r="209" spans="2:51" s="335" customFormat="1" ht="12">
      <c r="B209" s="336"/>
      <c r="D209" s="328" t="s">
        <v>155</v>
      </c>
      <c r="E209" s="337" t="s">
        <v>1</v>
      </c>
      <c r="F209" s="338" t="s">
        <v>83</v>
      </c>
      <c r="H209" s="339">
        <v>2</v>
      </c>
      <c r="I209" s="498"/>
      <c r="L209" s="336"/>
      <c r="M209" s="341"/>
      <c r="N209" s="342"/>
      <c r="O209" s="342"/>
      <c r="P209" s="342"/>
      <c r="Q209" s="342"/>
      <c r="R209" s="342"/>
      <c r="S209" s="342"/>
      <c r="T209" s="343"/>
      <c r="AT209" s="337" t="s">
        <v>155</v>
      </c>
      <c r="AU209" s="337" t="s">
        <v>83</v>
      </c>
      <c r="AV209" s="335" t="s">
        <v>83</v>
      </c>
      <c r="AW209" s="335" t="s">
        <v>34</v>
      </c>
      <c r="AX209" s="335" t="s">
        <v>76</v>
      </c>
      <c r="AY209" s="337" t="s">
        <v>146</v>
      </c>
    </row>
    <row r="210" spans="2:51" s="347" customFormat="1" ht="12">
      <c r="B210" s="348"/>
      <c r="D210" s="328" t="s">
        <v>155</v>
      </c>
      <c r="E210" s="349" t="s">
        <v>1</v>
      </c>
      <c r="F210" s="356" t="s">
        <v>157</v>
      </c>
      <c r="H210" s="351">
        <v>8</v>
      </c>
      <c r="I210" s="499"/>
      <c r="L210" s="348"/>
      <c r="M210" s="353"/>
      <c r="N210" s="354"/>
      <c r="O210" s="354"/>
      <c r="P210" s="354"/>
      <c r="Q210" s="354"/>
      <c r="R210" s="354"/>
      <c r="S210" s="354"/>
      <c r="T210" s="355"/>
      <c r="AT210" s="349" t="s">
        <v>155</v>
      </c>
      <c r="AU210" s="349" t="s">
        <v>83</v>
      </c>
      <c r="AV210" s="347" t="s">
        <v>153</v>
      </c>
      <c r="AW210" s="347" t="s">
        <v>34</v>
      </c>
      <c r="AX210" s="347" t="s">
        <v>81</v>
      </c>
      <c r="AY210" s="349" t="s">
        <v>146</v>
      </c>
    </row>
    <row r="211" spans="1:65" s="225" customFormat="1" ht="24.2" customHeight="1">
      <c r="A211" s="222"/>
      <c r="B211" s="223"/>
      <c r="C211" s="358" t="s">
        <v>203</v>
      </c>
      <c r="D211" s="358" t="s">
        <v>208</v>
      </c>
      <c r="E211" s="359" t="s">
        <v>1729</v>
      </c>
      <c r="F211" s="364" t="s">
        <v>1730</v>
      </c>
      <c r="G211" s="361" t="s">
        <v>301</v>
      </c>
      <c r="H211" s="362">
        <v>6</v>
      </c>
      <c r="I211" s="80"/>
      <c r="J211" s="363">
        <f>ROUND(I211*H211,2)</f>
        <v>0</v>
      </c>
      <c r="K211" s="364"/>
      <c r="L211" s="675"/>
      <c r="M211" s="366" t="s">
        <v>1</v>
      </c>
      <c r="N211" s="367" t="s">
        <v>42</v>
      </c>
      <c r="O211" s="322">
        <v>0</v>
      </c>
      <c r="P211" s="322">
        <f>O211*H211</f>
        <v>0</v>
      </c>
      <c r="Q211" s="322">
        <v>0.0009</v>
      </c>
      <c r="R211" s="322">
        <f>Q211*H211</f>
        <v>0.0054</v>
      </c>
      <c r="S211" s="322">
        <v>0</v>
      </c>
      <c r="T211" s="323">
        <f>S211*H211</f>
        <v>0</v>
      </c>
      <c r="U211" s="222"/>
      <c r="V211" s="222"/>
      <c r="W211" s="222"/>
      <c r="X211" s="222"/>
      <c r="Y211" s="222"/>
      <c r="Z211" s="222"/>
      <c r="AA211" s="222"/>
      <c r="AB211" s="222"/>
      <c r="AC211" s="222"/>
      <c r="AD211" s="222"/>
      <c r="AE211" s="222"/>
      <c r="AR211" s="324" t="s">
        <v>298</v>
      </c>
      <c r="AT211" s="324" t="s">
        <v>208</v>
      </c>
      <c r="AU211" s="324" t="s">
        <v>83</v>
      </c>
      <c r="AY211" s="214" t="s">
        <v>146</v>
      </c>
      <c r="BE211" s="325">
        <f>IF(N211="základní",J211,0)</f>
        <v>0</v>
      </c>
      <c r="BF211" s="325">
        <f>IF(N211="snížená",J211,0)</f>
        <v>0</v>
      </c>
      <c r="BG211" s="325">
        <f>IF(N211="zákl. přenesená",J211,0)</f>
        <v>0</v>
      </c>
      <c r="BH211" s="325">
        <f>IF(N211="sníž. přenesená",J211,0)</f>
        <v>0</v>
      </c>
      <c r="BI211" s="325">
        <f>IF(N211="nulová",J211,0)</f>
        <v>0</v>
      </c>
      <c r="BJ211" s="214" t="s">
        <v>81</v>
      </c>
      <c r="BK211" s="325">
        <f>ROUND(I211*H211,2)</f>
        <v>0</v>
      </c>
      <c r="BL211" s="214" t="s">
        <v>212</v>
      </c>
      <c r="BM211" s="324" t="s">
        <v>1731</v>
      </c>
    </row>
    <row r="212" spans="2:51" s="326" customFormat="1" ht="33.75">
      <c r="B212" s="327"/>
      <c r="D212" s="328" t="s">
        <v>155</v>
      </c>
      <c r="E212" s="329" t="s">
        <v>1</v>
      </c>
      <c r="F212" s="330" t="s">
        <v>1725</v>
      </c>
      <c r="H212" s="329" t="s">
        <v>1</v>
      </c>
      <c r="I212" s="497"/>
      <c r="L212" s="327"/>
      <c r="M212" s="332"/>
      <c r="N212" s="333"/>
      <c r="O212" s="333"/>
      <c r="P212" s="333"/>
      <c r="Q212" s="333"/>
      <c r="R212" s="333"/>
      <c r="S212" s="333"/>
      <c r="T212" s="334"/>
      <c r="AT212" s="329" t="s">
        <v>155</v>
      </c>
      <c r="AU212" s="329" t="s">
        <v>83</v>
      </c>
      <c r="AV212" s="326" t="s">
        <v>81</v>
      </c>
      <c r="AW212" s="326" t="s">
        <v>34</v>
      </c>
      <c r="AX212" s="326" t="s">
        <v>76</v>
      </c>
      <c r="AY212" s="329" t="s">
        <v>146</v>
      </c>
    </row>
    <row r="213" spans="2:51" s="326" customFormat="1" ht="12">
      <c r="B213" s="327"/>
      <c r="D213" s="328" t="s">
        <v>155</v>
      </c>
      <c r="E213" s="329" t="s">
        <v>1</v>
      </c>
      <c r="F213" s="330" t="s">
        <v>1726</v>
      </c>
      <c r="H213" s="329" t="s">
        <v>1</v>
      </c>
      <c r="I213" s="497"/>
      <c r="L213" s="327"/>
      <c r="M213" s="332"/>
      <c r="N213" s="333"/>
      <c r="O213" s="333"/>
      <c r="P213" s="333"/>
      <c r="Q213" s="333"/>
      <c r="R213" s="333"/>
      <c r="S213" s="333"/>
      <c r="T213" s="334"/>
      <c r="AT213" s="329" t="s">
        <v>155</v>
      </c>
      <c r="AU213" s="329" t="s">
        <v>83</v>
      </c>
      <c r="AV213" s="326" t="s">
        <v>81</v>
      </c>
      <c r="AW213" s="326" t="s">
        <v>34</v>
      </c>
      <c r="AX213" s="326" t="s">
        <v>76</v>
      </c>
      <c r="AY213" s="329" t="s">
        <v>146</v>
      </c>
    </row>
    <row r="214" spans="2:51" s="326" customFormat="1" ht="12">
      <c r="B214" s="327"/>
      <c r="D214" s="328" t="s">
        <v>155</v>
      </c>
      <c r="E214" s="329" t="s">
        <v>1</v>
      </c>
      <c r="F214" s="330" t="s">
        <v>304</v>
      </c>
      <c r="H214" s="329" t="s">
        <v>1</v>
      </c>
      <c r="I214" s="497"/>
      <c r="L214" s="327"/>
      <c r="M214" s="332"/>
      <c r="N214" s="333"/>
      <c r="O214" s="333"/>
      <c r="P214" s="333"/>
      <c r="Q214" s="333"/>
      <c r="R214" s="333"/>
      <c r="S214" s="333"/>
      <c r="T214" s="334"/>
      <c r="AT214" s="329" t="s">
        <v>155</v>
      </c>
      <c r="AU214" s="329" t="s">
        <v>83</v>
      </c>
      <c r="AV214" s="326" t="s">
        <v>81</v>
      </c>
      <c r="AW214" s="326" t="s">
        <v>34</v>
      </c>
      <c r="AX214" s="326" t="s">
        <v>76</v>
      </c>
      <c r="AY214" s="329" t="s">
        <v>146</v>
      </c>
    </row>
    <row r="215" spans="2:51" s="335" customFormat="1" ht="12">
      <c r="B215" s="336"/>
      <c r="D215" s="328" t="s">
        <v>155</v>
      </c>
      <c r="E215" s="337" t="s">
        <v>1</v>
      </c>
      <c r="F215" s="338" t="s">
        <v>181</v>
      </c>
      <c r="H215" s="339">
        <v>6</v>
      </c>
      <c r="I215" s="498"/>
      <c r="L215" s="336"/>
      <c r="M215" s="341"/>
      <c r="N215" s="342"/>
      <c r="O215" s="342"/>
      <c r="P215" s="342"/>
      <c r="Q215" s="342"/>
      <c r="R215" s="342"/>
      <c r="S215" s="342"/>
      <c r="T215" s="343"/>
      <c r="AT215" s="337" t="s">
        <v>155</v>
      </c>
      <c r="AU215" s="337" t="s">
        <v>83</v>
      </c>
      <c r="AV215" s="335" t="s">
        <v>83</v>
      </c>
      <c r="AW215" s="335" t="s">
        <v>34</v>
      </c>
      <c r="AX215" s="335" t="s">
        <v>81</v>
      </c>
      <c r="AY215" s="337" t="s">
        <v>146</v>
      </c>
    </row>
    <row r="216" spans="1:65" s="225" customFormat="1" ht="24.2" customHeight="1">
      <c r="A216" s="222"/>
      <c r="B216" s="223"/>
      <c r="C216" s="358" t="s">
        <v>207</v>
      </c>
      <c r="D216" s="358" t="s">
        <v>208</v>
      </c>
      <c r="E216" s="359" t="s">
        <v>1732</v>
      </c>
      <c r="F216" s="364" t="s">
        <v>1733</v>
      </c>
      <c r="G216" s="361" t="s">
        <v>301</v>
      </c>
      <c r="H216" s="362">
        <v>2</v>
      </c>
      <c r="I216" s="80"/>
      <c r="J216" s="363">
        <f>ROUND(I216*H216,2)</f>
        <v>0</v>
      </c>
      <c r="K216" s="364"/>
      <c r="L216" s="675"/>
      <c r="M216" s="366" t="s">
        <v>1</v>
      </c>
      <c r="N216" s="367" t="s">
        <v>42</v>
      </c>
      <c r="O216" s="322">
        <v>0</v>
      </c>
      <c r="P216" s="322">
        <f>O216*H216</f>
        <v>0</v>
      </c>
      <c r="Q216" s="322">
        <v>0.0006</v>
      </c>
      <c r="R216" s="322">
        <f>Q216*H216</f>
        <v>0.0012</v>
      </c>
      <c r="S216" s="322">
        <v>0</v>
      </c>
      <c r="T216" s="323">
        <f>S216*H216</f>
        <v>0</v>
      </c>
      <c r="U216" s="222"/>
      <c r="V216" s="222"/>
      <c r="W216" s="222"/>
      <c r="X216" s="222"/>
      <c r="Y216" s="222"/>
      <c r="Z216" s="222"/>
      <c r="AA216" s="222"/>
      <c r="AB216" s="222"/>
      <c r="AC216" s="222"/>
      <c r="AD216" s="222"/>
      <c r="AE216" s="222"/>
      <c r="AR216" s="324" t="s">
        <v>298</v>
      </c>
      <c r="AT216" s="324" t="s">
        <v>208</v>
      </c>
      <c r="AU216" s="324" t="s">
        <v>83</v>
      </c>
      <c r="AY216" s="214" t="s">
        <v>146</v>
      </c>
      <c r="BE216" s="325">
        <f>IF(N216="základní",J216,0)</f>
        <v>0</v>
      </c>
      <c r="BF216" s="325">
        <f>IF(N216="snížená",J216,0)</f>
        <v>0</v>
      </c>
      <c r="BG216" s="325">
        <f>IF(N216="zákl. přenesená",J216,0)</f>
        <v>0</v>
      </c>
      <c r="BH216" s="325">
        <f>IF(N216="sníž. přenesená",J216,0)</f>
        <v>0</v>
      </c>
      <c r="BI216" s="325">
        <f>IF(N216="nulová",J216,0)</f>
        <v>0</v>
      </c>
      <c r="BJ216" s="214" t="s">
        <v>81</v>
      </c>
      <c r="BK216" s="325">
        <f>ROUND(I216*H216,2)</f>
        <v>0</v>
      </c>
      <c r="BL216" s="214" t="s">
        <v>212</v>
      </c>
      <c r="BM216" s="324" t="s">
        <v>1734</v>
      </c>
    </row>
    <row r="217" spans="2:51" s="326" customFormat="1" ht="33.75">
      <c r="B217" s="327"/>
      <c r="D217" s="328" t="s">
        <v>155</v>
      </c>
      <c r="E217" s="329" t="s">
        <v>1</v>
      </c>
      <c r="F217" s="330" t="s">
        <v>1727</v>
      </c>
      <c r="H217" s="329" t="s">
        <v>1</v>
      </c>
      <c r="I217" s="497"/>
      <c r="L217" s="327"/>
      <c r="M217" s="332"/>
      <c r="N217" s="333"/>
      <c r="O217" s="333"/>
      <c r="P217" s="333"/>
      <c r="Q217" s="333"/>
      <c r="R217" s="333"/>
      <c r="S217" s="333"/>
      <c r="T217" s="334"/>
      <c r="AT217" s="329" t="s">
        <v>155</v>
      </c>
      <c r="AU217" s="329" t="s">
        <v>83</v>
      </c>
      <c r="AV217" s="326" t="s">
        <v>81</v>
      </c>
      <c r="AW217" s="326" t="s">
        <v>34</v>
      </c>
      <c r="AX217" s="326" t="s">
        <v>76</v>
      </c>
      <c r="AY217" s="329" t="s">
        <v>146</v>
      </c>
    </row>
    <row r="218" spans="2:51" s="326" customFormat="1" ht="12">
      <c r="B218" s="327"/>
      <c r="D218" s="328" t="s">
        <v>155</v>
      </c>
      <c r="E218" s="329" t="s">
        <v>1</v>
      </c>
      <c r="F218" s="330" t="s">
        <v>1728</v>
      </c>
      <c r="H218" s="329" t="s">
        <v>1</v>
      </c>
      <c r="I218" s="497"/>
      <c r="L218" s="327"/>
      <c r="M218" s="332"/>
      <c r="N218" s="333"/>
      <c r="O218" s="333"/>
      <c r="P218" s="333"/>
      <c r="Q218" s="333"/>
      <c r="R218" s="333"/>
      <c r="S218" s="333"/>
      <c r="T218" s="334"/>
      <c r="AT218" s="329" t="s">
        <v>155</v>
      </c>
      <c r="AU218" s="329" t="s">
        <v>83</v>
      </c>
      <c r="AV218" s="326" t="s">
        <v>81</v>
      </c>
      <c r="AW218" s="326" t="s">
        <v>34</v>
      </c>
      <c r="AX218" s="326" t="s">
        <v>76</v>
      </c>
      <c r="AY218" s="329" t="s">
        <v>146</v>
      </c>
    </row>
    <row r="219" spans="2:51" s="326" customFormat="1" ht="12">
      <c r="B219" s="327"/>
      <c r="D219" s="328" t="s">
        <v>155</v>
      </c>
      <c r="E219" s="329" t="s">
        <v>1</v>
      </c>
      <c r="F219" s="330" t="s">
        <v>309</v>
      </c>
      <c r="H219" s="329" t="s">
        <v>1</v>
      </c>
      <c r="I219" s="497"/>
      <c r="L219" s="327"/>
      <c r="M219" s="332"/>
      <c r="N219" s="333"/>
      <c r="O219" s="333"/>
      <c r="P219" s="333"/>
      <c r="Q219" s="333"/>
      <c r="R219" s="333"/>
      <c r="S219" s="333"/>
      <c r="T219" s="334"/>
      <c r="AT219" s="329" t="s">
        <v>155</v>
      </c>
      <c r="AU219" s="329" t="s">
        <v>83</v>
      </c>
      <c r="AV219" s="326" t="s">
        <v>81</v>
      </c>
      <c r="AW219" s="326" t="s">
        <v>34</v>
      </c>
      <c r="AX219" s="326" t="s">
        <v>76</v>
      </c>
      <c r="AY219" s="329" t="s">
        <v>146</v>
      </c>
    </row>
    <row r="220" spans="2:51" s="335" customFormat="1" ht="12">
      <c r="B220" s="336"/>
      <c r="D220" s="328" t="s">
        <v>155</v>
      </c>
      <c r="E220" s="337" t="s">
        <v>1</v>
      </c>
      <c r="F220" s="338" t="s">
        <v>83</v>
      </c>
      <c r="H220" s="339">
        <v>2</v>
      </c>
      <c r="I220" s="498"/>
      <c r="L220" s="336"/>
      <c r="M220" s="341"/>
      <c r="N220" s="342"/>
      <c r="O220" s="342"/>
      <c r="P220" s="342"/>
      <c r="Q220" s="342"/>
      <c r="R220" s="342"/>
      <c r="S220" s="342"/>
      <c r="T220" s="343"/>
      <c r="AT220" s="337" t="s">
        <v>155</v>
      </c>
      <c r="AU220" s="337" t="s">
        <v>83</v>
      </c>
      <c r="AV220" s="335" t="s">
        <v>83</v>
      </c>
      <c r="AW220" s="335" t="s">
        <v>34</v>
      </c>
      <c r="AX220" s="335" t="s">
        <v>81</v>
      </c>
      <c r="AY220" s="337" t="s">
        <v>146</v>
      </c>
    </row>
    <row r="221" spans="1:65" s="225" customFormat="1" ht="37.9" customHeight="1">
      <c r="A221" s="222"/>
      <c r="B221" s="223"/>
      <c r="C221" s="314" t="s">
        <v>209</v>
      </c>
      <c r="D221" s="314" t="s">
        <v>148</v>
      </c>
      <c r="E221" s="315" t="s">
        <v>1735</v>
      </c>
      <c r="F221" s="316" t="s">
        <v>1736</v>
      </c>
      <c r="G221" s="317" t="s">
        <v>301</v>
      </c>
      <c r="H221" s="318">
        <v>4</v>
      </c>
      <c r="I221" s="79"/>
      <c r="J221" s="319">
        <f>ROUND(I221*H221,2)</f>
        <v>0</v>
      </c>
      <c r="K221" s="316"/>
      <c r="L221" s="223"/>
      <c r="M221" s="320" t="s">
        <v>1</v>
      </c>
      <c r="N221" s="321" t="s">
        <v>42</v>
      </c>
      <c r="O221" s="322">
        <v>0.263</v>
      </c>
      <c r="P221" s="322">
        <f>O221*H221</f>
        <v>1.052</v>
      </c>
      <c r="Q221" s="322">
        <v>0</v>
      </c>
      <c r="R221" s="322">
        <f>Q221*H221</f>
        <v>0</v>
      </c>
      <c r="S221" s="322">
        <v>0</v>
      </c>
      <c r="T221" s="323">
        <f>S221*H221</f>
        <v>0</v>
      </c>
      <c r="U221" s="222"/>
      <c r="V221" s="222"/>
      <c r="W221" s="222"/>
      <c r="X221" s="222"/>
      <c r="Y221" s="222"/>
      <c r="Z221" s="222"/>
      <c r="AA221" s="222"/>
      <c r="AB221" s="222"/>
      <c r="AC221" s="222"/>
      <c r="AD221" s="222"/>
      <c r="AE221" s="222"/>
      <c r="AR221" s="324" t="s">
        <v>212</v>
      </c>
      <c r="AT221" s="324" t="s">
        <v>148</v>
      </c>
      <c r="AU221" s="324" t="s">
        <v>83</v>
      </c>
      <c r="AY221" s="214" t="s">
        <v>146</v>
      </c>
      <c r="BE221" s="325">
        <f>IF(N221="základní",J221,0)</f>
        <v>0</v>
      </c>
      <c r="BF221" s="325">
        <f>IF(N221="snížená",J221,0)</f>
        <v>0</v>
      </c>
      <c r="BG221" s="325">
        <f>IF(N221="zákl. přenesená",J221,0)</f>
        <v>0</v>
      </c>
      <c r="BH221" s="325">
        <f>IF(N221="sníž. přenesená",J221,0)</f>
        <v>0</v>
      </c>
      <c r="BI221" s="325">
        <f>IF(N221="nulová",J221,0)</f>
        <v>0</v>
      </c>
      <c r="BJ221" s="214" t="s">
        <v>81</v>
      </c>
      <c r="BK221" s="325">
        <f>ROUND(I221*H221,2)</f>
        <v>0</v>
      </c>
      <c r="BL221" s="214" t="s">
        <v>212</v>
      </c>
      <c r="BM221" s="324" t="s">
        <v>1737</v>
      </c>
    </row>
    <row r="222" spans="2:51" s="326" customFormat="1" ht="22.5">
      <c r="B222" s="327"/>
      <c r="D222" s="328" t="s">
        <v>155</v>
      </c>
      <c r="E222" s="329" t="s">
        <v>1</v>
      </c>
      <c r="F222" s="330" t="s">
        <v>1738</v>
      </c>
      <c r="H222" s="329" t="s">
        <v>1</v>
      </c>
      <c r="I222" s="497"/>
      <c r="L222" s="327"/>
      <c r="M222" s="332"/>
      <c r="N222" s="333"/>
      <c r="O222" s="333"/>
      <c r="P222" s="333"/>
      <c r="Q222" s="333"/>
      <c r="R222" s="333"/>
      <c r="S222" s="333"/>
      <c r="T222" s="334"/>
      <c r="AT222" s="329" t="s">
        <v>155</v>
      </c>
      <c r="AU222" s="329" t="s">
        <v>83</v>
      </c>
      <c r="AV222" s="326" t="s">
        <v>81</v>
      </c>
      <c r="AW222" s="326" t="s">
        <v>34</v>
      </c>
      <c r="AX222" s="326" t="s">
        <v>76</v>
      </c>
      <c r="AY222" s="329" t="s">
        <v>146</v>
      </c>
    </row>
    <row r="223" spans="2:51" s="326" customFormat="1" ht="12">
      <c r="B223" s="327"/>
      <c r="D223" s="328" t="s">
        <v>155</v>
      </c>
      <c r="E223" s="329" t="s">
        <v>1</v>
      </c>
      <c r="F223" s="330" t="s">
        <v>1739</v>
      </c>
      <c r="H223" s="329" t="s">
        <v>1</v>
      </c>
      <c r="I223" s="497"/>
      <c r="L223" s="327"/>
      <c r="M223" s="332"/>
      <c r="N223" s="333"/>
      <c r="O223" s="333"/>
      <c r="P223" s="333"/>
      <c r="Q223" s="333"/>
      <c r="R223" s="333"/>
      <c r="S223" s="333"/>
      <c r="T223" s="334"/>
      <c r="AT223" s="329" t="s">
        <v>155</v>
      </c>
      <c r="AU223" s="329" t="s">
        <v>83</v>
      </c>
      <c r="AV223" s="326" t="s">
        <v>81</v>
      </c>
      <c r="AW223" s="326" t="s">
        <v>34</v>
      </c>
      <c r="AX223" s="326" t="s">
        <v>76</v>
      </c>
      <c r="AY223" s="329" t="s">
        <v>146</v>
      </c>
    </row>
    <row r="224" spans="2:51" s="326" customFormat="1" ht="12">
      <c r="B224" s="327"/>
      <c r="D224" s="328" t="s">
        <v>155</v>
      </c>
      <c r="E224" s="329" t="s">
        <v>1</v>
      </c>
      <c r="F224" s="330" t="s">
        <v>304</v>
      </c>
      <c r="H224" s="329" t="s">
        <v>1</v>
      </c>
      <c r="I224" s="497"/>
      <c r="L224" s="327"/>
      <c r="M224" s="332"/>
      <c r="N224" s="333"/>
      <c r="O224" s="333"/>
      <c r="P224" s="333"/>
      <c r="Q224" s="333"/>
      <c r="R224" s="333"/>
      <c r="S224" s="333"/>
      <c r="T224" s="334"/>
      <c r="AT224" s="329" t="s">
        <v>155</v>
      </c>
      <c r="AU224" s="329" t="s">
        <v>83</v>
      </c>
      <c r="AV224" s="326" t="s">
        <v>81</v>
      </c>
      <c r="AW224" s="326" t="s">
        <v>34</v>
      </c>
      <c r="AX224" s="326" t="s">
        <v>76</v>
      </c>
      <c r="AY224" s="329" t="s">
        <v>146</v>
      </c>
    </row>
    <row r="225" spans="2:51" s="335" customFormat="1" ht="12">
      <c r="B225" s="336"/>
      <c r="D225" s="328" t="s">
        <v>155</v>
      </c>
      <c r="E225" s="337" t="s">
        <v>1</v>
      </c>
      <c r="F225" s="338" t="s">
        <v>153</v>
      </c>
      <c r="H225" s="339">
        <v>4</v>
      </c>
      <c r="I225" s="498"/>
      <c r="L225" s="336"/>
      <c r="M225" s="341"/>
      <c r="N225" s="342"/>
      <c r="O225" s="342"/>
      <c r="P225" s="342"/>
      <c r="Q225" s="342"/>
      <c r="R225" s="342"/>
      <c r="S225" s="342"/>
      <c r="T225" s="343"/>
      <c r="AT225" s="337" t="s">
        <v>155</v>
      </c>
      <c r="AU225" s="337" t="s">
        <v>83</v>
      </c>
      <c r="AV225" s="335" t="s">
        <v>83</v>
      </c>
      <c r="AW225" s="335" t="s">
        <v>34</v>
      </c>
      <c r="AX225" s="335" t="s">
        <v>81</v>
      </c>
      <c r="AY225" s="337" t="s">
        <v>146</v>
      </c>
    </row>
    <row r="226" spans="1:65" s="225" customFormat="1" ht="16.5" customHeight="1">
      <c r="A226" s="222"/>
      <c r="B226" s="223"/>
      <c r="C226" s="358" t="s">
        <v>8</v>
      </c>
      <c r="D226" s="358" t="s">
        <v>208</v>
      </c>
      <c r="E226" s="359" t="s">
        <v>1740</v>
      </c>
      <c r="F226" s="364" t="s">
        <v>1741</v>
      </c>
      <c r="G226" s="361" t="s">
        <v>301</v>
      </c>
      <c r="H226" s="362">
        <v>4</v>
      </c>
      <c r="I226" s="80"/>
      <c r="J226" s="363">
        <f>ROUND(I226*H226,2)</f>
        <v>0</v>
      </c>
      <c r="K226" s="364"/>
      <c r="L226" s="675"/>
      <c r="M226" s="366" t="s">
        <v>1</v>
      </c>
      <c r="N226" s="367" t="s">
        <v>42</v>
      </c>
      <c r="O226" s="322">
        <v>0</v>
      </c>
      <c r="P226" s="322">
        <f>O226*H226</f>
        <v>0</v>
      </c>
      <c r="Q226" s="322">
        <v>0.0004</v>
      </c>
      <c r="R226" s="322">
        <f>Q226*H226</f>
        <v>0.0016</v>
      </c>
      <c r="S226" s="322">
        <v>0</v>
      </c>
      <c r="T226" s="323">
        <f>S226*H226</f>
        <v>0</v>
      </c>
      <c r="U226" s="222"/>
      <c r="V226" s="222"/>
      <c r="W226" s="222"/>
      <c r="X226" s="222"/>
      <c r="Y226" s="222"/>
      <c r="Z226" s="222"/>
      <c r="AA226" s="222"/>
      <c r="AB226" s="222"/>
      <c r="AC226" s="222"/>
      <c r="AD226" s="222"/>
      <c r="AE226" s="222"/>
      <c r="AR226" s="324" t="s">
        <v>298</v>
      </c>
      <c r="AT226" s="324" t="s">
        <v>208</v>
      </c>
      <c r="AU226" s="324" t="s">
        <v>83</v>
      </c>
      <c r="AY226" s="214" t="s">
        <v>146</v>
      </c>
      <c r="BE226" s="325">
        <f>IF(N226="základní",J226,0)</f>
        <v>0</v>
      </c>
      <c r="BF226" s="325">
        <f>IF(N226="snížená",J226,0)</f>
        <v>0</v>
      </c>
      <c r="BG226" s="325">
        <f>IF(N226="zákl. přenesená",J226,0)</f>
        <v>0</v>
      </c>
      <c r="BH226" s="325">
        <f>IF(N226="sníž. přenesená",J226,0)</f>
        <v>0</v>
      </c>
      <c r="BI226" s="325">
        <f>IF(N226="nulová",J226,0)</f>
        <v>0</v>
      </c>
      <c r="BJ226" s="214" t="s">
        <v>81</v>
      </c>
      <c r="BK226" s="325">
        <f>ROUND(I226*H226,2)</f>
        <v>0</v>
      </c>
      <c r="BL226" s="214" t="s">
        <v>212</v>
      </c>
      <c r="BM226" s="324" t="s">
        <v>1742</v>
      </c>
    </row>
    <row r="227" spans="1:65" s="225" customFormat="1" ht="33" customHeight="1">
      <c r="A227" s="222"/>
      <c r="B227" s="223"/>
      <c r="C227" s="314" t="s">
        <v>212</v>
      </c>
      <c r="D227" s="314" t="s">
        <v>148</v>
      </c>
      <c r="E227" s="315" t="s">
        <v>1743</v>
      </c>
      <c r="F227" s="316" t="s">
        <v>1744</v>
      </c>
      <c r="G227" s="317" t="s">
        <v>301</v>
      </c>
      <c r="H227" s="318">
        <v>6</v>
      </c>
      <c r="I227" s="79"/>
      <c r="J227" s="319">
        <f>ROUND(I227*H227,2)</f>
        <v>0</v>
      </c>
      <c r="K227" s="316"/>
      <c r="L227" s="223"/>
      <c r="M227" s="320" t="s">
        <v>1</v>
      </c>
      <c r="N227" s="321" t="s">
        <v>42</v>
      </c>
      <c r="O227" s="322">
        <v>0.438</v>
      </c>
      <c r="P227" s="322">
        <f>O227*H227</f>
        <v>2.628</v>
      </c>
      <c r="Q227" s="322">
        <v>0</v>
      </c>
      <c r="R227" s="322">
        <f>Q227*H227</f>
        <v>0</v>
      </c>
      <c r="S227" s="322">
        <v>0</v>
      </c>
      <c r="T227" s="323">
        <f>S227*H227</f>
        <v>0</v>
      </c>
      <c r="U227" s="222"/>
      <c r="V227" s="222"/>
      <c r="W227" s="222"/>
      <c r="X227" s="222"/>
      <c r="Y227" s="222"/>
      <c r="Z227" s="222"/>
      <c r="AA227" s="222"/>
      <c r="AB227" s="222"/>
      <c r="AC227" s="222"/>
      <c r="AD227" s="222"/>
      <c r="AE227" s="222"/>
      <c r="AR227" s="324" t="s">
        <v>212</v>
      </c>
      <c r="AT227" s="324" t="s">
        <v>148</v>
      </c>
      <c r="AU227" s="324" t="s">
        <v>83</v>
      </c>
      <c r="AY227" s="214" t="s">
        <v>146</v>
      </c>
      <c r="BE227" s="325">
        <f>IF(N227="základní",J227,0)</f>
        <v>0</v>
      </c>
      <c r="BF227" s="325">
        <f>IF(N227="snížená",J227,0)</f>
        <v>0</v>
      </c>
      <c r="BG227" s="325">
        <f>IF(N227="zákl. přenesená",J227,0)</f>
        <v>0</v>
      </c>
      <c r="BH227" s="325">
        <f>IF(N227="sníž. přenesená",J227,0)</f>
        <v>0</v>
      </c>
      <c r="BI227" s="325">
        <f>IF(N227="nulová",J227,0)</f>
        <v>0</v>
      </c>
      <c r="BJ227" s="214" t="s">
        <v>81</v>
      </c>
      <c r="BK227" s="325">
        <f>ROUND(I227*H227,2)</f>
        <v>0</v>
      </c>
      <c r="BL227" s="214" t="s">
        <v>212</v>
      </c>
      <c r="BM227" s="324" t="s">
        <v>1745</v>
      </c>
    </row>
    <row r="228" spans="2:51" s="326" customFormat="1" ht="22.5">
      <c r="B228" s="327"/>
      <c r="D228" s="328" t="s">
        <v>155</v>
      </c>
      <c r="E228" s="329" t="s">
        <v>1</v>
      </c>
      <c r="F228" s="330" t="s">
        <v>1746</v>
      </c>
      <c r="H228" s="329" t="s">
        <v>1</v>
      </c>
      <c r="I228" s="497"/>
      <c r="L228" s="327"/>
      <c r="M228" s="332"/>
      <c r="N228" s="333"/>
      <c r="O228" s="333"/>
      <c r="P228" s="333"/>
      <c r="Q228" s="333"/>
      <c r="R228" s="333"/>
      <c r="S228" s="333"/>
      <c r="T228" s="334"/>
      <c r="AT228" s="329" t="s">
        <v>155</v>
      </c>
      <c r="AU228" s="329" t="s">
        <v>83</v>
      </c>
      <c r="AV228" s="326" t="s">
        <v>81</v>
      </c>
      <c r="AW228" s="326" t="s">
        <v>34</v>
      </c>
      <c r="AX228" s="326" t="s">
        <v>76</v>
      </c>
      <c r="AY228" s="329" t="s">
        <v>146</v>
      </c>
    </row>
    <row r="229" spans="2:51" s="326" customFormat="1" ht="12">
      <c r="B229" s="327"/>
      <c r="D229" s="328" t="s">
        <v>155</v>
      </c>
      <c r="E229" s="329" t="s">
        <v>1</v>
      </c>
      <c r="F229" s="330" t="s">
        <v>1747</v>
      </c>
      <c r="H229" s="329" t="s">
        <v>1</v>
      </c>
      <c r="I229" s="497"/>
      <c r="L229" s="327"/>
      <c r="M229" s="332"/>
      <c r="N229" s="333"/>
      <c r="O229" s="333"/>
      <c r="P229" s="333"/>
      <c r="Q229" s="333"/>
      <c r="R229" s="333"/>
      <c r="S229" s="333"/>
      <c r="T229" s="334"/>
      <c r="AT229" s="329" t="s">
        <v>155</v>
      </c>
      <c r="AU229" s="329" t="s">
        <v>83</v>
      </c>
      <c r="AV229" s="326" t="s">
        <v>81</v>
      </c>
      <c r="AW229" s="326" t="s">
        <v>34</v>
      </c>
      <c r="AX229" s="326" t="s">
        <v>76</v>
      </c>
      <c r="AY229" s="329" t="s">
        <v>146</v>
      </c>
    </row>
    <row r="230" spans="2:51" s="326" customFormat="1" ht="12">
      <c r="B230" s="327"/>
      <c r="D230" s="328" t="s">
        <v>155</v>
      </c>
      <c r="E230" s="329" t="s">
        <v>1</v>
      </c>
      <c r="F230" s="330" t="s">
        <v>304</v>
      </c>
      <c r="H230" s="329" t="s">
        <v>1</v>
      </c>
      <c r="I230" s="497"/>
      <c r="L230" s="327"/>
      <c r="M230" s="332"/>
      <c r="N230" s="333"/>
      <c r="O230" s="333"/>
      <c r="P230" s="333"/>
      <c r="Q230" s="333"/>
      <c r="R230" s="333"/>
      <c r="S230" s="333"/>
      <c r="T230" s="334"/>
      <c r="AT230" s="329" t="s">
        <v>155</v>
      </c>
      <c r="AU230" s="329" t="s">
        <v>83</v>
      </c>
      <c r="AV230" s="326" t="s">
        <v>81</v>
      </c>
      <c r="AW230" s="326" t="s">
        <v>34</v>
      </c>
      <c r="AX230" s="326" t="s">
        <v>76</v>
      </c>
      <c r="AY230" s="329" t="s">
        <v>146</v>
      </c>
    </row>
    <row r="231" spans="2:51" s="335" customFormat="1" ht="12">
      <c r="B231" s="336"/>
      <c r="D231" s="328" t="s">
        <v>155</v>
      </c>
      <c r="E231" s="337" t="s">
        <v>1</v>
      </c>
      <c r="F231" s="338" t="s">
        <v>81</v>
      </c>
      <c r="H231" s="339">
        <v>1</v>
      </c>
      <c r="I231" s="498"/>
      <c r="L231" s="336"/>
      <c r="M231" s="341"/>
      <c r="N231" s="342"/>
      <c r="O231" s="342"/>
      <c r="P231" s="342"/>
      <c r="Q231" s="342"/>
      <c r="R231" s="342"/>
      <c r="S231" s="342"/>
      <c r="T231" s="343"/>
      <c r="AT231" s="337" t="s">
        <v>155</v>
      </c>
      <c r="AU231" s="337" t="s">
        <v>83</v>
      </c>
      <c r="AV231" s="335" t="s">
        <v>83</v>
      </c>
      <c r="AW231" s="335" t="s">
        <v>34</v>
      </c>
      <c r="AX231" s="335" t="s">
        <v>76</v>
      </c>
      <c r="AY231" s="337" t="s">
        <v>146</v>
      </c>
    </row>
    <row r="232" spans="2:51" s="326" customFormat="1" ht="12">
      <c r="B232" s="327"/>
      <c r="D232" s="328" t="s">
        <v>155</v>
      </c>
      <c r="E232" s="329" t="s">
        <v>1</v>
      </c>
      <c r="F232" s="330" t="s">
        <v>309</v>
      </c>
      <c r="H232" s="329" t="s">
        <v>1</v>
      </c>
      <c r="I232" s="497"/>
      <c r="L232" s="327"/>
      <c r="M232" s="332"/>
      <c r="N232" s="333"/>
      <c r="O232" s="333"/>
      <c r="P232" s="333"/>
      <c r="Q232" s="333"/>
      <c r="R232" s="333"/>
      <c r="S232" s="333"/>
      <c r="T232" s="334"/>
      <c r="AT232" s="329" t="s">
        <v>155</v>
      </c>
      <c r="AU232" s="329" t="s">
        <v>83</v>
      </c>
      <c r="AV232" s="326" t="s">
        <v>81</v>
      </c>
      <c r="AW232" s="326" t="s">
        <v>34</v>
      </c>
      <c r="AX232" s="326" t="s">
        <v>76</v>
      </c>
      <c r="AY232" s="329" t="s">
        <v>146</v>
      </c>
    </row>
    <row r="233" spans="2:51" s="335" customFormat="1" ht="12">
      <c r="B233" s="336"/>
      <c r="D233" s="328" t="s">
        <v>155</v>
      </c>
      <c r="E233" s="337" t="s">
        <v>1</v>
      </c>
      <c r="F233" s="338" t="s">
        <v>83</v>
      </c>
      <c r="H233" s="339">
        <v>2</v>
      </c>
      <c r="I233" s="498"/>
      <c r="L233" s="336"/>
      <c r="M233" s="341"/>
      <c r="N233" s="342"/>
      <c r="O233" s="342"/>
      <c r="P233" s="342"/>
      <c r="Q233" s="342"/>
      <c r="R233" s="342"/>
      <c r="S233" s="342"/>
      <c r="T233" s="343"/>
      <c r="AT233" s="337" t="s">
        <v>155</v>
      </c>
      <c r="AU233" s="337" t="s">
        <v>83</v>
      </c>
      <c r="AV233" s="335" t="s">
        <v>83</v>
      </c>
      <c r="AW233" s="335" t="s">
        <v>34</v>
      </c>
      <c r="AX233" s="335" t="s">
        <v>76</v>
      </c>
      <c r="AY233" s="337" t="s">
        <v>146</v>
      </c>
    </row>
    <row r="234" spans="2:51" s="326" customFormat="1" ht="22.5">
      <c r="B234" s="327"/>
      <c r="D234" s="328" t="s">
        <v>155</v>
      </c>
      <c r="E234" s="329" t="s">
        <v>1</v>
      </c>
      <c r="F234" s="330" t="s">
        <v>1748</v>
      </c>
      <c r="H234" s="329" t="s">
        <v>1</v>
      </c>
      <c r="I234" s="497"/>
      <c r="L234" s="327"/>
      <c r="M234" s="332"/>
      <c r="N234" s="333"/>
      <c r="O234" s="333"/>
      <c r="P234" s="333"/>
      <c r="Q234" s="333"/>
      <c r="R234" s="333"/>
      <c r="S234" s="333"/>
      <c r="T234" s="334"/>
      <c r="AT234" s="329" t="s">
        <v>155</v>
      </c>
      <c r="AU234" s="329" t="s">
        <v>83</v>
      </c>
      <c r="AV234" s="326" t="s">
        <v>81</v>
      </c>
      <c r="AW234" s="326" t="s">
        <v>34</v>
      </c>
      <c r="AX234" s="326" t="s">
        <v>76</v>
      </c>
      <c r="AY234" s="329" t="s">
        <v>146</v>
      </c>
    </row>
    <row r="235" spans="2:51" s="326" customFormat="1" ht="12">
      <c r="B235" s="327"/>
      <c r="D235" s="328" t="s">
        <v>155</v>
      </c>
      <c r="E235" s="329" t="s">
        <v>1</v>
      </c>
      <c r="F235" s="330" t="s">
        <v>1749</v>
      </c>
      <c r="H235" s="329" t="s">
        <v>1</v>
      </c>
      <c r="I235" s="497"/>
      <c r="L235" s="327"/>
      <c r="M235" s="332"/>
      <c r="N235" s="333"/>
      <c r="O235" s="333"/>
      <c r="P235" s="333"/>
      <c r="Q235" s="333"/>
      <c r="R235" s="333"/>
      <c r="S235" s="333"/>
      <c r="T235" s="334"/>
      <c r="AT235" s="329" t="s">
        <v>155</v>
      </c>
      <c r="AU235" s="329" t="s">
        <v>83</v>
      </c>
      <c r="AV235" s="326" t="s">
        <v>81</v>
      </c>
      <c r="AW235" s="326" t="s">
        <v>34</v>
      </c>
      <c r="AX235" s="326" t="s">
        <v>76</v>
      </c>
      <c r="AY235" s="329" t="s">
        <v>146</v>
      </c>
    </row>
    <row r="236" spans="2:51" s="326" customFormat="1" ht="12">
      <c r="B236" s="327"/>
      <c r="D236" s="328" t="s">
        <v>155</v>
      </c>
      <c r="E236" s="329" t="s">
        <v>1</v>
      </c>
      <c r="F236" s="330" t="s">
        <v>304</v>
      </c>
      <c r="H236" s="329" t="s">
        <v>1</v>
      </c>
      <c r="I236" s="497"/>
      <c r="L236" s="327"/>
      <c r="M236" s="332"/>
      <c r="N236" s="333"/>
      <c r="O236" s="333"/>
      <c r="P236" s="333"/>
      <c r="Q236" s="333"/>
      <c r="R236" s="333"/>
      <c r="S236" s="333"/>
      <c r="T236" s="334"/>
      <c r="AT236" s="329" t="s">
        <v>155</v>
      </c>
      <c r="AU236" s="329" t="s">
        <v>83</v>
      </c>
      <c r="AV236" s="326" t="s">
        <v>81</v>
      </c>
      <c r="AW236" s="326" t="s">
        <v>34</v>
      </c>
      <c r="AX236" s="326" t="s">
        <v>76</v>
      </c>
      <c r="AY236" s="329" t="s">
        <v>146</v>
      </c>
    </row>
    <row r="237" spans="2:51" s="335" customFormat="1" ht="12">
      <c r="B237" s="336"/>
      <c r="D237" s="328" t="s">
        <v>155</v>
      </c>
      <c r="E237" s="337" t="s">
        <v>1</v>
      </c>
      <c r="F237" s="338" t="s">
        <v>159</v>
      </c>
      <c r="H237" s="339">
        <v>3</v>
      </c>
      <c r="I237" s="498"/>
      <c r="L237" s="336"/>
      <c r="M237" s="341"/>
      <c r="N237" s="342"/>
      <c r="O237" s="342"/>
      <c r="P237" s="342"/>
      <c r="Q237" s="342"/>
      <c r="R237" s="342"/>
      <c r="S237" s="342"/>
      <c r="T237" s="343"/>
      <c r="AT237" s="337" t="s">
        <v>155</v>
      </c>
      <c r="AU237" s="337" t="s">
        <v>83</v>
      </c>
      <c r="AV237" s="335" t="s">
        <v>83</v>
      </c>
      <c r="AW237" s="335" t="s">
        <v>34</v>
      </c>
      <c r="AX237" s="335" t="s">
        <v>76</v>
      </c>
      <c r="AY237" s="337" t="s">
        <v>146</v>
      </c>
    </row>
    <row r="238" spans="2:51" s="347" customFormat="1" ht="12">
      <c r="B238" s="348"/>
      <c r="D238" s="328" t="s">
        <v>155</v>
      </c>
      <c r="E238" s="349" t="s">
        <v>1</v>
      </c>
      <c r="F238" s="356" t="s">
        <v>157</v>
      </c>
      <c r="H238" s="351">
        <v>6</v>
      </c>
      <c r="I238" s="499"/>
      <c r="L238" s="348"/>
      <c r="M238" s="353"/>
      <c r="N238" s="354"/>
      <c r="O238" s="354"/>
      <c r="P238" s="354"/>
      <c r="Q238" s="354"/>
      <c r="R238" s="354"/>
      <c r="S238" s="354"/>
      <c r="T238" s="355"/>
      <c r="AT238" s="349" t="s">
        <v>155</v>
      </c>
      <c r="AU238" s="349" t="s">
        <v>83</v>
      </c>
      <c r="AV238" s="347" t="s">
        <v>153</v>
      </c>
      <c r="AW238" s="347" t="s">
        <v>34</v>
      </c>
      <c r="AX238" s="347" t="s">
        <v>81</v>
      </c>
      <c r="AY238" s="349" t="s">
        <v>146</v>
      </c>
    </row>
    <row r="239" spans="1:65" s="225" customFormat="1" ht="16.5" customHeight="1">
      <c r="A239" s="222"/>
      <c r="B239" s="223"/>
      <c r="C239" s="358" t="s">
        <v>213</v>
      </c>
      <c r="D239" s="358" t="s">
        <v>208</v>
      </c>
      <c r="E239" s="359" t="s">
        <v>1750</v>
      </c>
      <c r="F239" s="364" t="s">
        <v>1751</v>
      </c>
      <c r="G239" s="361" t="s">
        <v>301</v>
      </c>
      <c r="H239" s="362">
        <v>3</v>
      </c>
      <c r="I239" s="80"/>
      <c r="J239" s="363">
        <f>ROUND(I239*H239,2)</f>
        <v>0</v>
      </c>
      <c r="K239" s="364"/>
      <c r="L239" s="675"/>
      <c r="M239" s="366" t="s">
        <v>1</v>
      </c>
      <c r="N239" s="367" t="s">
        <v>42</v>
      </c>
      <c r="O239" s="322">
        <v>0</v>
      </c>
      <c r="P239" s="322">
        <f>O239*H239</f>
        <v>0</v>
      </c>
      <c r="Q239" s="322">
        <v>0.0006</v>
      </c>
      <c r="R239" s="322">
        <f>Q239*H239</f>
        <v>0.0018</v>
      </c>
      <c r="S239" s="322">
        <v>0</v>
      </c>
      <c r="T239" s="323">
        <f>S239*H239</f>
        <v>0</v>
      </c>
      <c r="U239" s="222"/>
      <c r="V239" s="222"/>
      <c r="W239" s="222"/>
      <c r="X239" s="222"/>
      <c r="Y239" s="222"/>
      <c r="Z239" s="222"/>
      <c r="AA239" s="222"/>
      <c r="AB239" s="222"/>
      <c r="AC239" s="222"/>
      <c r="AD239" s="222"/>
      <c r="AE239" s="222"/>
      <c r="AR239" s="324" t="s">
        <v>298</v>
      </c>
      <c r="AT239" s="324" t="s">
        <v>208</v>
      </c>
      <c r="AU239" s="324" t="s">
        <v>83</v>
      </c>
      <c r="AY239" s="214" t="s">
        <v>146</v>
      </c>
      <c r="BE239" s="325">
        <f>IF(N239="základní",J239,0)</f>
        <v>0</v>
      </c>
      <c r="BF239" s="325">
        <f>IF(N239="snížená",J239,0)</f>
        <v>0</v>
      </c>
      <c r="BG239" s="325">
        <f>IF(N239="zákl. přenesená",J239,0)</f>
        <v>0</v>
      </c>
      <c r="BH239" s="325">
        <f>IF(N239="sníž. přenesená",J239,0)</f>
        <v>0</v>
      </c>
      <c r="BI239" s="325">
        <f>IF(N239="nulová",J239,0)</f>
        <v>0</v>
      </c>
      <c r="BJ239" s="214" t="s">
        <v>81</v>
      </c>
      <c r="BK239" s="325">
        <f>ROUND(I239*H239,2)</f>
        <v>0</v>
      </c>
      <c r="BL239" s="214" t="s">
        <v>212</v>
      </c>
      <c r="BM239" s="324" t="s">
        <v>1752</v>
      </c>
    </row>
    <row r="240" spans="2:51" s="326" customFormat="1" ht="22.5">
      <c r="B240" s="327"/>
      <c r="D240" s="328" t="s">
        <v>155</v>
      </c>
      <c r="E240" s="329" t="s">
        <v>1</v>
      </c>
      <c r="F240" s="330" t="s">
        <v>1746</v>
      </c>
      <c r="H240" s="329" t="s">
        <v>1</v>
      </c>
      <c r="I240" s="497"/>
      <c r="L240" s="327"/>
      <c r="M240" s="332"/>
      <c r="N240" s="333"/>
      <c r="O240" s="333"/>
      <c r="P240" s="333"/>
      <c r="Q240" s="333"/>
      <c r="R240" s="333"/>
      <c r="S240" s="333"/>
      <c r="T240" s="334"/>
      <c r="AT240" s="329" t="s">
        <v>155</v>
      </c>
      <c r="AU240" s="329" t="s">
        <v>83</v>
      </c>
      <c r="AV240" s="326" t="s">
        <v>81</v>
      </c>
      <c r="AW240" s="326" t="s">
        <v>34</v>
      </c>
      <c r="AX240" s="326" t="s">
        <v>76</v>
      </c>
      <c r="AY240" s="329" t="s">
        <v>146</v>
      </c>
    </row>
    <row r="241" spans="2:51" s="326" customFormat="1" ht="12">
      <c r="B241" s="327"/>
      <c r="D241" s="328" t="s">
        <v>155</v>
      </c>
      <c r="E241" s="329" t="s">
        <v>1</v>
      </c>
      <c r="F241" s="330" t="s">
        <v>1747</v>
      </c>
      <c r="H241" s="329" t="s">
        <v>1</v>
      </c>
      <c r="I241" s="497"/>
      <c r="L241" s="327"/>
      <c r="M241" s="332"/>
      <c r="N241" s="333"/>
      <c r="O241" s="333"/>
      <c r="P241" s="333"/>
      <c r="Q241" s="333"/>
      <c r="R241" s="333"/>
      <c r="S241" s="333"/>
      <c r="T241" s="334"/>
      <c r="AT241" s="329" t="s">
        <v>155</v>
      </c>
      <c r="AU241" s="329" t="s">
        <v>83</v>
      </c>
      <c r="AV241" s="326" t="s">
        <v>81</v>
      </c>
      <c r="AW241" s="326" t="s">
        <v>34</v>
      </c>
      <c r="AX241" s="326" t="s">
        <v>76</v>
      </c>
      <c r="AY241" s="329" t="s">
        <v>146</v>
      </c>
    </row>
    <row r="242" spans="2:51" s="326" customFormat="1" ht="12">
      <c r="B242" s="327"/>
      <c r="D242" s="328" t="s">
        <v>155</v>
      </c>
      <c r="E242" s="329" t="s">
        <v>1</v>
      </c>
      <c r="F242" s="330" t="s">
        <v>304</v>
      </c>
      <c r="H242" s="329" t="s">
        <v>1</v>
      </c>
      <c r="I242" s="497"/>
      <c r="L242" s="327"/>
      <c r="M242" s="332"/>
      <c r="N242" s="333"/>
      <c r="O242" s="333"/>
      <c r="P242" s="333"/>
      <c r="Q242" s="333"/>
      <c r="R242" s="333"/>
      <c r="S242" s="333"/>
      <c r="T242" s="334"/>
      <c r="AT242" s="329" t="s">
        <v>155</v>
      </c>
      <c r="AU242" s="329" t="s">
        <v>83</v>
      </c>
      <c r="AV242" s="326" t="s">
        <v>81</v>
      </c>
      <c r="AW242" s="326" t="s">
        <v>34</v>
      </c>
      <c r="AX242" s="326" t="s">
        <v>76</v>
      </c>
      <c r="AY242" s="329" t="s">
        <v>146</v>
      </c>
    </row>
    <row r="243" spans="2:51" s="335" customFormat="1" ht="12">
      <c r="B243" s="336"/>
      <c r="D243" s="328" t="s">
        <v>155</v>
      </c>
      <c r="E243" s="337" t="s">
        <v>1</v>
      </c>
      <c r="F243" s="338" t="s">
        <v>81</v>
      </c>
      <c r="H243" s="339">
        <v>1</v>
      </c>
      <c r="I243" s="498"/>
      <c r="L243" s="336"/>
      <c r="M243" s="341"/>
      <c r="N243" s="342"/>
      <c r="O243" s="342"/>
      <c r="P243" s="342"/>
      <c r="Q243" s="342"/>
      <c r="R243" s="342"/>
      <c r="S243" s="342"/>
      <c r="T243" s="343"/>
      <c r="AT243" s="337" t="s">
        <v>155</v>
      </c>
      <c r="AU243" s="337" t="s">
        <v>83</v>
      </c>
      <c r="AV243" s="335" t="s">
        <v>83</v>
      </c>
      <c r="AW243" s="335" t="s">
        <v>34</v>
      </c>
      <c r="AX243" s="335" t="s">
        <v>76</v>
      </c>
      <c r="AY243" s="337" t="s">
        <v>146</v>
      </c>
    </row>
    <row r="244" spans="2:51" s="326" customFormat="1" ht="12">
      <c r="B244" s="327"/>
      <c r="D244" s="328" t="s">
        <v>155</v>
      </c>
      <c r="E244" s="329" t="s">
        <v>1</v>
      </c>
      <c r="F244" s="330" t="s">
        <v>309</v>
      </c>
      <c r="H244" s="329" t="s">
        <v>1</v>
      </c>
      <c r="I244" s="497"/>
      <c r="L244" s="327"/>
      <c r="M244" s="332"/>
      <c r="N244" s="333"/>
      <c r="O244" s="333"/>
      <c r="P244" s="333"/>
      <c r="Q244" s="333"/>
      <c r="R244" s="333"/>
      <c r="S244" s="333"/>
      <c r="T244" s="334"/>
      <c r="AT244" s="329" t="s">
        <v>155</v>
      </c>
      <c r="AU244" s="329" t="s">
        <v>83</v>
      </c>
      <c r="AV244" s="326" t="s">
        <v>81</v>
      </c>
      <c r="AW244" s="326" t="s">
        <v>34</v>
      </c>
      <c r="AX244" s="326" t="s">
        <v>76</v>
      </c>
      <c r="AY244" s="329" t="s">
        <v>146</v>
      </c>
    </row>
    <row r="245" spans="2:51" s="335" customFormat="1" ht="12">
      <c r="B245" s="336"/>
      <c r="D245" s="328" t="s">
        <v>155</v>
      </c>
      <c r="E245" s="337" t="s">
        <v>1</v>
      </c>
      <c r="F245" s="338" t="s">
        <v>83</v>
      </c>
      <c r="H245" s="339">
        <v>2</v>
      </c>
      <c r="I245" s="498"/>
      <c r="L245" s="336"/>
      <c r="M245" s="341"/>
      <c r="N245" s="342"/>
      <c r="O245" s="342"/>
      <c r="P245" s="342"/>
      <c r="Q245" s="342"/>
      <c r="R245" s="342"/>
      <c r="S245" s="342"/>
      <c r="T245" s="343"/>
      <c r="AT245" s="337" t="s">
        <v>155</v>
      </c>
      <c r="AU245" s="337" t="s">
        <v>83</v>
      </c>
      <c r="AV245" s="335" t="s">
        <v>83</v>
      </c>
      <c r="AW245" s="335" t="s">
        <v>34</v>
      </c>
      <c r="AX245" s="335" t="s">
        <v>76</v>
      </c>
      <c r="AY245" s="337" t="s">
        <v>146</v>
      </c>
    </row>
    <row r="246" spans="2:51" s="347" customFormat="1" ht="12">
      <c r="B246" s="348"/>
      <c r="D246" s="328" t="s">
        <v>155</v>
      </c>
      <c r="E246" s="349" t="s">
        <v>1</v>
      </c>
      <c r="F246" s="356" t="s">
        <v>157</v>
      </c>
      <c r="H246" s="351">
        <v>3</v>
      </c>
      <c r="I246" s="499"/>
      <c r="L246" s="348"/>
      <c r="M246" s="353"/>
      <c r="N246" s="354"/>
      <c r="O246" s="354"/>
      <c r="P246" s="354"/>
      <c r="Q246" s="354"/>
      <c r="R246" s="354"/>
      <c r="S246" s="354"/>
      <c r="T246" s="355"/>
      <c r="AT246" s="349" t="s">
        <v>155</v>
      </c>
      <c r="AU246" s="349" t="s">
        <v>83</v>
      </c>
      <c r="AV246" s="347" t="s">
        <v>153</v>
      </c>
      <c r="AW246" s="347" t="s">
        <v>34</v>
      </c>
      <c r="AX246" s="347" t="s">
        <v>81</v>
      </c>
      <c r="AY246" s="349" t="s">
        <v>146</v>
      </c>
    </row>
    <row r="247" spans="1:65" s="225" customFormat="1" ht="16.5" customHeight="1">
      <c r="A247" s="222"/>
      <c r="B247" s="223"/>
      <c r="C247" s="358" t="s">
        <v>217</v>
      </c>
      <c r="D247" s="358" t="s">
        <v>208</v>
      </c>
      <c r="E247" s="359" t="s">
        <v>1753</v>
      </c>
      <c r="F247" s="364" t="s">
        <v>1754</v>
      </c>
      <c r="G247" s="361" t="s">
        <v>301</v>
      </c>
      <c r="H247" s="362">
        <v>3</v>
      </c>
      <c r="I247" s="80"/>
      <c r="J247" s="363">
        <f>ROUND(I247*H247,2)</f>
        <v>0</v>
      </c>
      <c r="K247" s="364"/>
      <c r="L247" s="675"/>
      <c r="M247" s="366" t="s">
        <v>1</v>
      </c>
      <c r="N247" s="367" t="s">
        <v>42</v>
      </c>
      <c r="O247" s="322">
        <v>0</v>
      </c>
      <c r="P247" s="322">
        <f>O247*H247</f>
        <v>0</v>
      </c>
      <c r="Q247" s="322">
        <v>0.001</v>
      </c>
      <c r="R247" s="322">
        <f>Q247*H247</f>
        <v>0.003</v>
      </c>
      <c r="S247" s="322">
        <v>0</v>
      </c>
      <c r="T247" s="323">
        <f>S247*H247</f>
        <v>0</v>
      </c>
      <c r="U247" s="222"/>
      <c r="V247" s="222"/>
      <c r="W247" s="222"/>
      <c r="X247" s="222"/>
      <c r="Y247" s="222"/>
      <c r="Z247" s="222"/>
      <c r="AA247" s="222"/>
      <c r="AB247" s="222"/>
      <c r="AC247" s="222"/>
      <c r="AD247" s="222"/>
      <c r="AE247" s="222"/>
      <c r="AR247" s="324" t="s">
        <v>298</v>
      </c>
      <c r="AT247" s="324" t="s">
        <v>208</v>
      </c>
      <c r="AU247" s="324" t="s">
        <v>83</v>
      </c>
      <c r="AY247" s="214" t="s">
        <v>146</v>
      </c>
      <c r="BE247" s="325">
        <f>IF(N247="základní",J247,0)</f>
        <v>0</v>
      </c>
      <c r="BF247" s="325">
        <f>IF(N247="snížená",J247,0)</f>
        <v>0</v>
      </c>
      <c r="BG247" s="325">
        <f>IF(N247="zákl. přenesená",J247,0)</f>
        <v>0</v>
      </c>
      <c r="BH247" s="325">
        <f>IF(N247="sníž. přenesená",J247,0)</f>
        <v>0</v>
      </c>
      <c r="BI247" s="325">
        <f>IF(N247="nulová",J247,0)</f>
        <v>0</v>
      </c>
      <c r="BJ247" s="214" t="s">
        <v>81</v>
      </c>
      <c r="BK247" s="325">
        <f>ROUND(I247*H247,2)</f>
        <v>0</v>
      </c>
      <c r="BL247" s="214" t="s">
        <v>212</v>
      </c>
      <c r="BM247" s="324" t="s">
        <v>1755</v>
      </c>
    </row>
    <row r="248" spans="2:51" s="326" customFormat="1" ht="22.5">
      <c r="B248" s="327"/>
      <c r="D248" s="328" t="s">
        <v>155</v>
      </c>
      <c r="E248" s="329" t="s">
        <v>1</v>
      </c>
      <c r="F248" s="330" t="s">
        <v>1748</v>
      </c>
      <c r="H248" s="329" t="s">
        <v>1</v>
      </c>
      <c r="I248" s="497"/>
      <c r="L248" s="327"/>
      <c r="M248" s="332"/>
      <c r="N248" s="333"/>
      <c r="O248" s="333"/>
      <c r="P248" s="333"/>
      <c r="Q248" s="333"/>
      <c r="R248" s="333"/>
      <c r="S248" s="333"/>
      <c r="T248" s="334"/>
      <c r="AT248" s="329" t="s">
        <v>155</v>
      </c>
      <c r="AU248" s="329" t="s">
        <v>83</v>
      </c>
      <c r="AV248" s="326" t="s">
        <v>81</v>
      </c>
      <c r="AW248" s="326" t="s">
        <v>34</v>
      </c>
      <c r="AX248" s="326" t="s">
        <v>76</v>
      </c>
      <c r="AY248" s="329" t="s">
        <v>146</v>
      </c>
    </row>
    <row r="249" spans="2:51" s="326" customFormat="1" ht="12">
      <c r="B249" s="327"/>
      <c r="D249" s="328" t="s">
        <v>155</v>
      </c>
      <c r="E249" s="329" t="s">
        <v>1</v>
      </c>
      <c r="F249" s="330" t="s">
        <v>1749</v>
      </c>
      <c r="H249" s="329" t="s">
        <v>1</v>
      </c>
      <c r="I249" s="497"/>
      <c r="L249" s="327"/>
      <c r="M249" s="332"/>
      <c r="N249" s="333"/>
      <c r="O249" s="333"/>
      <c r="P249" s="333"/>
      <c r="Q249" s="333"/>
      <c r="R249" s="333"/>
      <c r="S249" s="333"/>
      <c r="T249" s="334"/>
      <c r="AT249" s="329" t="s">
        <v>155</v>
      </c>
      <c r="AU249" s="329" t="s">
        <v>83</v>
      </c>
      <c r="AV249" s="326" t="s">
        <v>81</v>
      </c>
      <c r="AW249" s="326" t="s">
        <v>34</v>
      </c>
      <c r="AX249" s="326" t="s">
        <v>76</v>
      </c>
      <c r="AY249" s="329" t="s">
        <v>146</v>
      </c>
    </row>
    <row r="250" spans="2:51" s="326" customFormat="1" ht="12">
      <c r="B250" s="327"/>
      <c r="D250" s="328" t="s">
        <v>155</v>
      </c>
      <c r="E250" s="329" t="s">
        <v>1</v>
      </c>
      <c r="F250" s="330" t="s">
        <v>304</v>
      </c>
      <c r="H250" s="329" t="s">
        <v>1</v>
      </c>
      <c r="I250" s="497"/>
      <c r="L250" s="327"/>
      <c r="M250" s="332"/>
      <c r="N250" s="333"/>
      <c r="O250" s="333"/>
      <c r="P250" s="333"/>
      <c r="Q250" s="333"/>
      <c r="R250" s="333"/>
      <c r="S250" s="333"/>
      <c r="T250" s="334"/>
      <c r="AT250" s="329" t="s">
        <v>155</v>
      </c>
      <c r="AU250" s="329" t="s">
        <v>83</v>
      </c>
      <c r="AV250" s="326" t="s">
        <v>81</v>
      </c>
      <c r="AW250" s="326" t="s">
        <v>34</v>
      </c>
      <c r="AX250" s="326" t="s">
        <v>76</v>
      </c>
      <c r="AY250" s="329" t="s">
        <v>146</v>
      </c>
    </row>
    <row r="251" spans="2:51" s="335" customFormat="1" ht="12">
      <c r="B251" s="336"/>
      <c r="D251" s="328" t="s">
        <v>155</v>
      </c>
      <c r="E251" s="337" t="s">
        <v>1</v>
      </c>
      <c r="F251" s="338" t="s">
        <v>159</v>
      </c>
      <c r="H251" s="339">
        <v>3</v>
      </c>
      <c r="I251" s="498"/>
      <c r="L251" s="336"/>
      <c r="M251" s="341"/>
      <c r="N251" s="342"/>
      <c r="O251" s="342"/>
      <c r="P251" s="342"/>
      <c r="Q251" s="342"/>
      <c r="R251" s="342"/>
      <c r="S251" s="342"/>
      <c r="T251" s="343"/>
      <c r="AT251" s="337" t="s">
        <v>155</v>
      </c>
      <c r="AU251" s="337" t="s">
        <v>83</v>
      </c>
      <c r="AV251" s="335" t="s">
        <v>83</v>
      </c>
      <c r="AW251" s="335" t="s">
        <v>34</v>
      </c>
      <c r="AX251" s="335" t="s">
        <v>81</v>
      </c>
      <c r="AY251" s="337" t="s">
        <v>146</v>
      </c>
    </row>
    <row r="252" spans="1:65" s="225" customFormat="1" ht="33" customHeight="1">
      <c r="A252" s="222"/>
      <c r="B252" s="223"/>
      <c r="C252" s="314" t="s">
        <v>222</v>
      </c>
      <c r="D252" s="314" t="s">
        <v>148</v>
      </c>
      <c r="E252" s="315" t="s">
        <v>1756</v>
      </c>
      <c r="F252" s="316" t="s">
        <v>1757</v>
      </c>
      <c r="G252" s="317" t="s">
        <v>158</v>
      </c>
      <c r="H252" s="318">
        <v>23</v>
      </c>
      <c r="I252" s="79"/>
      <c r="J252" s="319">
        <f>ROUND(I252*H252,2)</f>
        <v>0</v>
      </c>
      <c r="K252" s="316"/>
      <c r="L252" s="223"/>
      <c r="M252" s="320" t="s">
        <v>1</v>
      </c>
      <c r="N252" s="321" t="s">
        <v>42</v>
      </c>
      <c r="O252" s="322">
        <v>0.42</v>
      </c>
      <c r="P252" s="322">
        <f>O252*H252</f>
        <v>9.66</v>
      </c>
      <c r="Q252" s="322">
        <v>0</v>
      </c>
      <c r="R252" s="322">
        <f>Q252*H252</f>
        <v>0</v>
      </c>
      <c r="S252" s="322">
        <v>0</v>
      </c>
      <c r="T252" s="323">
        <f>S252*H252</f>
        <v>0</v>
      </c>
      <c r="U252" s="222"/>
      <c r="V252" s="222"/>
      <c r="W252" s="222"/>
      <c r="X252" s="222"/>
      <c r="Y252" s="222"/>
      <c r="Z252" s="222"/>
      <c r="AA252" s="222"/>
      <c r="AB252" s="222"/>
      <c r="AC252" s="222"/>
      <c r="AD252" s="222"/>
      <c r="AE252" s="222"/>
      <c r="AR252" s="324" t="s">
        <v>212</v>
      </c>
      <c r="AT252" s="324" t="s">
        <v>148</v>
      </c>
      <c r="AU252" s="324" t="s">
        <v>83</v>
      </c>
      <c r="AY252" s="214" t="s">
        <v>146</v>
      </c>
      <c r="BE252" s="325">
        <f>IF(N252="základní",J252,0)</f>
        <v>0</v>
      </c>
      <c r="BF252" s="325">
        <f>IF(N252="snížená",J252,0)</f>
        <v>0</v>
      </c>
      <c r="BG252" s="325">
        <f>IF(N252="zákl. přenesená",J252,0)</f>
        <v>0</v>
      </c>
      <c r="BH252" s="325">
        <f>IF(N252="sníž. přenesená",J252,0)</f>
        <v>0</v>
      </c>
      <c r="BI252" s="325">
        <f>IF(N252="nulová",J252,0)</f>
        <v>0</v>
      </c>
      <c r="BJ252" s="214" t="s">
        <v>81</v>
      </c>
      <c r="BK252" s="325">
        <f>ROUND(I252*H252,2)</f>
        <v>0</v>
      </c>
      <c r="BL252" s="214" t="s">
        <v>212</v>
      </c>
      <c r="BM252" s="324" t="s">
        <v>1758</v>
      </c>
    </row>
    <row r="253" spans="2:51" s="326" customFormat="1" ht="22.5">
      <c r="B253" s="327"/>
      <c r="D253" s="328" t="s">
        <v>155</v>
      </c>
      <c r="E253" s="329" t="s">
        <v>1</v>
      </c>
      <c r="F253" s="330" t="s">
        <v>1759</v>
      </c>
      <c r="H253" s="329" t="s">
        <v>1</v>
      </c>
      <c r="I253" s="497"/>
      <c r="L253" s="327"/>
      <c r="M253" s="332"/>
      <c r="N253" s="333"/>
      <c r="O253" s="333"/>
      <c r="P253" s="333"/>
      <c r="Q253" s="333"/>
      <c r="R253" s="333"/>
      <c r="S253" s="333"/>
      <c r="T253" s="334"/>
      <c r="AT253" s="329" t="s">
        <v>155</v>
      </c>
      <c r="AU253" s="329" t="s">
        <v>83</v>
      </c>
      <c r="AV253" s="326" t="s">
        <v>81</v>
      </c>
      <c r="AW253" s="326" t="s">
        <v>34</v>
      </c>
      <c r="AX253" s="326" t="s">
        <v>76</v>
      </c>
      <c r="AY253" s="329" t="s">
        <v>146</v>
      </c>
    </row>
    <row r="254" spans="2:51" s="326" customFormat="1" ht="33.75">
      <c r="B254" s="327"/>
      <c r="D254" s="328" t="s">
        <v>155</v>
      </c>
      <c r="E254" s="329" t="s">
        <v>1</v>
      </c>
      <c r="F254" s="330" t="s">
        <v>1760</v>
      </c>
      <c r="H254" s="329" t="s">
        <v>1</v>
      </c>
      <c r="I254" s="497"/>
      <c r="L254" s="327"/>
      <c r="M254" s="332"/>
      <c r="N254" s="333"/>
      <c r="O254" s="333"/>
      <c r="P254" s="333"/>
      <c r="Q254" s="333"/>
      <c r="R254" s="333"/>
      <c r="S254" s="333"/>
      <c r="T254" s="334"/>
      <c r="AT254" s="329" t="s">
        <v>155</v>
      </c>
      <c r="AU254" s="329" t="s">
        <v>83</v>
      </c>
      <c r="AV254" s="326" t="s">
        <v>81</v>
      </c>
      <c r="AW254" s="326" t="s">
        <v>34</v>
      </c>
      <c r="AX254" s="326" t="s">
        <v>76</v>
      </c>
      <c r="AY254" s="329" t="s">
        <v>146</v>
      </c>
    </row>
    <row r="255" spans="2:51" s="326" customFormat="1" ht="12">
      <c r="B255" s="327"/>
      <c r="D255" s="328" t="s">
        <v>155</v>
      </c>
      <c r="E255" s="329" t="s">
        <v>1</v>
      </c>
      <c r="F255" s="330" t="s">
        <v>1761</v>
      </c>
      <c r="H255" s="329" t="s">
        <v>1</v>
      </c>
      <c r="I255" s="497"/>
      <c r="L255" s="327"/>
      <c r="M255" s="332"/>
      <c r="N255" s="333"/>
      <c r="O255" s="333"/>
      <c r="P255" s="333"/>
      <c r="Q255" s="333"/>
      <c r="R255" s="333"/>
      <c r="S255" s="333"/>
      <c r="T255" s="334"/>
      <c r="AT255" s="329" t="s">
        <v>155</v>
      </c>
      <c r="AU255" s="329" t="s">
        <v>83</v>
      </c>
      <c r="AV255" s="326" t="s">
        <v>81</v>
      </c>
      <c r="AW255" s="326" t="s">
        <v>34</v>
      </c>
      <c r="AX255" s="326" t="s">
        <v>76</v>
      </c>
      <c r="AY255" s="329" t="s">
        <v>146</v>
      </c>
    </row>
    <row r="256" spans="2:51" s="326" customFormat="1" ht="12">
      <c r="B256" s="327"/>
      <c r="D256" s="328" t="s">
        <v>155</v>
      </c>
      <c r="E256" s="329" t="s">
        <v>1</v>
      </c>
      <c r="F256" s="330" t="s">
        <v>1762</v>
      </c>
      <c r="H256" s="329" t="s">
        <v>1</v>
      </c>
      <c r="I256" s="497"/>
      <c r="L256" s="327"/>
      <c r="M256" s="332"/>
      <c r="N256" s="333"/>
      <c r="O256" s="333"/>
      <c r="P256" s="333"/>
      <c r="Q256" s="333"/>
      <c r="R256" s="333"/>
      <c r="S256" s="333"/>
      <c r="T256" s="334"/>
      <c r="AT256" s="329" t="s">
        <v>155</v>
      </c>
      <c r="AU256" s="329" t="s">
        <v>83</v>
      </c>
      <c r="AV256" s="326" t="s">
        <v>81</v>
      </c>
      <c r="AW256" s="326" t="s">
        <v>34</v>
      </c>
      <c r="AX256" s="326" t="s">
        <v>76</v>
      </c>
      <c r="AY256" s="329" t="s">
        <v>146</v>
      </c>
    </row>
    <row r="257" spans="2:51" s="326" customFormat="1" ht="12">
      <c r="B257" s="327"/>
      <c r="D257" s="328" t="s">
        <v>155</v>
      </c>
      <c r="E257" s="329" t="s">
        <v>1</v>
      </c>
      <c r="F257" s="330" t="s">
        <v>1763</v>
      </c>
      <c r="H257" s="329" t="s">
        <v>1</v>
      </c>
      <c r="I257" s="497"/>
      <c r="L257" s="327"/>
      <c r="M257" s="332"/>
      <c r="N257" s="333"/>
      <c r="O257" s="333"/>
      <c r="P257" s="333"/>
      <c r="Q257" s="333"/>
      <c r="R257" s="333"/>
      <c r="S257" s="333"/>
      <c r="T257" s="334"/>
      <c r="AT257" s="329" t="s">
        <v>155</v>
      </c>
      <c r="AU257" s="329" t="s">
        <v>83</v>
      </c>
      <c r="AV257" s="326" t="s">
        <v>81</v>
      </c>
      <c r="AW257" s="326" t="s">
        <v>34</v>
      </c>
      <c r="AX257" s="326" t="s">
        <v>76</v>
      </c>
      <c r="AY257" s="329" t="s">
        <v>146</v>
      </c>
    </row>
    <row r="258" spans="2:51" s="326" customFormat="1" ht="12">
      <c r="B258" s="327"/>
      <c r="D258" s="328" t="s">
        <v>155</v>
      </c>
      <c r="E258" s="329" t="s">
        <v>1</v>
      </c>
      <c r="F258" s="330" t="s">
        <v>1764</v>
      </c>
      <c r="H258" s="329" t="s">
        <v>1</v>
      </c>
      <c r="I258" s="497"/>
      <c r="L258" s="327"/>
      <c r="M258" s="332"/>
      <c r="N258" s="333"/>
      <c r="O258" s="333"/>
      <c r="P258" s="333"/>
      <c r="Q258" s="333"/>
      <c r="R258" s="333"/>
      <c r="S258" s="333"/>
      <c r="T258" s="334"/>
      <c r="AT258" s="329" t="s">
        <v>155</v>
      </c>
      <c r="AU258" s="329" t="s">
        <v>83</v>
      </c>
      <c r="AV258" s="326" t="s">
        <v>81</v>
      </c>
      <c r="AW258" s="326" t="s">
        <v>34</v>
      </c>
      <c r="AX258" s="326" t="s">
        <v>76</v>
      </c>
      <c r="AY258" s="329" t="s">
        <v>146</v>
      </c>
    </row>
    <row r="259" spans="2:51" s="326" customFormat="1" ht="12">
      <c r="B259" s="327"/>
      <c r="D259" s="328" t="s">
        <v>155</v>
      </c>
      <c r="E259" s="329" t="s">
        <v>1</v>
      </c>
      <c r="F259" s="330" t="s">
        <v>304</v>
      </c>
      <c r="H259" s="329" t="s">
        <v>1</v>
      </c>
      <c r="I259" s="497"/>
      <c r="L259" s="327"/>
      <c r="M259" s="332"/>
      <c r="N259" s="333"/>
      <c r="O259" s="333"/>
      <c r="P259" s="333"/>
      <c r="Q259" s="333"/>
      <c r="R259" s="333"/>
      <c r="S259" s="333"/>
      <c r="T259" s="334"/>
      <c r="AT259" s="329" t="s">
        <v>155</v>
      </c>
      <c r="AU259" s="329" t="s">
        <v>83</v>
      </c>
      <c r="AV259" s="326" t="s">
        <v>81</v>
      </c>
      <c r="AW259" s="326" t="s">
        <v>34</v>
      </c>
      <c r="AX259" s="326" t="s">
        <v>76</v>
      </c>
      <c r="AY259" s="329" t="s">
        <v>146</v>
      </c>
    </row>
    <row r="260" spans="2:51" s="335" customFormat="1" ht="12">
      <c r="B260" s="336"/>
      <c r="D260" s="328" t="s">
        <v>155</v>
      </c>
      <c r="E260" s="337" t="s">
        <v>1</v>
      </c>
      <c r="F260" s="338" t="s">
        <v>1765</v>
      </c>
      <c r="H260" s="339">
        <v>15</v>
      </c>
      <c r="I260" s="498"/>
      <c r="L260" s="336"/>
      <c r="M260" s="341"/>
      <c r="N260" s="342"/>
      <c r="O260" s="342"/>
      <c r="P260" s="342"/>
      <c r="Q260" s="342"/>
      <c r="R260" s="342"/>
      <c r="S260" s="342"/>
      <c r="T260" s="343"/>
      <c r="AT260" s="337" t="s">
        <v>155</v>
      </c>
      <c r="AU260" s="337" t="s">
        <v>83</v>
      </c>
      <c r="AV260" s="335" t="s">
        <v>83</v>
      </c>
      <c r="AW260" s="335" t="s">
        <v>34</v>
      </c>
      <c r="AX260" s="335" t="s">
        <v>76</v>
      </c>
      <c r="AY260" s="337" t="s">
        <v>146</v>
      </c>
    </row>
    <row r="261" spans="2:51" s="326" customFormat="1" ht="12">
      <c r="B261" s="327"/>
      <c r="D261" s="328" t="s">
        <v>155</v>
      </c>
      <c r="E261" s="329" t="s">
        <v>1</v>
      </c>
      <c r="F261" s="330" t="s">
        <v>309</v>
      </c>
      <c r="H261" s="329" t="s">
        <v>1</v>
      </c>
      <c r="I261" s="497"/>
      <c r="L261" s="327"/>
      <c r="M261" s="332"/>
      <c r="N261" s="333"/>
      <c r="O261" s="333"/>
      <c r="P261" s="333"/>
      <c r="Q261" s="333"/>
      <c r="R261" s="333"/>
      <c r="S261" s="333"/>
      <c r="T261" s="334"/>
      <c r="AT261" s="329" t="s">
        <v>155</v>
      </c>
      <c r="AU261" s="329" t="s">
        <v>83</v>
      </c>
      <c r="AV261" s="326" t="s">
        <v>81</v>
      </c>
      <c r="AW261" s="326" t="s">
        <v>34</v>
      </c>
      <c r="AX261" s="326" t="s">
        <v>76</v>
      </c>
      <c r="AY261" s="329" t="s">
        <v>146</v>
      </c>
    </row>
    <row r="262" spans="2:51" s="335" customFormat="1" ht="12">
      <c r="B262" s="336"/>
      <c r="D262" s="328" t="s">
        <v>155</v>
      </c>
      <c r="E262" s="337" t="s">
        <v>1</v>
      </c>
      <c r="F262" s="338" t="s">
        <v>1766</v>
      </c>
      <c r="H262" s="339">
        <v>8</v>
      </c>
      <c r="I262" s="498"/>
      <c r="L262" s="336"/>
      <c r="M262" s="341"/>
      <c r="N262" s="342"/>
      <c r="O262" s="342"/>
      <c r="P262" s="342"/>
      <c r="Q262" s="342"/>
      <c r="R262" s="342"/>
      <c r="S262" s="342"/>
      <c r="T262" s="343"/>
      <c r="AT262" s="337" t="s">
        <v>155</v>
      </c>
      <c r="AU262" s="337" t="s">
        <v>83</v>
      </c>
      <c r="AV262" s="335" t="s">
        <v>83</v>
      </c>
      <c r="AW262" s="335" t="s">
        <v>34</v>
      </c>
      <c r="AX262" s="335" t="s">
        <v>76</v>
      </c>
      <c r="AY262" s="337" t="s">
        <v>146</v>
      </c>
    </row>
    <row r="263" spans="2:51" s="347" customFormat="1" ht="12">
      <c r="B263" s="348"/>
      <c r="D263" s="328" t="s">
        <v>155</v>
      </c>
      <c r="E263" s="349" t="s">
        <v>1</v>
      </c>
      <c r="F263" s="356" t="s">
        <v>157</v>
      </c>
      <c r="H263" s="351">
        <v>23</v>
      </c>
      <c r="I263" s="499"/>
      <c r="L263" s="348"/>
      <c r="M263" s="353"/>
      <c r="N263" s="354"/>
      <c r="O263" s="354"/>
      <c r="P263" s="354"/>
      <c r="Q263" s="354"/>
      <c r="R263" s="354"/>
      <c r="S263" s="354"/>
      <c r="T263" s="355"/>
      <c r="AT263" s="349" t="s">
        <v>155</v>
      </c>
      <c r="AU263" s="349" t="s">
        <v>83</v>
      </c>
      <c r="AV263" s="347" t="s">
        <v>153</v>
      </c>
      <c r="AW263" s="347" t="s">
        <v>34</v>
      </c>
      <c r="AX263" s="347" t="s">
        <v>81</v>
      </c>
      <c r="AY263" s="349" t="s">
        <v>146</v>
      </c>
    </row>
    <row r="264" spans="1:65" s="225" customFormat="1" ht="24.2" customHeight="1">
      <c r="A264" s="222"/>
      <c r="B264" s="223"/>
      <c r="C264" s="358" t="s">
        <v>228</v>
      </c>
      <c r="D264" s="358" t="s">
        <v>208</v>
      </c>
      <c r="E264" s="359" t="s">
        <v>1767</v>
      </c>
      <c r="F264" s="364" t="s">
        <v>1768</v>
      </c>
      <c r="G264" s="361" t="s">
        <v>301</v>
      </c>
      <c r="H264" s="362">
        <v>3</v>
      </c>
      <c r="I264" s="80"/>
      <c r="J264" s="363">
        <f>ROUND(I264*H264,2)</f>
        <v>0</v>
      </c>
      <c r="K264" s="364"/>
      <c r="L264" s="675"/>
      <c r="M264" s="366" t="s">
        <v>1</v>
      </c>
      <c r="N264" s="367" t="s">
        <v>42</v>
      </c>
      <c r="O264" s="322">
        <v>0</v>
      </c>
      <c r="P264" s="322">
        <f>O264*H264</f>
        <v>0</v>
      </c>
      <c r="Q264" s="322">
        <v>0.0078</v>
      </c>
      <c r="R264" s="322">
        <f>Q264*H264</f>
        <v>0.023399999999999997</v>
      </c>
      <c r="S264" s="322">
        <v>0</v>
      </c>
      <c r="T264" s="323">
        <f>S264*H264</f>
        <v>0</v>
      </c>
      <c r="U264" s="222"/>
      <c r="V264" s="222"/>
      <c r="W264" s="222"/>
      <c r="X264" s="222"/>
      <c r="Y264" s="222"/>
      <c r="Z264" s="222"/>
      <c r="AA264" s="222"/>
      <c r="AB264" s="222"/>
      <c r="AC264" s="222"/>
      <c r="AD264" s="222"/>
      <c r="AE264" s="222"/>
      <c r="AR264" s="324" t="s">
        <v>298</v>
      </c>
      <c r="AT264" s="324" t="s">
        <v>208</v>
      </c>
      <c r="AU264" s="324" t="s">
        <v>83</v>
      </c>
      <c r="AY264" s="214" t="s">
        <v>146</v>
      </c>
      <c r="BE264" s="325">
        <f>IF(N264="základní",J264,0)</f>
        <v>0</v>
      </c>
      <c r="BF264" s="325">
        <f>IF(N264="snížená",J264,0)</f>
        <v>0</v>
      </c>
      <c r="BG264" s="325">
        <f>IF(N264="zákl. přenesená",J264,0)</f>
        <v>0</v>
      </c>
      <c r="BH264" s="325">
        <f>IF(N264="sníž. přenesená",J264,0)</f>
        <v>0</v>
      </c>
      <c r="BI264" s="325">
        <f>IF(N264="nulová",J264,0)</f>
        <v>0</v>
      </c>
      <c r="BJ264" s="214" t="s">
        <v>81</v>
      </c>
      <c r="BK264" s="325">
        <f>ROUND(I264*H264,2)</f>
        <v>0</v>
      </c>
      <c r="BL264" s="214" t="s">
        <v>212</v>
      </c>
      <c r="BM264" s="324" t="s">
        <v>1769</v>
      </c>
    </row>
    <row r="265" spans="2:51" s="326" customFormat="1" ht="12">
      <c r="B265" s="327"/>
      <c r="D265" s="328" t="s">
        <v>155</v>
      </c>
      <c r="E265" s="329" t="s">
        <v>1</v>
      </c>
      <c r="F265" s="330" t="s">
        <v>1770</v>
      </c>
      <c r="H265" s="329" t="s">
        <v>1</v>
      </c>
      <c r="I265" s="497"/>
      <c r="L265" s="327"/>
      <c r="M265" s="332"/>
      <c r="N265" s="333"/>
      <c r="O265" s="333"/>
      <c r="P265" s="333"/>
      <c r="Q265" s="333"/>
      <c r="R265" s="333"/>
      <c r="S265" s="333"/>
      <c r="T265" s="334"/>
      <c r="AT265" s="329" t="s">
        <v>155</v>
      </c>
      <c r="AU265" s="329" t="s">
        <v>83</v>
      </c>
      <c r="AV265" s="326" t="s">
        <v>81</v>
      </c>
      <c r="AW265" s="326" t="s">
        <v>34</v>
      </c>
      <c r="AX265" s="326" t="s">
        <v>76</v>
      </c>
      <c r="AY265" s="329" t="s">
        <v>146</v>
      </c>
    </row>
    <row r="266" spans="2:51" s="335" customFormat="1" ht="12">
      <c r="B266" s="336"/>
      <c r="D266" s="328" t="s">
        <v>155</v>
      </c>
      <c r="E266" s="337" t="s">
        <v>1</v>
      </c>
      <c r="F266" s="338" t="s">
        <v>159</v>
      </c>
      <c r="H266" s="339">
        <v>3</v>
      </c>
      <c r="I266" s="498"/>
      <c r="L266" s="336"/>
      <c r="M266" s="341"/>
      <c r="N266" s="342"/>
      <c r="O266" s="342"/>
      <c r="P266" s="342"/>
      <c r="Q266" s="342"/>
      <c r="R266" s="342"/>
      <c r="S266" s="342"/>
      <c r="T266" s="343"/>
      <c r="AT266" s="337" t="s">
        <v>155</v>
      </c>
      <c r="AU266" s="337" t="s">
        <v>83</v>
      </c>
      <c r="AV266" s="335" t="s">
        <v>83</v>
      </c>
      <c r="AW266" s="335" t="s">
        <v>34</v>
      </c>
      <c r="AX266" s="335" t="s">
        <v>81</v>
      </c>
      <c r="AY266" s="337" t="s">
        <v>146</v>
      </c>
    </row>
    <row r="267" spans="1:65" s="225" customFormat="1" ht="33" customHeight="1">
      <c r="A267" s="222"/>
      <c r="B267" s="223"/>
      <c r="C267" s="314" t="s">
        <v>7</v>
      </c>
      <c r="D267" s="314" t="s">
        <v>148</v>
      </c>
      <c r="E267" s="315" t="s">
        <v>1771</v>
      </c>
      <c r="F267" s="316" t="s">
        <v>1772</v>
      </c>
      <c r="G267" s="317" t="s">
        <v>158</v>
      </c>
      <c r="H267" s="318">
        <v>8</v>
      </c>
      <c r="I267" s="79"/>
      <c r="J267" s="319">
        <f>ROUND(I267*H267,2)</f>
        <v>0</v>
      </c>
      <c r="K267" s="316"/>
      <c r="L267" s="223"/>
      <c r="M267" s="320" t="s">
        <v>1</v>
      </c>
      <c r="N267" s="321" t="s">
        <v>42</v>
      </c>
      <c r="O267" s="322">
        <v>0.42</v>
      </c>
      <c r="P267" s="322">
        <f>O267*H267</f>
        <v>3.36</v>
      </c>
      <c r="Q267" s="322">
        <v>0</v>
      </c>
      <c r="R267" s="322">
        <f>Q267*H267</f>
        <v>0</v>
      </c>
      <c r="S267" s="322">
        <v>0</v>
      </c>
      <c r="T267" s="323">
        <f>S267*H267</f>
        <v>0</v>
      </c>
      <c r="U267" s="222"/>
      <c r="V267" s="222"/>
      <c r="W267" s="222"/>
      <c r="X267" s="222"/>
      <c r="Y267" s="222"/>
      <c r="Z267" s="222"/>
      <c r="AA267" s="222"/>
      <c r="AB267" s="222"/>
      <c r="AC267" s="222"/>
      <c r="AD267" s="222"/>
      <c r="AE267" s="222"/>
      <c r="AR267" s="324" t="s">
        <v>212</v>
      </c>
      <c r="AT267" s="324" t="s">
        <v>148</v>
      </c>
      <c r="AU267" s="324" t="s">
        <v>83</v>
      </c>
      <c r="AY267" s="214" t="s">
        <v>146</v>
      </c>
      <c r="BE267" s="325">
        <f>IF(N267="základní",J267,0)</f>
        <v>0</v>
      </c>
      <c r="BF267" s="325">
        <f>IF(N267="snížená",J267,0)</f>
        <v>0</v>
      </c>
      <c r="BG267" s="325">
        <f>IF(N267="zákl. přenesená",J267,0)</f>
        <v>0</v>
      </c>
      <c r="BH267" s="325">
        <f>IF(N267="sníž. přenesená",J267,0)</f>
        <v>0</v>
      </c>
      <c r="BI267" s="325">
        <f>IF(N267="nulová",J267,0)</f>
        <v>0</v>
      </c>
      <c r="BJ267" s="214" t="s">
        <v>81</v>
      </c>
      <c r="BK267" s="325">
        <f>ROUND(I267*H267,2)</f>
        <v>0</v>
      </c>
      <c r="BL267" s="214" t="s">
        <v>212</v>
      </c>
      <c r="BM267" s="324" t="s">
        <v>1773</v>
      </c>
    </row>
    <row r="268" spans="2:51" s="326" customFormat="1" ht="22.5">
      <c r="B268" s="327"/>
      <c r="D268" s="328" t="s">
        <v>155</v>
      </c>
      <c r="E268" s="329" t="s">
        <v>1</v>
      </c>
      <c r="F268" s="330" t="s">
        <v>1759</v>
      </c>
      <c r="H268" s="329" t="s">
        <v>1</v>
      </c>
      <c r="I268" s="497"/>
      <c r="L268" s="327"/>
      <c r="M268" s="332"/>
      <c r="N268" s="333"/>
      <c r="O268" s="333"/>
      <c r="P268" s="333"/>
      <c r="Q268" s="333"/>
      <c r="R268" s="333"/>
      <c r="S268" s="333"/>
      <c r="T268" s="334"/>
      <c r="AT268" s="329" t="s">
        <v>155</v>
      </c>
      <c r="AU268" s="329" t="s">
        <v>83</v>
      </c>
      <c r="AV268" s="326" t="s">
        <v>81</v>
      </c>
      <c r="AW268" s="326" t="s">
        <v>34</v>
      </c>
      <c r="AX268" s="326" t="s">
        <v>76</v>
      </c>
      <c r="AY268" s="329" t="s">
        <v>146</v>
      </c>
    </row>
    <row r="269" spans="2:51" s="326" customFormat="1" ht="33.75">
      <c r="B269" s="327"/>
      <c r="D269" s="328" t="s">
        <v>155</v>
      </c>
      <c r="E269" s="329" t="s">
        <v>1</v>
      </c>
      <c r="F269" s="330" t="s">
        <v>1760</v>
      </c>
      <c r="H269" s="329" t="s">
        <v>1</v>
      </c>
      <c r="I269" s="497"/>
      <c r="L269" s="327"/>
      <c r="M269" s="332"/>
      <c r="N269" s="333"/>
      <c r="O269" s="333"/>
      <c r="P269" s="333"/>
      <c r="Q269" s="333"/>
      <c r="R269" s="333"/>
      <c r="S269" s="333"/>
      <c r="T269" s="334"/>
      <c r="AT269" s="329" t="s">
        <v>155</v>
      </c>
      <c r="AU269" s="329" t="s">
        <v>83</v>
      </c>
      <c r="AV269" s="326" t="s">
        <v>81</v>
      </c>
      <c r="AW269" s="326" t="s">
        <v>34</v>
      </c>
      <c r="AX269" s="326" t="s">
        <v>76</v>
      </c>
      <c r="AY269" s="329" t="s">
        <v>146</v>
      </c>
    </row>
    <row r="270" spans="2:51" s="326" customFormat="1" ht="12">
      <c r="B270" s="327"/>
      <c r="D270" s="328" t="s">
        <v>155</v>
      </c>
      <c r="E270" s="329" t="s">
        <v>1</v>
      </c>
      <c r="F270" s="330" t="s">
        <v>1761</v>
      </c>
      <c r="H270" s="329" t="s">
        <v>1</v>
      </c>
      <c r="I270" s="497"/>
      <c r="L270" s="327"/>
      <c r="M270" s="332"/>
      <c r="N270" s="333"/>
      <c r="O270" s="333"/>
      <c r="P270" s="333"/>
      <c r="Q270" s="333"/>
      <c r="R270" s="333"/>
      <c r="S270" s="333"/>
      <c r="T270" s="334"/>
      <c r="AT270" s="329" t="s">
        <v>155</v>
      </c>
      <c r="AU270" s="329" t="s">
        <v>83</v>
      </c>
      <c r="AV270" s="326" t="s">
        <v>81</v>
      </c>
      <c r="AW270" s="326" t="s">
        <v>34</v>
      </c>
      <c r="AX270" s="326" t="s">
        <v>76</v>
      </c>
      <c r="AY270" s="329" t="s">
        <v>146</v>
      </c>
    </row>
    <row r="271" spans="2:51" s="326" customFormat="1" ht="12">
      <c r="B271" s="327"/>
      <c r="D271" s="328" t="s">
        <v>155</v>
      </c>
      <c r="E271" s="329" t="s">
        <v>1</v>
      </c>
      <c r="F271" s="330" t="s">
        <v>1762</v>
      </c>
      <c r="H271" s="329" t="s">
        <v>1</v>
      </c>
      <c r="I271" s="497"/>
      <c r="L271" s="327"/>
      <c r="M271" s="332"/>
      <c r="N271" s="333"/>
      <c r="O271" s="333"/>
      <c r="P271" s="333"/>
      <c r="Q271" s="333"/>
      <c r="R271" s="333"/>
      <c r="S271" s="333"/>
      <c r="T271" s="334"/>
      <c r="AT271" s="329" t="s">
        <v>155</v>
      </c>
      <c r="AU271" s="329" t="s">
        <v>83</v>
      </c>
      <c r="AV271" s="326" t="s">
        <v>81</v>
      </c>
      <c r="AW271" s="326" t="s">
        <v>34</v>
      </c>
      <c r="AX271" s="326" t="s">
        <v>76</v>
      </c>
      <c r="AY271" s="329" t="s">
        <v>146</v>
      </c>
    </row>
    <row r="272" spans="2:51" s="326" customFormat="1" ht="12">
      <c r="B272" s="327"/>
      <c r="D272" s="328" t="s">
        <v>155</v>
      </c>
      <c r="E272" s="329" t="s">
        <v>1</v>
      </c>
      <c r="F272" s="330" t="s">
        <v>1774</v>
      </c>
      <c r="H272" s="329" t="s">
        <v>1</v>
      </c>
      <c r="I272" s="497"/>
      <c r="L272" s="327"/>
      <c r="M272" s="332"/>
      <c r="N272" s="333"/>
      <c r="O272" s="333"/>
      <c r="P272" s="333"/>
      <c r="Q272" s="333"/>
      <c r="R272" s="333"/>
      <c r="S272" s="333"/>
      <c r="T272" s="334"/>
      <c r="AT272" s="329" t="s">
        <v>155</v>
      </c>
      <c r="AU272" s="329" t="s">
        <v>83</v>
      </c>
      <c r="AV272" s="326" t="s">
        <v>81</v>
      </c>
      <c r="AW272" s="326" t="s">
        <v>34</v>
      </c>
      <c r="AX272" s="326" t="s">
        <v>76</v>
      </c>
      <c r="AY272" s="329" t="s">
        <v>146</v>
      </c>
    </row>
    <row r="273" spans="2:51" s="326" customFormat="1" ht="12">
      <c r="B273" s="327"/>
      <c r="D273" s="328" t="s">
        <v>155</v>
      </c>
      <c r="E273" s="329" t="s">
        <v>1</v>
      </c>
      <c r="F273" s="330" t="s">
        <v>1775</v>
      </c>
      <c r="H273" s="329" t="s">
        <v>1</v>
      </c>
      <c r="I273" s="497"/>
      <c r="L273" s="327"/>
      <c r="M273" s="332"/>
      <c r="N273" s="333"/>
      <c r="O273" s="333"/>
      <c r="P273" s="333"/>
      <c r="Q273" s="333"/>
      <c r="R273" s="333"/>
      <c r="S273" s="333"/>
      <c r="T273" s="334"/>
      <c r="AT273" s="329" t="s">
        <v>155</v>
      </c>
      <c r="AU273" s="329" t="s">
        <v>83</v>
      </c>
      <c r="AV273" s="326" t="s">
        <v>81</v>
      </c>
      <c r="AW273" s="326" t="s">
        <v>34</v>
      </c>
      <c r="AX273" s="326" t="s">
        <v>76</v>
      </c>
      <c r="AY273" s="329" t="s">
        <v>146</v>
      </c>
    </row>
    <row r="274" spans="2:51" s="326" customFormat="1" ht="12">
      <c r="B274" s="327"/>
      <c r="D274" s="328" t="s">
        <v>155</v>
      </c>
      <c r="E274" s="329" t="s">
        <v>1</v>
      </c>
      <c r="F274" s="330" t="s">
        <v>304</v>
      </c>
      <c r="H274" s="329" t="s">
        <v>1</v>
      </c>
      <c r="I274" s="497"/>
      <c r="L274" s="327"/>
      <c r="M274" s="332"/>
      <c r="N274" s="333"/>
      <c r="O274" s="333"/>
      <c r="P274" s="333"/>
      <c r="Q274" s="333"/>
      <c r="R274" s="333"/>
      <c r="S274" s="333"/>
      <c r="T274" s="334"/>
      <c r="AT274" s="329" t="s">
        <v>155</v>
      </c>
      <c r="AU274" s="329" t="s">
        <v>83</v>
      </c>
      <c r="AV274" s="326" t="s">
        <v>81</v>
      </c>
      <c r="AW274" s="326" t="s">
        <v>34</v>
      </c>
      <c r="AX274" s="326" t="s">
        <v>76</v>
      </c>
      <c r="AY274" s="329" t="s">
        <v>146</v>
      </c>
    </row>
    <row r="275" spans="2:51" s="335" customFormat="1" ht="12">
      <c r="B275" s="336"/>
      <c r="D275" s="328" t="s">
        <v>155</v>
      </c>
      <c r="E275" s="337" t="s">
        <v>1</v>
      </c>
      <c r="F275" s="338" t="s">
        <v>1766</v>
      </c>
      <c r="H275" s="339">
        <v>8</v>
      </c>
      <c r="I275" s="498"/>
      <c r="L275" s="336"/>
      <c r="M275" s="341"/>
      <c r="N275" s="342"/>
      <c r="O275" s="342"/>
      <c r="P275" s="342"/>
      <c r="Q275" s="342"/>
      <c r="R275" s="342"/>
      <c r="S275" s="342"/>
      <c r="T275" s="343"/>
      <c r="AT275" s="337" t="s">
        <v>155</v>
      </c>
      <c r="AU275" s="337" t="s">
        <v>83</v>
      </c>
      <c r="AV275" s="335" t="s">
        <v>83</v>
      </c>
      <c r="AW275" s="335" t="s">
        <v>34</v>
      </c>
      <c r="AX275" s="335" t="s">
        <v>81</v>
      </c>
      <c r="AY275" s="337" t="s">
        <v>146</v>
      </c>
    </row>
    <row r="276" spans="1:65" s="225" customFormat="1" ht="24.2" customHeight="1">
      <c r="A276" s="222"/>
      <c r="B276" s="223"/>
      <c r="C276" s="358" t="s">
        <v>237</v>
      </c>
      <c r="D276" s="358" t="s">
        <v>208</v>
      </c>
      <c r="E276" s="359" t="s">
        <v>1776</v>
      </c>
      <c r="F276" s="364" t="s">
        <v>1777</v>
      </c>
      <c r="G276" s="361" t="s">
        <v>301</v>
      </c>
      <c r="H276" s="362">
        <v>1</v>
      </c>
      <c r="I276" s="80"/>
      <c r="J276" s="363">
        <f>ROUND(I276*H276,2)</f>
        <v>0</v>
      </c>
      <c r="K276" s="364"/>
      <c r="L276" s="675"/>
      <c r="M276" s="366" t="s">
        <v>1</v>
      </c>
      <c r="N276" s="367" t="s">
        <v>42</v>
      </c>
      <c r="O276" s="322">
        <v>0</v>
      </c>
      <c r="P276" s="322">
        <f>O276*H276</f>
        <v>0</v>
      </c>
      <c r="Q276" s="322">
        <v>0.0101</v>
      </c>
      <c r="R276" s="322">
        <f>Q276*H276</f>
        <v>0.0101</v>
      </c>
      <c r="S276" s="322">
        <v>0</v>
      </c>
      <c r="T276" s="323">
        <f>S276*H276</f>
        <v>0</v>
      </c>
      <c r="U276" s="222"/>
      <c r="V276" s="222"/>
      <c r="W276" s="222"/>
      <c r="X276" s="222"/>
      <c r="Y276" s="222"/>
      <c r="Z276" s="222"/>
      <c r="AA276" s="222"/>
      <c r="AB276" s="222"/>
      <c r="AC276" s="222"/>
      <c r="AD276" s="222"/>
      <c r="AE276" s="222"/>
      <c r="AR276" s="324" t="s">
        <v>298</v>
      </c>
      <c r="AT276" s="324" t="s">
        <v>208</v>
      </c>
      <c r="AU276" s="324" t="s">
        <v>83</v>
      </c>
      <c r="AY276" s="214" t="s">
        <v>146</v>
      </c>
      <c r="BE276" s="325">
        <f>IF(N276="základní",J276,0)</f>
        <v>0</v>
      </c>
      <c r="BF276" s="325">
        <f>IF(N276="snížená",J276,0)</f>
        <v>0</v>
      </c>
      <c r="BG276" s="325">
        <f>IF(N276="zákl. přenesená",J276,0)</f>
        <v>0</v>
      </c>
      <c r="BH276" s="325">
        <f>IF(N276="sníž. přenesená",J276,0)</f>
        <v>0</v>
      </c>
      <c r="BI276" s="325">
        <f>IF(N276="nulová",J276,0)</f>
        <v>0</v>
      </c>
      <c r="BJ276" s="214" t="s">
        <v>81</v>
      </c>
      <c r="BK276" s="325">
        <f>ROUND(I276*H276,2)</f>
        <v>0</v>
      </c>
      <c r="BL276" s="214" t="s">
        <v>212</v>
      </c>
      <c r="BM276" s="324" t="s">
        <v>1778</v>
      </c>
    </row>
    <row r="277" spans="2:51" s="326" customFormat="1" ht="12">
      <c r="B277" s="327"/>
      <c r="D277" s="328" t="s">
        <v>155</v>
      </c>
      <c r="E277" s="329" t="s">
        <v>1</v>
      </c>
      <c r="F277" s="330" t="s">
        <v>1779</v>
      </c>
      <c r="H277" s="329" t="s">
        <v>1</v>
      </c>
      <c r="I277" s="497"/>
      <c r="L277" s="327"/>
      <c r="M277" s="332"/>
      <c r="N277" s="333"/>
      <c r="O277" s="333"/>
      <c r="P277" s="333"/>
      <c r="Q277" s="333"/>
      <c r="R277" s="333"/>
      <c r="S277" s="333"/>
      <c r="T277" s="334"/>
      <c r="AT277" s="329" t="s">
        <v>155</v>
      </c>
      <c r="AU277" s="329" t="s">
        <v>83</v>
      </c>
      <c r="AV277" s="326" t="s">
        <v>81</v>
      </c>
      <c r="AW277" s="326" t="s">
        <v>34</v>
      </c>
      <c r="AX277" s="326" t="s">
        <v>76</v>
      </c>
      <c r="AY277" s="329" t="s">
        <v>146</v>
      </c>
    </row>
    <row r="278" spans="2:51" s="335" customFormat="1" ht="12">
      <c r="B278" s="336"/>
      <c r="D278" s="328" t="s">
        <v>155</v>
      </c>
      <c r="E278" s="337" t="s">
        <v>1</v>
      </c>
      <c r="F278" s="338" t="s">
        <v>81</v>
      </c>
      <c r="H278" s="339">
        <v>1</v>
      </c>
      <c r="I278" s="498"/>
      <c r="L278" s="336"/>
      <c r="M278" s="341"/>
      <c r="N278" s="342"/>
      <c r="O278" s="342"/>
      <c r="P278" s="342"/>
      <c r="Q278" s="342"/>
      <c r="R278" s="342"/>
      <c r="S278" s="342"/>
      <c r="T278" s="343"/>
      <c r="AT278" s="337" t="s">
        <v>155</v>
      </c>
      <c r="AU278" s="337" t="s">
        <v>83</v>
      </c>
      <c r="AV278" s="335" t="s">
        <v>83</v>
      </c>
      <c r="AW278" s="335" t="s">
        <v>34</v>
      </c>
      <c r="AX278" s="335" t="s">
        <v>81</v>
      </c>
      <c r="AY278" s="337" t="s">
        <v>146</v>
      </c>
    </row>
    <row r="279" spans="1:65" s="225" customFormat="1" ht="24.2" customHeight="1">
      <c r="A279" s="222"/>
      <c r="B279" s="223"/>
      <c r="C279" s="314" t="s">
        <v>241</v>
      </c>
      <c r="D279" s="314" t="s">
        <v>148</v>
      </c>
      <c r="E279" s="315" t="s">
        <v>1780</v>
      </c>
      <c r="F279" s="316" t="s">
        <v>1781</v>
      </c>
      <c r="G279" s="317" t="s">
        <v>158</v>
      </c>
      <c r="H279" s="318">
        <v>4.4</v>
      </c>
      <c r="I279" s="79"/>
      <c r="J279" s="319">
        <f>ROUND(I279*H279,2)</f>
        <v>0</v>
      </c>
      <c r="K279" s="316"/>
      <c r="L279" s="223"/>
      <c r="M279" s="320" t="s">
        <v>1</v>
      </c>
      <c r="N279" s="321" t="s">
        <v>42</v>
      </c>
      <c r="O279" s="322">
        <v>0.15</v>
      </c>
      <c r="P279" s="322">
        <f>O279*H279</f>
        <v>0.66</v>
      </c>
      <c r="Q279" s="322">
        <v>0</v>
      </c>
      <c r="R279" s="322">
        <f>Q279*H279</f>
        <v>0</v>
      </c>
      <c r="S279" s="322">
        <v>0</v>
      </c>
      <c r="T279" s="323">
        <f>S279*H279</f>
        <v>0</v>
      </c>
      <c r="U279" s="222"/>
      <c r="V279" s="222"/>
      <c r="W279" s="222"/>
      <c r="X279" s="222"/>
      <c r="Y279" s="222"/>
      <c r="Z279" s="222"/>
      <c r="AA279" s="222"/>
      <c r="AB279" s="222"/>
      <c r="AC279" s="222"/>
      <c r="AD279" s="222"/>
      <c r="AE279" s="222"/>
      <c r="AR279" s="324" t="s">
        <v>212</v>
      </c>
      <c r="AT279" s="324" t="s">
        <v>148</v>
      </c>
      <c r="AU279" s="324" t="s">
        <v>83</v>
      </c>
      <c r="AY279" s="214" t="s">
        <v>146</v>
      </c>
      <c r="BE279" s="325">
        <f>IF(N279="základní",J279,0)</f>
        <v>0</v>
      </c>
      <c r="BF279" s="325">
        <f>IF(N279="snížená",J279,0)</f>
        <v>0</v>
      </c>
      <c r="BG279" s="325">
        <f>IF(N279="zákl. přenesená",J279,0)</f>
        <v>0</v>
      </c>
      <c r="BH279" s="325">
        <f>IF(N279="sníž. přenesená",J279,0)</f>
        <v>0</v>
      </c>
      <c r="BI279" s="325">
        <f>IF(N279="nulová",J279,0)</f>
        <v>0</v>
      </c>
      <c r="BJ279" s="214" t="s">
        <v>81</v>
      </c>
      <c r="BK279" s="325">
        <f>ROUND(I279*H279,2)</f>
        <v>0</v>
      </c>
      <c r="BL279" s="214" t="s">
        <v>212</v>
      </c>
      <c r="BM279" s="324" t="s">
        <v>1782</v>
      </c>
    </row>
    <row r="280" spans="2:51" s="326" customFormat="1" ht="12">
      <c r="B280" s="327"/>
      <c r="D280" s="328" t="s">
        <v>155</v>
      </c>
      <c r="E280" s="329" t="s">
        <v>1</v>
      </c>
      <c r="F280" s="330" t="s">
        <v>1783</v>
      </c>
      <c r="H280" s="329" t="s">
        <v>1</v>
      </c>
      <c r="I280" s="497"/>
      <c r="L280" s="327"/>
      <c r="M280" s="332"/>
      <c r="N280" s="333"/>
      <c r="O280" s="333"/>
      <c r="P280" s="333"/>
      <c r="Q280" s="333"/>
      <c r="R280" s="333"/>
      <c r="S280" s="333"/>
      <c r="T280" s="334"/>
      <c r="AT280" s="329" t="s">
        <v>155</v>
      </c>
      <c r="AU280" s="329" t="s">
        <v>83</v>
      </c>
      <c r="AV280" s="326" t="s">
        <v>81</v>
      </c>
      <c r="AW280" s="326" t="s">
        <v>34</v>
      </c>
      <c r="AX280" s="326" t="s">
        <v>76</v>
      </c>
      <c r="AY280" s="329" t="s">
        <v>146</v>
      </c>
    </row>
    <row r="281" spans="2:51" s="335" customFormat="1" ht="12">
      <c r="B281" s="336"/>
      <c r="D281" s="328" t="s">
        <v>155</v>
      </c>
      <c r="E281" s="337" t="s">
        <v>1</v>
      </c>
      <c r="F281" s="338" t="s">
        <v>1784</v>
      </c>
      <c r="H281" s="339">
        <v>4.4</v>
      </c>
      <c r="I281" s="498"/>
      <c r="L281" s="336"/>
      <c r="M281" s="341"/>
      <c r="N281" s="342"/>
      <c r="O281" s="342"/>
      <c r="P281" s="342"/>
      <c r="Q281" s="342"/>
      <c r="R281" s="342"/>
      <c r="S281" s="342"/>
      <c r="T281" s="343"/>
      <c r="AT281" s="337" t="s">
        <v>155</v>
      </c>
      <c r="AU281" s="337" t="s">
        <v>83</v>
      </c>
      <c r="AV281" s="335" t="s">
        <v>83</v>
      </c>
      <c r="AW281" s="335" t="s">
        <v>34</v>
      </c>
      <c r="AX281" s="335" t="s">
        <v>81</v>
      </c>
      <c r="AY281" s="337" t="s">
        <v>146</v>
      </c>
    </row>
    <row r="282" spans="1:65" s="225" customFormat="1" ht="33" customHeight="1">
      <c r="A282" s="222"/>
      <c r="B282" s="223"/>
      <c r="C282" s="358" t="s">
        <v>253</v>
      </c>
      <c r="D282" s="358" t="s">
        <v>208</v>
      </c>
      <c r="E282" s="359" t="s">
        <v>1785</v>
      </c>
      <c r="F282" s="364" t="s">
        <v>1786</v>
      </c>
      <c r="G282" s="361" t="s">
        <v>301</v>
      </c>
      <c r="H282" s="362">
        <v>1</v>
      </c>
      <c r="I282" s="80"/>
      <c r="J282" s="363">
        <f>ROUND(I282*H282,2)</f>
        <v>0</v>
      </c>
      <c r="K282" s="364"/>
      <c r="L282" s="675"/>
      <c r="M282" s="366" t="s">
        <v>1</v>
      </c>
      <c r="N282" s="367" t="s">
        <v>42</v>
      </c>
      <c r="O282" s="322">
        <v>0</v>
      </c>
      <c r="P282" s="322">
        <f>O282*H282</f>
        <v>0</v>
      </c>
      <c r="Q282" s="322">
        <v>0.0067</v>
      </c>
      <c r="R282" s="322">
        <f>Q282*H282</f>
        <v>0.0067</v>
      </c>
      <c r="S282" s="322">
        <v>0</v>
      </c>
      <c r="T282" s="323">
        <f>S282*H282</f>
        <v>0</v>
      </c>
      <c r="U282" s="222"/>
      <c r="V282" s="222"/>
      <c r="W282" s="222"/>
      <c r="X282" s="222"/>
      <c r="Y282" s="222"/>
      <c r="Z282" s="222"/>
      <c r="AA282" s="222"/>
      <c r="AB282" s="222"/>
      <c r="AC282" s="222"/>
      <c r="AD282" s="222"/>
      <c r="AE282" s="222"/>
      <c r="AR282" s="324" t="s">
        <v>298</v>
      </c>
      <c r="AT282" s="324" t="s">
        <v>208</v>
      </c>
      <c r="AU282" s="324" t="s">
        <v>83</v>
      </c>
      <c r="AY282" s="214" t="s">
        <v>146</v>
      </c>
      <c r="BE282" s="325">
        <f>IF(N282="základní",J282,0)</f>
        <v>0</v>
      </c>
      <c r="BF282" s="325">
        <f>IF(N282="snížená",J282,0)</f>
        <v>0</v>
      </c>
      <c r="BG282" s="325">
        <f>IF(N282="zákl. přenesená",J282,0)</f>
        <v>0</v>
      </c>
      <c r="BH282" s="325">
        <f>IF(N282="sníž. přenesená",J282,0)</f>
        <v>0</v>
      </c>
      <c r="BI282" s="325">
        <f>IF(N282="nulová",J282,0)</f>
        <v>0</v>
      </c>
      <c r="BJ282" s="214" t="s">
        <v>81</v>
      </c>
      <c r="BK282" s="325">
        <f>ROUND(I282*H282,2)</f>
        <v>0</v>
      </c>
      <c r="BL282" s="214" t="s">
        <v>212</v>
      </c>
      <c r="BM282" s="324" t="s">
        <v>1787</v>
      </c>
    </row>
    <row r="283" spans="2:51" s="326" customFormat="1" ht="12">
      <c r="B283" s="327"/>
      <c r="D283" s="328" t="s">
        <v>155</v>
      </c>
      <c r="E283" s="329" t="s">
        <v>1</v>
      </c>
      <c r="F283" s="330" t="s">
        <v>1783</v>
      </c>
      <c r="H283" s="329" t="s">
        <v>1</v>
      </c>
      <c r="L283" s="327"/>
      <c r="M283" s="332"/>
      <c r="N283" s="333"/>
      <c r="O283" s="333"/>
      <c r="P283" s="333"/>
      <c r="Q283" s="333"/>
      <c r="R283" s="333"/>
      <c r="S283" s="333"/>
      <c r="T283" s="334"/>
      <c r="AT283" s="329" t="s">
        <v>155</v>
      </c>
      <c r="AU283" s="329" t="s">
        <v>83</v>
      </c>
      <c r="AV283" s="326" t="s">
        <v>81</v>
      </c>
      <c r="AW283" s="326" t="s">
        <v>34</v>
      </c>
      <c r="AX283" s="326" t="s">
        <v>76</v>
      </c>
      <c r="AY283" s="329" t="s">
        <v>146</v>
      </c>
    </row>
    <row r="284" spans="2:51" s="326" customFormat="1" ht="12">
      <c r="B284" s="327"/>
      <c r="D284" s="328" t="s">
        <v>155</v>
      </c>
      <c r="E284" s="329" t="s">
        <v>1</v>
      </c>
      <c r="F284" s="330" t="s">
        <v>1788</v>
      </c>
      <c r="H284" s="329" t="s">
        <v>1</v>
      </c>
      <c r="L284" s="327"/>
      <c r="M284" s="332"/>
      <c r="N284" s="333"/>
      <c r="O284" s="333"/>
      <c r="P284" s="333"/>
      <c r="Q284" s="333"/>
      <c r="R284" s="333"/>
      <c r="S284" s="333"/>
      <c r="T284" s="334"/>
      <c r="AT284" s="329" t="s">
        <v>155</v>
      </c>
      <c r="AU284" s="329" t="s">
        <v>83</v>
      </c>
      <c r="AV284" s="326" t="s">
        <v>81</v>
      </c>
      <c r="AW284" s="326" t="s">
        <v>34</v>
      </c>
      <c r="AX284" s="326" t="s">
        <v>76</v>
      </c>
      <c r="AY284" s="329" t="s">
        <v>146</v>
      </c>
    </row>
    <row r="285" spans="2:51" s="335" customFormat="1" ht="12">
      <c r="B285" s="336"/>
      <c r="D285" s="328" t="s">
        <v>155</v>
      </c>
      <c r="E285" s="337" t="s">
        <v>1</v>
      </c>
      <c r="F285" s="338" t="s">
        <v>81</v>
      </c>
      <c r="H285" s="339">
        <v>1</v>
      </c>
      <c r="L285" s="336"/>
      <c r="M285" s="341"/>
      <c r="N285" s="342"/>
      <c r="O285" s="342"/>
      <c r="P285" s="342"/>
      <c r="Q285" s="342"/>
      <c r="R285" s="342"/>
      <c r="S285" s="342"/>
      <c r="T285" s="343"/>
      <c r="AT285" s="337" t="s">
        <v>155</v>
      </c>
      <c r="AU285" s="337" t="s">
        <v>83</v>
      </c>
      <c r="AV285" s="335" t="s">
        <v>83</v>
      </c>
      <c r="AW285" s="335" t="s">
        <v>34</v>
      </c>
      <c r="AX285" s="335" t="s">
        <v>81</v>
      </c>
      <c r="AY285" s="337" t="s">
        <v>146</v>
      </c>
    </row>
    <row r="286" spans="1:31" s="225" customFormat="1" ht="6.95" customHeight="1">
      <c r="A286" s="222"/>
      <c r="B286" s="253"/>
      <c r="C286" s="254"/>
      <c r="D286" s="254"/>
      <c r="E286" s="254"/>
      <c r="F286" s="254"/>
      <c r="G286" s="254"/>
      <c r="H286" s="254"/>
      <c r="I286" s="254"/>
      <c r="J286" s="254"/>
      <c r="K286" s="254"/>
      <c r="L286" s="223"/>
      <c r="M286" s="222"/>
      <c r="O286" s="222"/>
      <c r="P286" s="222"/>
      <c r="Q286" s="222"/>
      <c r="R286" s="222"/>
      <c r="S286" s="222"/>
      <c r="T286" s="222"/>
      <c r="U286" s="222"/>
      <c r="V286" s="222"/>
      <c r="W286" s="222"/>
      <c r="X286" s="222"/>
      <c r="Y286" s="222"/>
      <c r="Z286" s="222"/>
      <c r="AA286" s="222"/>
      <c r="AB286" s="222"/>
      <c r="AC286" s="222"/>
      <c r="AD286" s="222"/>
      <c r="AE286" s="222"/>
    </row>
  </sheetData>
  <sheetProtection password="CABD" sheet="1" objects="1" scenarios="1"/>
  <autoFilter ref="C121:K285"/>
  <mergeCells count="12">
    <mergeCell ref="E114:H114"/>
    <mergeCell ref="L2:V2"/>
    <mergeCell ref="E85:H85"/>
    <mergeCell ref="E87:H87"/>
    <mergeCell ref="E89:H89"/>
    <mergeCell ref="E110:H110"/>
    <mergeCell ref="E112:H112"/>
    <mergeCell ref="E7:H7"/>
    <mergeCell ref="E9:H9"/>
    <mergeCell ref="E11:H11"/>
    <mergeCell ref="E20:H20"/>
    <mergeCell ref="E29:H29"/>
  </mergeCells>
  <printOptions/>
  <pageMargins left="0.5905511811023623" right="0.3937007874015748" top="0.3937007874015748" bottom="0.3937007874015748" header="0" footer="0"/>
  <pageSetup blackAndWhite="1" fitToHeight="100" fitToWidth="1" horizontalDpi="600" verticalDpi="600" orientation="portrait" paperSize="9" scale="85" r:id="rId2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BM229"/>
  <sheetViews>
    <sheetView showGridLines="0" workbookViewId="0" topLeftCell="A103">
      <selection activeCell="J169" sqref="J169"/>
    </sheetView>
  </sheetViews>
  <sheetFormatPr defaultColWidth="9.140625" defaultRowHeight="12"/>
  <cols>
    <col min="1" max="1" width="8.28125" style="78" customWidth="1"/>
    <col min="2" max="2" width="1.1484375" style="78" customWidth="1"/>
    <col min="3" max="3" width="6.140625" style="78" customWidth="1"/>
    <col min="4" max="4" width="4.28125" style="78" customWidth="1"/>
    <col min="5" max="5" width="17.140625" style="78" customWidth="1"/>
    <col min="6" max="6" width="50.8515625" style="78" customWidth="1"/>
    <col min="7" max="7" width="7.421875" style="78" customWidth="1"/>
    <col min="8" max="8" width="14.00390625" style="78" customWidth="1"/>
    <col min="9" max="9" width="15.8515625" style="78" customWidth="1"/>
    <col min="10" max="10" width="22.28125" style="78" customWidth="1"/>
    <col min="11" max="11" width="22.28125" style="78" hidden="1" customWidth="1"/>
    <col min="12" max="12" width="33.28125" style="78" customWidth="1"/>
    <col min="13" max="13" width="10.8515625" style="78" hidden="1" customWidth="1"/>
    <col min="14" max="14" width="9.28125" style="78" hidden="1" customWidth="1"/>
    <col min="15" max="20" width="14.140625" style="78" hidden="1" customWidth="1"/>
    <col min="21" max="21" width="16.28125" style="78" hidden="1" customWidth="1"/>
    <col min="22" max="22" width="12.28125" style="78" customWidth="1"/>
    <col min="23" max="23" width="16.28125" style="78" customWidth="1"/>
    <col min="24" max="24" width="12.28125" style="78" customWidth="1"/>
    <col min="25" max="25" width="15.00390625" style="78" customWidth="1"/>
    <col min="26" max="26" width="11.00390625" style="78" customWidth="1"/>
    <col min="27" max="27" width="15.00390625" style="78" customWidth="1"/>
    <col min="28" max="28" width="16.28125" style="78" customWidth="1"/>
    <col min="29" max="29" width="11.00390625" style="78" customWidth="1"/>
    <col min="30" max="30" width="15.00390625" style="78" customWidth="1"/>
    <col min="31" max="31" width="16.28125" style="78" customWidth="1"/>
    <col min="32" max="43" width="9.28125" style="78" customWidth="1"/>
    <col min="44" max="65" width="9.28125" style="78" hidden="1" customWidth="1"/>
    <col min="66" max="16384" width="9.28125" style="78" customWidth="1"/>
  </cols>
  <sheetData>
    <row r="1" ht="12" hidden="1"/>
    <row r="2" spans="12:46" ht="36.95" customHeight="1" hidden="1">
      <c r="L2" s="834" t="s">
        <v>5</v>
      </c>
      <c r="M2" s="835"/>
      <c r="N2" s="835"/>
      <c r="O2" s="835"/>
      <c r="P2" s="835"/>
      <c r="Q2" s="835"/>
      <c r="R2" s="835"/>
      <c r="S2" s="835"/>
      <c r="T2" s="835"/>
      <c r="U2" s="835"/>
      <c r="V2" s="835"/>
      <c r="AT2" s="214" t="s">
        <v>88</v>
      </c>
    </row>
    <row r="3" spans="2:46" ht="6.95" customHeight="1" hidden="1">
      <c r="B3" s="215"/>
      <c r="C3" s="216"/>
      <c r="D3" s="216"/>
      <c r="E3" s="216"/>
      <c r="F3" s="216"/>
      <c r="G3" s="216"/>
      <c r="H3" s="216"/>
      <c r="I3" s="216"/>
      <c r="J3" s="216"/>
      <c r="K3" s="216"/>
      <c r="L3" s="218"/>
      <c r="AT3" s="214" t="s">
        <v>83</v>
      </c>
    </row>
    <row r="4" spans="2:46" ht="24.95" customHeight="1" hidden="1">
      <c r="B4" s="218"/>
      <c r="D4" s="219" t="s">
        <v>94</v>
      </c>
      <c r="L4" s="218"/>
      <c r="M4" s="220" t="s">
        <v>10</v>
      </c>
      <c r="AT4" s="214" t="s">
        <v>3</v>
      </c>
    </row>
    <row r="5" spans="2:12" ht="6.95" customHeight="1" hidden="1">
      <c r="B5" s="218"/>
      <c r="L5" s="218"/>
    </row>
    <row r="6" spans="2:12" ht="12" customHeight="1" hidden="1">
      <c r="B6" s="218"/>
      <c r="D6" s="221" t="s">
        <v>14</v>
      </c>
      <c r="L6" s="218"/>
    </row>
    <row r="7" spans="2:12" ht="16.5" customHeight="1" hidden="1">
      <c r="B7" s="218"/>
      <c r="E7" s="832" t="str">
        <f>'Rekapitulace stavby'!K6</f>
        <v>Středisko Okrouhlík - nástavba a stavební úpravy</v>
      </c>
      <c r="F7" s="833"/>
      <c r="G7" s="833"/>
      <c r="H7" s="833"/>
      <c r="L7" s="218"/>
    </row>
    <row r="8" spans="2:12" ht="12" customHeight="1" hidden="1">
      <c r="B8" s="218"/>
      <c r="D8" s="221" t="s">
        <v>95</v>
      </c>
      <c r="L8" s="218"/>
    </row>
    <row r="9" spans="1:31" s="225" customFormat="1" ht="16.5" customHeight="1" hidden="1">
      <c r="A9" s="222"/>
      <c r="B9" s="223"/>
      <c r="C9" s="222"/>
      <c r="D9" s="222"/>
      <c r="E9" s="832" t="s">
        <v>96</v>
      </c>
      <c r="F9" s="831"/>
      <c r="G9" s="831"/>
      <c r="H9" s="831"/>
      <c r="I9" s="222"/>
      <c r="J9" s="222"/>
      <c r="K9" s="222"/>
      <c r="L9" s="245"/>
      <c r="S9" s="222"/>
      <c r="T9" s="222"/>
      <c r="U9" s="222"/>
      <c r="V9" s="222"/>
      <c r="W9" s="222"/>
      <c r="X9" s="222"/>
      <c r="Y9" s="222"/>
      <c r="Z9" s="222"/>
      <c r="AA9" s="222"/>
      <c r="AB9" s="222"/>
      <c r="AC9" s="222"/>
      <c r="AD9" s="222"/>
      <c r="AE9" s="222"/>
    </row>
    <row r="10" spans="1:31" s="225" customFormat="1" ht="12" customHeight="1" hidden="1">
      <c r="A10" s="222"/>
      <c r="B10" s="223"/>
      <c r="C10" s="222"/>
      <c r="D10" s="221" t="s">
        <v>1346</v>
      </c>
      <c r="E10" s="222"/>
      <c r="F10" s="222"/>
      <c r="G10" s="222"/>
      <c r="H10" s="222"/>
      <c r="I10" s="222"/>
      <c r="J10" s="222"/>
      <c r="K10" s="222"/>
      <c r="L10" s="245"/>
      <c r="S10" s="222"/>
      <c r="T10" s="222"/>
      <c r="U10" s="222"/>
      <c r="V10" s="222"/>
      <c r="W10" s="222"/>
      <c r="X10" s="222"/>
      <c r="Y10" s="222"/>
      <c r="Z10" s="222"/>
      <c r="AA10" s="222"/>
      <c r="AB10" s="222"/>
      <c r="AC10" s="222"/>
      <c r="AD10" s="222"/>
      <c r="AE10" s="222"/>
    </row>
    <row r="11" spans="1:31" s="225" customFormat="1" ht="16.5" customHeight="1" hidden="1">
      <c r="A11" s="222"/>
      <c r="B11" s="223"/>
      <c r="C11" s="222"/>
      <c r="D11" s="222"/>
      <c r="E11" s="830" t="s">
        <v>1789</v>
      </c>
      <c r="F11" s="831"/>
      <c r="G11" s="831"/>
      <c r="H11" s="831"/>
      <c r="I11" s="222"/>
      <c r="J11" s="222"/>
      <c r="K11" s="222"/>
      <c r="L11" s="245"/>
      <c r="S11" s="222"/>
      <c r="T11" s="222"/>
      <c r="U11" s="222"/>
      <c r="V11" s="222"/>
      <c r="W11" s="222"/>
      <c r="X11" s="222"/>
      <c r="Y11" s="222"/>
      <c r="Z11" s="222"/>
      <c r="AA11" s="222"/>
      <c r="AB11" s="222"/>
      <c r="AC11" s="222"/>
      <c r="AD11" s="222"/>
      <c r="AE11" s="222"/>
    </row>
    <row r="12" spans="1:31" s="225" customFormat="1" ht="12" hidden="1">
      <c r="A12" s="222"/>
      <c r="B12" s="223"/>
      <c r="C12" s="222"/>
      <c r="D12" s="222"/>
      <c r="E12" s="222"/>
      <c r="F12" s="222"/>
      <c r="G12" s="222"/>
      <c r="H12" s="222"/>
      <c r="I12" s="222"/>
      <c r="J12" s="222"/>
      <c r="K12" s="222"/>
      <c r="L12" s="245"/>
      <c r="S12" s="222"/>
      <c r="T12" s="222"/>
      <c r="U12" s="222"/>
      <c r="V12" s="222"/>
      <c r="W12" s="222"/>
      <c r="X12" s="222"/>
      <c r="Y12" s="222"/>
      <c r="Z12" s="222"/>
      <c r="AA12" s="222"/>
      <c r="AB12" s="222"/>
      <c r="AC12" s="222"/>
      <c r="AD12" s="222"/>
      <c r="AE12" s="222"/>
    </row>
    <row r="13" spans="1:31" s="225" customFormat="1" ht="12" customHeight="1" hidden="1">
      <c r="A13" s="222"/>
      <c r="B13" s="223"/>
      <c r="C13" s="222"/>
      <c r="D13" s="221" t="s">
        <v>16</v>
      </c>
      <c r="E13" s="222"/>
      <c r="F13" s="226" t="s">
        <v>1</v>
      </c>
      <c r="G13" s="222"/>
      <c r="H13" s="222"/>
      <c r="I13" s="221" t="s">
        <v>17</v>
      </c>
      <c r="J13" s="226" t="s">
        <v>1</v>
      </c>
      <c r="K13" s="222"/>
      <c r="L13" s="245"/>
      <c r="S13" s="222"/>
      <c r="T13" s="222"/>
      <c r="U13" s="222"/>
      <c r="V13" s="222"/>
      <c r="W13" s="222"/>
      <c r="X13" s="222"/>
      <c r="Y13" s="222"/>
      <c r="Z13" s="222"/>
      <c r="AA13" s="222"/>
      <c r="AB13" s="222"/>
      <c r="AC13" s="222"/>
      <c r="AD13" s="222"/>
      <c r="AE13" s="222"/>
    </row>
    <row r="14" spans="1:31" s="225" customFormat="1" ht="12" customHeight="1" hidden="1">
      <c r="A14" s="222"/>
      <c r="B14" s="223"/>
      <c r="C14" s="222"/>
      <c r="D14" s="221" t="s">
        <v>18</v>
      </c>
      <c r="E14" s="222"/>
      <c r="F14" s="226" t="s">
        <v>19</v>
      </c>
      <c r="G14" s="222"/>
      <c r="H14" s="222"/>
      <c r="I14" s="221" t="s">
        <v>20</v>
      </c>
      <c r="J14" s="227" t="str">
        <f>'Rekapitulace stavby'!AN8</f>
        <v>8. 10. 2021</v>
      </c>
      <c r="K14" s="222"/>
      <c r="L14" s="245"/>
      <c r="S14" s="222"/>
      <c r="T14" s="222"/>
      <c r="U14" s="222"/>
      <c r="V14" s="222"/>
      <c r="W14" s="222"/>
      <c r="X14" s="222"/>
      <c r="Y14" s="222"/>
      <c r="Z14" s="222"/>
      <c r="AA14" s="222"/>
      <c r="AB14" s="222"/>
      <c r="AC14" s="222"/>
      <c r="AD14" s="222"/>
      <c r="AE14" s="222"/>
    </row>
    <row r="15" spans="1:31" s="225" customFormat="1" ht="10.9" customHeight="1" hidden="1">
      <c r="A15" s="222"/>
      <c r="B15" s="223"/>
      <c r="C15" s="222"/>
      <c r="D15" s="222"/>
      <c r="E15" s="222"/>
      <c r="F15" s="222"/>
      <c r="G15" s="222"/>
      <c r="H15" s="222"/>
      <c r="I15" s="222"/>
      <c r="J15" s="222"/>
      <c r="K15" s="222"/>
      <c r="L15" s="245"/>
      <c r="S15" s="222"/>
      <c r="T15" s="222"/>
      <c r="U15" s="222"/>
      <c r="V15" s="222"/>
      <c r="W15" s="222"/>
      <c r="X15" s="222"/>
      <c r="Y15" s="222"/>
      <c r="Z15" s="222"/>
      <c r="AA15" s="222"/>
      <c r="AB15" s="222"/>
      <c r="AC15" s="222"/>
      <c r="AD15" s="222"/>
      <c r="AE15" s="222"/>
    </row>
    <row r="16" spans="1:31" s="225" customFormat="1" ht="12" customHeight="1" hidden="1">
      <c r="A16" s="222"/>
      <c r="B16" s="223"/>
      <c r="C16" s="222"/>
      <c r="D16" s="221" t="s">
        <v>22</v>
      </c>
      <c r="E16" s="222"/>
      <c r="F16" s="222"/>
      <c r="G16" s="222"/>
      <c r="H16" s="222"/>
      <c r="I16" s="221" t="s">
        <v>23</v>
      </c>
      <c r="J16" s="226" t="s">
        <v>24</v>
      </c>
      <c r="K16" s="222"/>
      <c r="L16" s="245"/>
      <c r="S16" s="222"/>
      <c r="T16" s="222"/>
      <c r="U16" s="222"/>
      <c r="V16" s="222"/>
      <c r="W16" s="222"/>
      <c r="X16" s="222"/>
      <c r="Y16" s="222"/>
      <c r="Z16" s="222"/>
      <c r="AA16" s="222"/>
      <c r="AB16" s="222"/>
      <c r="AC16" s="222"/>
      <c r="AD16" s="222"/>
      <c r="AE16" s="222"/>
    </row>
    <row r="17" spans="1:31" s="225" customFormat="1" ht="18" customHeight="1" hidden="1">
      <c r="A17" s="222"/>
      <c r="B17" s="223"/>
      <c r="C17" s="222"/>
      <c r="D17" s="222"/>
      <c r="E17" s="226" t="s">
        <v>25</v>
      </c>
      <c r="F17" s="222"/>
      <c r="G17" s="222"/>
      <c r="H17" s="222"/>
      <c r="I17" s="221" t="s">
        <v>26</v>
      </c>
      <c r="J17" s="226" t="s">
        <v>27</v>
      </c>
      <c r="K17" s="222"/>
      <c r="L17" s="245"/>
      <c r="S17" s="222"/>
      <c r="T17" s="222"/>
      <c r="U17" s="222"/>
      <c r="V17" s="222"/>
      <c r="W17" s="222"/>
      <c r="X17" s="222"/>
      <c r="Y17" s="222"/>
      <c r="Z17" s="222"/>
      <c r="AA17" s="222"/>
      <c r="AB17" s="222"/>
      <c r="AC17" s="222"/>
      <c r="AD17" s="222"/>
      <c r="AE17" s="222"/>
    </row>
    <row r="18" spans="1:31" s="225" customFormat="1" ht="6.95" customHeight="1" hidden="1">
      <c r="A18" s="222"/>
      <c r="B18" s="223"/>
      <c r="C18" s="222"/>
      <c r="D18" s="222"/>
      <c r="E18" s="222"/>
      <c r="F18" s="222"/>
      <c r="G18" s="222"/>
      <c r="H18" s="222"/>
      <c r="I18" s="222"/>
      <c r="J18" s="222"/>
      <c r="K18" s="222"/>
      <c r="L18" s="245"/>
      <c r="S18" s="222"/>
      <c r="T18" s="222"/>
      <c r="U18" s="222"/>
      <c r="V18" s="222"/>
      <c r="W18" s="222"/>
      <c r="X18" s="222"/>
      <c r="Y18" s="222"/>
      <c r="Z18" s="222"/>
      <c r="AA18" s="222"/>
      <c r="AB18" s="222"/>
      <c r="AC18" s="222"/>
      <c r="AD18" s="222"/>
      <c r="AE18" s="222"/>
    </row>
    <row r="19" spans="1:31" s="225" customFormat="1" ht="12" customHeight="1" hidden="1">
      <c r="A19" s="222"/>
      <c r="B19" s="223"/>
      <c r="C19" s="222"/>
      <c r="D19" s="221" t="s">
        <v>28</v>
      </c>
      <c r="E19" s="222"/>
      <c r="F19" s="222"/>
      <c r="G19" s="222"/>
      <c r="H19" s="222"/>
      <c r="I19" s="221" t="s">
        <v>23</v>
      </c>
      <c r="J19" s="226" t="str">
        <f>'Rekapitulace stavby'!AN13</f>
        <v/>
      </c>
      <c r="K19" s="222"/>
      <c r="L19" s="245"/>
      <c r="S19" s="222"/>
      <c r="T19" s="222"/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  <c r="AE19" s="222"/>
    </row>
    <row r="20" spans="1:31" s="225" customFormat="1" ht="18" customHeight="1" hidden="1">
      <c r="A20" s="222"/>
      <c r="B20" s="223"/>
      <c r="C20" s="222"/>
      <c r="D20" s="222"/>
      <c r="E20" s="836" t="str">
        <f>'Rekapitulace stavby'!E14</f>
        <v xml:space="preserve"> </v>
      </c>
      <c r="F20" s="836"/>
      <c r="G20" s="836"/>
      <c r="H20" s="836"/>
      <c r="I20" s="221" t="s">
        <v>26</v>
      </c>
      <c r="J20" s="226" t="str">
        <f>'Rekapitulace stavby'!AN14</f>
        <v/>
      </c>
      <c r="K20" s="222"/>
      <c r="L20" s="245"/>
      <c r="S20" s="222"/>
      <c r="T20" s="222"/>
      <c r="U20" s="222"/>
      <c r="V20" s="222"/>
      <c r="W20" s="222"/>
      <c r="X20" s="222"/>
      <c r="Y20" s="222"/>
      <c r="Z20" s="222"/>
      <c r="AA20" s="222"/>
      <c r="AB20" s="222"/>
      <c r="AC20" s="222"/>
      <c r="AD20" s="222"/>
      <c r="AE20" s="222"/>
    </row>
    <row r="21" spans="1:31" s="225" customFormat="1" ht="6.95" customHeight="1" hidden="1">
      <c r="A21" s="222"/>
      <c r="B21" s="223"/>
      <c r="C21" s="222"/>
      <c r="D21" s="222"/>
      <c r="E21" s="222"/>
      <c r="F21" s="222"/>
      <c r="G21" s="222"/>
      <c r="H21" s="222"/>
      <c r="I21" s="222"/>
      <c r="J21" s="222"/>
      <c r="K21" s="222"/>
      <c r="L21" s="245"/>
      <c r="S21" s="222"/>
      <c r="T21" s="222"/>
      <c r="U21" s="222"/>
      <c r="V21" s="222"/>
      <c r="W21" s="222"/>
      <c r="X21" s="222"/>
      <c r="Y21" s="222"/>
      <c r="Z21" s="222"/>
      <c r="AA21" s="222"/>
      <c r="AB21" s="222"/>
      <c r="AC21" s="222"/>
      <c r="AD21" s="222"/>
      <c r="AE21" s="222"/>
    </row>
    <row r="22" spans="1:31" s="225" customFormat="1" ht="12" customHeight="1" hidden="1">
      <c r="A22" s="222"/>
      <c r="B22" s="223"/>
      <c r="C22" s="222"/>
      <c r="D22" s="221" t="s">
        <v>30</v>
      </c>
      <c r="E22" s="222"/>
      <c r="F22" s="222"/>
      <c r="G22" s="222"/>
      <c r="H22" s="222"/>
      <c r="I22" s="221" t="s">
        <v>23</v>
      </c>
      <c r="J22" s="226" t="s">
        <v>31</v>
      </c>
      <c r="K22" s="222"/>
      <c r="L22" s="245"/>
      <c r="S22" s="222"/>
      <c r="T22" s="222"/>
      <c r="U22" s="222"/>
      <c r="V22" s="222"/>
      <c r="W22" s="222"/>
      <c r="X22" s="222"/>
      <c r="Y22" s="222"/>
      <c r="Z22" s="222"/>
      <c r="AA22" s="222"/>
      <c r="AB22" s="222"/>
      <c r="AC22" s="222"/>
      <c r="AD22" s="222"/>
      <c r="AE22" s="222"/>
    </row>
    <row r="23" spans="1:31" s="225" customFormat="1" ht="18" customHeight="1" hidden="1">
      <c r="A23" s="222"/>
      <c r="B23" s="223"/>
      <c r="C23" s="222"/>
      <c r="D23" s="222"/>
      <c r="E23" s="226" t="s">
        <v>32</v>
      </c>
      <c r="F23" s="222"/>
      <c r="G23" s="222"/>
      <c r="H23" s="222"/>
      <c r="I23" s="221" t="s">
        <v>26</v>
      </c>
      <c r="J23" s="226" t="s">
        <v>33</v>
      </c>
      <c r="K23" s="222"/>
      <c r="L23" s="245"/>
      <c r="S23" s="222"/>
      <c r="T23" s="222"/>
      <c r="U23" s="222"/>
      <c r="V23" s="222"/>
      <c r="W23" s="222"/>
      <c r="X23" s="222"/>
      <c r="Y23" s="222"/>
      <c r="Z23" s="222"/>
      <c r="AA23" s="222"/>
      <c r="AB23" s="222"/>
      <c r="AC23" s="222"/>
      <c r="AD23" s="222"/>
      <c r="AE23" s="222"/>
    </row>
    <row r="24" spans="1:31" s="225" customFormat="1" ht="6.95" customHeight="1" hidden="1">
      <c r="A24" s="222"/>
      <c r="B24" s="223"/>
      <c r="C24" s="222"/>
      <c r="D24" s="222"/>
      <c r="E24" s="222"/>
      <c r="F24" s="222"/>
      <c r="G24" s="222"/>
      <c r="H24" s="222"/>
      <c r="I24" s="222"/>
      <c r="J24" s="222"/>
      <c r="K24" s="222"/>
      <c r="L24" s="245"/>
      <c r="S24" s="222"/>
      <c r="T24" s="222"/>
      <c r="U24" s="222"/>
      <c r="V24" s="222"/>
      <c r="W24" s="222"/>
      <c r="X24" s="222"/>
      <c r="Y24" s="222"/>
      <c r="Z24" s="222"/>
      <c r="AA24" s="222"/>
      <c r="AB24" s="222"/>
      <c r="AC24" s="222"/>
      <c r="AD24" s="222"/>
      <c r="AE24" s="222"/>
    </row>
    <row r="25" spans="1:31" s="225" customFormat="1" ht="12" customHeight="1" hidden="1">
      <c r="A25" s="222"/>
      <c r="B25" s="223"/>
      <c r="C25" s="222"/>
      <c r="D25" s="221" t="s">
        <v>35</v>
      </c>
      <c r="E25" s="222"/>
      <c r="F25" s="222"/>
      <c r="G25" s="222"/>
      <c r="H25" s="222"/>
      <c r="I25" s="221" t="s">
        <v>23</v>
      </c>
      <c r="J25" s="226" t="str">
        <f>IF('Rekapitulace stavby'!AN19="","",'Rekapitulace stavby'!AN19)</f>
        <v/>
      </c>
      <c r="K25" s="222"/>
      <c r="L25" s="245"/>
      <c r="S25" s="222"/>
      <c r="T25" s="222"/>
      <c r="U25" s="222"/>
      <c r="V25" s="222"/>
      <c r="W25" s="222"/>
      <c r="X25" s="222"/>
      <c r="Y25" s="222"/>
      <c r="Z25" s="222"/>
      <c r="AA25" s="222"/>
      <c r="AB25" s="222"/>
      <c r="AC25" s="222"/>
      <c r="AD25" s="222"/>
      <c r="AE25" s="222"/>
    </row>
    <row r="26" spans="1:31" s="225" customFormat="1" ht="18" customHeight="1" hidden="1">
      <c r="A26" s="222"/>
      <c r="B26" s="223"/>
      <c r="C26" s="222"/>
      <c r="D26" s="222"/>
      <c r="E26" s="226" t="str">
        <f>IF('Rekapitulace stavby'!E20="","",'Rekapitulace stavby'!E20)</f>
        <v xml:space="preserve"> </v>
      </c>
      <c r="F26" s="222"/>
      <c r="G26" s="222"/>
      <c r="H26" s="222"/>
      <c r="I26" s="221" t="s">
        <v>26</v>
      </c>
      <c r="J26" s="226" t="str">
        <f>IF('Rekapitulace stavby'!AN20="","",'Rekapitulace stavby'!AN20)</f>
        <v/>
      </c>
      <c r="K26" s="222"/>
      <c r="L26" s="245"/>
      <c r="S26" s="222"/>
      <c r="T26" s="222"/>
      <c r="U26" s="222"/>
      <c r="V26" s="222"/>
      <c r="W26" s="222"/>
      <c r="X26" s="222"/>
      <c r="Y26" s="222"/>
      <c r="Z26" s="222"/>
      <c r="AA26" s="222"/>
      <c r="AB26" s="222"/>
      <c r="AC26" s="222"/>
      <c r="AD26" s="222"/>
      <c r="AE26" s="222"/>
    </row>
    <row r="27" spans="1:31" s="225" customFormat="1" ht="6.95" customHeight="1" hidden="1">
      <c r="A27" s="222"/>
      <c r="B27" s="223"/>
      <c r="C27" s="222"/>
      <c r="D27" s="222"/>
      <c r="E27" s="222"/>
      <c r="F27" s="222"/>
      <c r="G27" s="222"/>
      <c r="H27" s="222"/>
      <c r="I27" s="222"/>
      <c r="J27" s="222"/>
      <c r="K27" s="222"/>
      <c r="L27" s="245"/>
      <c r="S27" s="222"/>
      <c r="T27" s="222"/>
      <c r="U27" s="222"/>
      <c r="V27" s="222"/>
      <c r="W27" s="222"/>
      <c r="X27" s="222"/>
      <c r="Y27" s="222"/>
      <c r="Z27" s="222"/>
      <c r="AA27" s="222"/>
      <c r="AB27" s="222"/>
      <c r="AC27" s="222"/>
      <c r="AD27" s="222"/>
      <c r="AE27" s="222"/>
    </row>
    <row r="28" spans="1:31" s="225" customFormat="1" ht="12" customHeight="1" hidden="1">
      <c r="A28" s="222"/>
      <c r="B28" s="223"/>
      <c r="C28" s="222"/>
      <c r="D28" s="221" t="s">
        <v>36</v>
      </c>
      <c r="E28" s="222"/>
      <c r="F28" s="222"/>
      <c r="G28" s="222"/>
      <c r="H28" s="222"/>
      <c r="I28" s="222"/>
      <c r="J28" s="222"/>
      <c r="K28" s="222"/>
      <c r="L28" s="245"/>
      <c r="S28" s="222"/>
      <c r="T28" s="222"/>
      <c r="U28" s="222"/>
      <c r="V28" s="222"/>
      <c r="W28" s="222"/>
      <c r="X28" s="222"/>
      <c r="Y28" s="222"/>
      <c r="Z28" s="222"/>
      <c r="AA28" s="222"/>
      <c r="AB28" s="222"/>
      <c r="AC28" s="222"/>
      <c r="AD28" s="222"/>
      <c r="AE28" s="222"/>
    </row>
    <row r="29" spans="1:31" s="230" customFormat="1" ht="16.5" customHeight="1" hidden="1">
      <c r="A29" s="228"/>
      <c r="B29" s="229"/>
      <c r="C29" s="228"/>
      <c r="D29" s="228"/>
      <c r="E29" s="837" t="s">
        <v>1</v>
      </c>
      <c r="F29" s="837"/>
      <c r="G29" s="837"/>
      <c r="H29" s="837"/>
      <c r="I29" s="228"/>
      <c r="J29" s="228"/>
      <c r="K29" s="228"/>
      <c r="L29" s="224"/>
      <c r="S29" s="228"/>
      <c r="T29" s="228"/>
      <c r="U29" s="228"/>
      <c r="V29" s="228"/>
      <c r="W29" s="228"/>
      <c r="X29" s="228"/>
      <c r="Y29" s="228"/>
      <c r="Z29" s="228"/>
      <c r="AA29" s="228"/>
      <c r="AB29" s="228"/>
      <c r="AC29" s="228"/>
      <c r="AD29" s="228"/>
      <c r="AE29" s="228"/>
    </row>
    <row r="30" spans="1:31" s="225" customFormat="1" ht="6.95" customHeight="1" hidden="1">
      <c r="A30" s="222"/>
      <c r="B30" s="223"/>
      <c r="C30" s="222"/>
      <c r="D30" s="222"/>
      <c r="E30" s="222"/>
      <c r="F30" s="222"/>
      <c r="G30" s="222"/>
      <c r="H30" s="222"/>
      <c r="I30" s="222"/>
      <c r="J30" s="222"/>
      <c r="K30" s="222"/>
      <c r="L30" s="245"/>
      <c r="S30" s="222"/>
      <c r="T30" s="222"/>
      <c r="U30" s="222"/>
      <c r="V30" s="222"/>
      <c r="W30" s="222"/>
      <c r="X30" s="222"/>
      <c r="Y30" s="222"/>
      <c r="Z30" s="222"/>
      <c r="AA30" s="222"/>
      <c r="AB30" s="222"/>
      <c r="AC30" s="222"/>
      <c r="AD30" s="222"/>
      <c r="AE30" s="222"/>
    </row>
    <row r="31" spans="1:31" s="225" customFormat="1" ht="6.95" customHeight="1" hidden="1">
      <c r="A31" s="222"/>
      <c r="B31" s="223"/>
      <c r="C31" s="222"/>
      <c r="D31" s="231"/>
      <c r="E31" s="231"/>
      <c r="F31" s="231"/>
      <c r="G31" s="231"/>
      <c r="H31" s="231"/>
      <c r="I31" s="231"/>
      <c r="J31" s="231"/>
      <c r="K31" s="231"/>
      <c r="L31" s="245"/>
      <c r="S31" s="222"/>
      <c r="T31" s="222"/>
      <c r="U31" s="222"/>
      <c r="V31" s="222"/>
      <c r="W31" s="222"/>
      <c r="X31" s="222"/>
      <c r="Y31" s="222"/>
      <c r="Z31" s="222"/>
      <c r="AA31" s="222"/>
      <c r="AB31" s="222"/>
      <c r="AC31" s="222"/>
      <c r="AD31" s="222"/>
      <c r="AE31" s="222"/>
    </row>
    <row r="32" spans="1:31" s="225" customFormat="1" ht="25.35" customHeight="1" hidden="1">
      <c r="A32" s="222"/>
      <c r="B32" s="223"/>
      <c r="C32" s="222"/>
      <c r="D32" s="232" t="s">
        <v>37</v>
      </c>
      <c r="E32" s="222"/>
      <c r="F32" s="222"/>
      <c r="G32" s="222"/>
      <c r="H32" s="222"/>
      <c r="I32" s="222"/>
      <c r="J32" s="233">
        <f>ROUND(J125,2)</f>
        <v>0</v>
      </c>
      <c r="K32" s="222"/>
      <c r="L32" s="245"/>
      <c r="S32" s="222"/>
      <c r="T32" s="222"/>
      <c r="U32" s="222"/>
      <c r="V32" s="222"/>
      <c r="W32" s="222"/>
      <c r="X32" s="222"/>
      <c r="Y32" s="222"/>
      <c r="Z32" s="222"/>
      <c r="AA32" s="222"/>
      <c r="AB32" s="222"/>
      <c r="AC32" s="222"/>
      <c r="AD32" s="222"/>
      <c r="AE32" s="222"/>
    </row>
    <row r="33" spans="1:31" s="225" customFormat="1" ht="6.95" customHeight="1" hidden="1">
      <c r="A33" s="222"/>
      <c r="B33" s="223"/>
      <c r="C33" s="222"/>
      <c r="D33" s="231"/>
      <c r="E33" s="231"/>
      <c r="F33" s="231"/>
      <c r="G33" s="231"/>
      <c r="H33" s="231"/>
      <c r="I33" s="231"/>
      <c r="J33" s="231"/>
      <c r="K33" s="231"/>
      <c r="L33" s="245"/>
      <c r="S33" s="222"/>
      <c r="T33" s="222"/>
      <c r="U33" s="222"/>
      <c r="V33" s="222"/>
      <c r="W33" s="222"/>
      <c r="X33" s="222"/>
      <c r="Y33" s="222"/>
      <c r="Z33" s="222"/>
      <c r="AA33" s="222"/>
      <c r="AB33" s="222"/>
      <c r="AC33" s="222"/>
      <c r="AD33" s="222"/>
      <c r="AE33" s="222"/>
    </row>
    <row r="34" spans="1:31" s="225" customFormat="1" ht="14.45" customHeight="1" hidden="1">
      <c r="A34" s="222"/>
      <c r="B34" s="223"/>
      <c r="C34" s="222"/>
      <c r="D34" s="222"/>
      <c r="E34" s="222"/>
      <c r="F34" s="234" t="s">
        <v>39</v>
      </c>
      <c r="G34" s="222"/>
      <c r="H34" s="222"/>
      <c r="I34" s="234" t="s">
        <v>38</v>
      </c>
      <c r="J34" s="234" t="s">
        <v>40</v>
      </c>
      <c r="K34" s="222"/>
      <c r="L34" s="245"/>
      <c r="S34" s="222"/>
      <c r="T34" s="222"/>
      <c r="U34" s="222"/>
      <c r="V34" s="222"/>
      <c r="W34" s="222"/>
      <c r="X34" s="222"/>
      <c r="Y34" s="222"/>
      <c r="Z34" s="222"/>
      <c r="AA34" s="222"/>
      <c r="AB34" s="222"/>
      <c r="AC34" s="222"/>
      <c r="AD34" s="222"/>
      <c r="AE34" s="222"/>
    </row>
    <row r="35" spans="1:31" s="225" customFormat="1" ht="14.45" customHeight="1" hidden="1">
      <c r="A35" s="222"/>
      <c r="B35" s="223"/>
      <c r="C35" s="222"/>
      <c r="D35" s="235" t="s">
        <v>41</v>
      </c>
      <c r="E35" s="221" t="s">
        <v>42</v>
      </c>
      <c r="F35" s="236">
        <f>ROUND((SUM(BE125:BE228)),2)</f>
        <v>0</v>
      </c>
      <c r="G35" s="222"/>
      <c r="H35" s="222"/>
      <c r="I35" s="237">
        <v>0.21</v>
      </c>
      <c r="J35" s="236">
        <f>ROUND(((SUM(BE125:BE228))*I35),2)</f>
        <v>0</v>
      </c>
      <c r="K35" s="222"/>
      <c r="L35" s="245"/>
      <c r="S35" s="222"/>
      <c r="T35" s="222"/>
      <c r="U35" s="222"/>
      <c r="V35" s="222"/>
      <c r="W35" s="222"/>
      <c r="X35" s="222"/>
      <c r="Y35" s="222"/>
      <c r="Z35" s="222"/>
      <c r="AA35" s="222"/>
      <c r="AB35" s="222"/>
      <c r="AC35" s="222"/>
      <c r="AD35" s="222"/>
      <c r="AE35" s="222"/>
    </row>
    <row r="36" spans="1:31" s="225" customFormat="1" ht="14.45" customHeight="1" hidden="1">
      <c r="A36" s="222"/>
      <c r="B36" s="223"/>
      <c r="C36" s="222"/>
      <c r="D36" s="222"/>
      <c r="E36" s="221" t="s">
        <v>43</v>
      </c>
      <c r="F36" s="236">
        <f>ROUND((SUM(BF125:BF228)),2)</f>
        <v>0</v>
      </c>
      <c r="G36" s="222"/>
      <c r="H36" s="222"/>
      <c r="I36" s="237">
        <v>0.15</v>
      </c>
      <c r="J36" s="236">
        <f>ROUND(((SUM(BF125:BF228))*I36),2)</f>
        <v>0</v>
      </c>
      <c r="K36" s="222"/>
      <c r="L36" s="245"/>
      <c r="S36" s="222"/>
      <c r="T36" s="222"/>
      <c r="U36" s="222"/>
      <c r="V36" s="222"/>
      <c r="W36" s="222"/>
      <c r="X36" s="222"/>
      <c r="Y36" s="222"/>
      <c r="Z36" s="222"/>
      <c r="AA36" s="222"/>
      <c r="AB36" s="222"/>
      <c r="AC36" s="222"/>
      <c r="AD36" s="222"/>
      <c r="AE36" s="222"/>
    </row>
    <row r="37" spans="1:31" s="225" customFormat="1" ht="14.45" customHeight="1" hidden="1">
      <c r="A37" s="222"/>
      <c r="B37" s="223"/>
      <c r="C37" s="222"/>
      <c r="D37" s="222"/>
      <c r="E37" s="221" t="s">
        <v>44</v>
      </c>
      <c r="F37" s="236">
        <f>ROUND((SUM(BG125:BG228)),2)</f>
        <v>0</v>
      </c>
      <c r="G37" s="222"/>
      <c r="H37" s="222"/>
      <c r="I37" s="237">
        <v>0.21</v>
      </c>
      <c r="J37" s="236">
        <f>0</f>
        <v>0</v>
      </c>
      <c r="K37" s="222"/>
      <c r="L37" s="245"/>
      <c r="S37" s="222"/>
      <c r="T37" s="222"/>
      <c r="U37" s="222"/>
      <c r="V37" s="222"/>
      <c r="W37" s="222"/>
      <c r="X37" s="222"/>
      <c r="Y37" s="222"/>
      <c r="Z37" s="222"/>
      <c r="AA37" s="222"/>
      <c r="AB37" s="222"/>
      <c r="AC37" s="222"/>
      <c r="AD37" s="222"/>
      <c r="AE37" s="222"/>
    </row>
    <row r="38" spans="1:31" s="225" customFormat="1" ht="14.45" customHeight="1" hidden="1">
      <c r="A38" s="222"/>
      <c r="B38" s="223"/>
      <c r="C38" s="222"/>
      <c r="D38" s="222"/>
      <c r="E38" s="221" t="s">
        <v>45</v>
      </c>
      <c r="F38" s="236">
        <f>ROUND((SUM(BH125:BH228)),2)</f>
        <v>0</v>
      </c>
      <c r="G38" s="222"/>
      <c r="H38" s="222"/>
      <c r="I38" s="237">
        <v>0.15</v>
      </c>
      <c r="J38" s="236">
        <f>0</f>
        <v>0</v>
      </c>
      <c r="K38" s="222"/>
      <c r="L38" s="245"/>
      <c r="S38" s="222"/>
      <c r="T38" s="222"/>
      <c r="U38" s="222"/>
      <c r="V38" s="222"/>
      <c r="W38" s="222"/>
      <c r="X38" s="222"/>
      <c r="Y38" s="222"/>
      <c r="Z38" s="222"/>
      <c r="AA38" s="222"/>
      <c r="AB38" s="222"/>
      <c r="AC38" s="222"/>
      <c r="AD38" s="222"/>
      <c r="AE38" s="222"/>
    </row>
    <row r="39" spans="1:31" s="225" customFormat="1" ht="14.45" customHeight="1" hidden="1">
      <c r="A39" s="222"/>
      <c r="B39" s="223"/>
      <c r="C39" s="222"/>
      <c r="D39" s="222"/>
      <c r="E39" s="221" t="s">
        <v>46</v>
      </c>
      <c r="F39" s="236">
        <f>ROUND((SUM(BI125:BI228)),2)</f>
        <v>0</v>
      </c>
      <c r="G39" s="222"/>
      <c r="H39" s="222"/>
      <c r="I39" s="237">
        <v>0</v>
      </c>
      <c r="J39" s="236">
        <f>0</f>
        <v>0</v>
      </c>
      <c r="K39" s="222"/>
      <c r="L39" s="245"/>
      <c r="S39" s="222"/>
      <c r="T39" s="222"/>
      <c r="U39" s="222"/>
      <c r="V39" s="222"/>
      <c r="W39" s="222"/>
      <c r="X39" s="222"/>
      <c r="Y39" s="222"/>
      <c r="Z39" s="222"/>
      <c r="AA39" s="222"/>
      <c r="AB39" s="222"/>
      <c r="AC39" s="222"/>
      <c r="AD39" s="222"/>
      <c r="AE39" s="222"/>
    </row>
    <row r="40" spans="1:31" s="225" customFormat="1" ht="6.95" customHeight="1" hidden="1">
      <c r="A40" s="222"/>
      <c r="B40" s="223"/>
      <c r="C40" s="222"/>
      <c r="D40" s="222"/>
      <c r="E40" s="222"/>
      <c r="F40" s="222"/>
      <c r="G40" s="222"/>
      <c r="H40" s="222"/>
      <c r="I40" s="222"/>
      <c r="J40" s="222"/>
      <c r="K40" s="222"/>
      <c r="L40" s="245"/>
      <c r="S40" s="222"/>
      <c r="T40" s="222"/>
      <c r="U40" s="222"/>
      <c r="V40" s="222"/>
      <c r="W40" s="222"/>
      <c r="X40" s="222"/>
      <c r="Y40" s="222"/>
      <c r="Z40" s="222"/>
      <c r="AA40" s="222"/>
      <c r="AB40" s="222"/>
      <c r="AC40" s="222"/>
      <c r="AD40" s="222"/>
      <c r="AE40" s="222"/>
    </row>
    <row r="41" spans="1:31" s="225" customFormat="1" ht="25.35" customHeight="1" hidden="1">
      <c r="A41" s="222"/>
      <c r="B41" s="223"/>
      <c r="C41" s="238"/>
      <c r="D41" s="239" t="s">
        <v>47</v>
      </c>
      <c r="E41" s="240"/>
      <c r="F41" s="240"/>
      <c r="G41" s="241" t="s">
        <v>48</v>
      </c>
      <c r="H41" s="242" t="s">
        <v>49</v>
      </c>
      <c r="I41" s="240"/>
      <c r="J41" s="243">
        <f>SUM(J32:J39)</f>
        <v>0</v>
      </c>
      <c r="K41" s="244"/>
      <c r="L41" s="245"/>
      <c r="S41" s="222"/>
      <c r="T41" s="222"/>
      <c r="U41" s="222"/>
      <c r="V41" s="222"/>
      <c r="W41" s="222"/>
      <c r="X41" s="222"/>
      <c r="Y41" s="222"/>
      <c r="Z41" s="222"/>
      <c r="AA41" s="222"/>
      <c r="AB41" s="222"/>
      <c r="AC41" s="222"/>
      <c r="AD41" s="222"/>
      <c r="AE41" s="222"/>
    </row>
    <row r="42" spans="1:31" s="225" customFormat="1" ht="14.45" customHeight="1" hidden="1">
      <c r="A42" s="222"/>
      <c r="B42" s="223"/>
      <c r="C42" s="222"/>
      <c r="D42" s="222"/>
      <c r="E42" s="222"/>
      <c r="F42" s="222"/>
      <c r="G42" s="222"/>
      <c r="H42" s="222"/>
      <c r="I42" s="222"/>
      <c r="J42" s="222"/>
      <c r="K42" s="222"/>
      <c r="L42" s="245"/>
      <c r="S42" s="222"/>
      <c r="T42" s="222"/>
      <c r="U42" s="222"/>
      <c r="V42" s="222"/>
      <c r="W42" s="222"/>
      <c r="X42" s="222"/>
      <c r="Y42" s="222"/>
      <c r="Z42" s="222"/>
      <c r="AA42" s="222"/>
      <c r="AB42" s="222"/>
      <c r="AC42" s="222"/>
      <c r="AD42" s="222"/>
      <c r="AE42" s="222"/>
    </row>
    <row r="43" spans="2:12" ht="14.45" customHeight="1" hidden="1">
      <c r="B43" s="218"/>
      <c r="L43" s="218"/>
    </row>
    <row r="44" spans="2:12" ht="14.45" customHeight="1" hidden="1">
      <c r="B44" s="218"/>
      <c r="L44" s="218"/>
    </row>
    <row r="45" spans="2:12" ht="14.45" customHeight="1" hidden="1">
      <c r="B45" s="218"/>
      <c r="L45" s="218"/>
    </row>
    <row r="46" spans="2:12" ht="14.45" customHeight="1" hidden="1">
      <c r="B46" s="218"/>
      <c r="L46" s="218"/>
    </row>
    <row r="47" spans="2:12" ht="14.45" customHeight="1" hidden="1">
      <c r="B47" s="218"/>
      <c r="L47" s="218"/>
    </row>
    <row r="48" spans="2:12" ht="14.45" customHeight="1" hidden="1">
      <c r="B48" s="218"/>
      <c r="L48" s="218"/>
    </row>
    <row r="49" spans="2:12" ht="14.45" customHeight="1" hidden="1">
      <c r="B49" s="218"/>
      <c r="L49" s="218"/>
    </row>
    <row r="50" spans="2:12" s="225" customFormat="1" ht="14.45" customHeight="1" hidden="1">
      <c r="B50" s="245"/>
      <c r="D50" s="246" t="s">
        <v>50</v>
      </c>
      <c r="E50" s="247"/>
      <c r="F50" s="247"/>
      <c r="G50" s="246" t="s">
        <v>51</v>
      </c>
      <c r="H50" s="247"/>
      <c r="I50" s="247"/>
      <c r="J50" s="247"/>
      <c r="K50" s="247"/>
      <c r="L50" s="245"/>
    </row>
    <row r="51" spans="2:12" ht="12" hidden="1">
      <c r="B51" s="218"/>
      <c r="L51" s="218"/>
    </row>
    <row r="52" spans="2:12" ht="12" hidden="1">
      <c r="B52" s="218"/>
      <c r="L52" s="218"/>
    </row>
    <row r="53" spans="2:12" ht="12" hidden="1">
      <c r="B53" s="218"/>
      <c r="L53" s="218"/>
    </row>
    <row r="54" spans="2:12" ht="12" hidden="1">
      <c r="B54" s="218"/>
      <c r="L54" s="218"/>
    </row>
    <row r="55" spans="2:12" ht="12" hidden="1">
      <c r="B55" s="218"/>
      <c r="L55" s="218"/>
    </row>
    <row r="56" spans="2:12" ht="12" hidden="1">
      <c r="B56" s="218"/>
      <c r="L56" s="218"/>
    </row>
    <row r="57" spans="2:12" ht="12" hidden="1">
      <c r="B57" s="218"/>
      <c r="L57" s="218"/>
    </row>
    <row r="58" spans="2:12" ht="12" hidden="1">
      <c r="B58" s="218"/>
      <c r="L58" s="218"/>
    </row>
    <row r="59" spans="2:12" ht="12" hidden="1">
      <c r="B59" s="218"/>
      <c r="L59" s="218"/>
    </row>
    <row r="60" spans="2:12" ht="12" hidden="1">
      <c r="B60" s="218"/>
      <c r="L60" s="218"/>
    </row>
    <row r="61" spans="1:31" s="225" customFormat="1" ht="12.75" hidden="1">
      <c r="A61" s="222"/>
      <c r="B61" s="223"/>
      <c r="C61" s="222"/>
      <c r="D61" s="248" t="s">
        <v>52</v>
      </c>
      <c r="E61" s="249"/>
      <c r="F61" s="250" t="s">
        <v>53</v>
      </c>
      <c r="G61" s="248" t="s">
        <v>52</v>
      </c>
      <c r="H61" s="249"/>
      <c r="I61" s="249"/>
      <c r="J61" s="251" t="s">
        <v>53</v>
      </c>
      <c r="K61" s="249"/>
      <c r="L61" s="245"/>
      <c r="S61" s="222"/>
      <c r="T61" s="222"/>
      <c r="U61" s="222"/>
      <c r="V61" s="222"/>
      <c r="W61" s="222"/>
      <c r="X61" s="222"/>
      <c r="Y61" s="222"/>
      <c r="Z61" s="222"/>
      <c r="AA61" s="222"/>
      <c r="AB61" s="222"/>
      <c r="AC61" s="222"/>
      <c r="AD61" s="222"/>
      <c r="AE61" s="222"/>
    </row>
    <row r="62" spans="2:12" ht="12" hidden="1">
      <c r="B62" s="218"/>
      <c r="L62" s="218"/>
    </row>
    <row r="63" spans="2:12" ht="12" hidden="1">
      <c r="B63" s="218"/>
      <c r="L63" s="218"/>
    </row>
    <row r="64" spans="2:12" ht="12" hidden="1">
      <c r="B64" s="218"/>
      <c r="L64" s="218"/>
    </row>
    <row r="65" spans="1:31" s="225" customFormat="1" ht="12.75" hidden="1">
      <c r="A65" s="222"/>
      <c r="B65" s="223"/>
      <c r="C65" s="222"/>
      <c r="D65" s="246" t="s">
        <v>54</v>
      </c>
      <c r="E65" s="252"/>
      <c r="F65" s="252"/>
      <c r="G65" s="246" t="s">
        <v>55</v>
      </c>
      <c r="H65" s="252"/>
      <c r="I65" s="252"/>
      <c r="J65" s="252"/>
      <c r="K65" s="252"/>
      <c r="L65" s="245"/>
      <c r="S65" s="222"/>
      <c r="T65" s="222"/>
      <c r="U65" s="222"/>
      <c r="V65" s="222"/>
      <c r="W65" s="222"/>
      <c r="X65" s="222"/>
      <c r="Y65" s="222"/>
      <c r="Z65" s="222"/>
      <c r="AA65" s="222"/>
      <c r="AB65" s="222"/>
      <c r="AC65" s="222"/>
      <c r="AD65" s="222"/>
      <c r="AE65" s="222"/>
    </row>
    <row r="66" spans="2:12" ht="12" hidden="1">
      <c r="B66" s="218"/>
      <c r="L66" s="218"/>
    </row>
    <row r="67" spans="2:12" ht="12" hidden="1">
      <c r="B67" s="218"/>
      <c r="L67" s="218"/>
    </row>
    <row r="68" spans="2:12" ht="12" hidden="1">
      <c r="B68" s="218"/>
      <c r="L68" s="218"/>
    </row>
    <row r="69" spans="2:12" ht="12" hidden="1">
      <c r="B69" s="218"/>
      <c r="L69" s="218"/>
    </row>
    <row r="70" spans="2:12" ht="12" hidden="1">
      <c r="B70" s="218"/>
      <c r="L70" s="218"/>
    </row>
    <row r="71" spans="2:12" ht="12" hidden="1">
      <c r="B71" s="218"/>
      <c r="L71" s="218"/>
    </row>
    <row r="72" spans="2:12" ht="12" hidden="1">
      <c r="B72" s="218"/>
      <c r="L72" s="218"/>
    </row>
    <row r="73" spans="2:12" ht="12" hidden="1">
      <c r="B73" s="218"/>
      <c r="L73" s="218"/>
    </row>
    <row r="74" spans="2:12" ht="12" hidden="1">
      <c r="B74" s="218"/>
      <c r="L74" s="218"/>
    </row>
    <row r="75" spans="2:12" ht="12" hidden="1">
      <c r="B75" s="218"/>
      <c r="L75" s="218"/>
    </row>
    <row r="76" spans="1:31" s="225" customFormat="1" ht="12.75" hidden="1">
      <c r="A76" s="222"/>
      <c r="B76" s="223"/>
      <c r="C76" s="222"/>
      <c r="D76" s="248" t="s">
        <v>52</v>
      </c>
      <c r="E76" s="249"/>
      <c r="F76" s="250" t="s">
        <v>53</v>
      </c>
      <c r="G76" s="248" t="s">
        <v>52</v>
      </c>
      <c r="H76" s="249"/>
      <c r="I76" s="249"/>
      <c r="J76" s="251" t="s">
        <v>53</v>
      </c>
      <c r="K76" s="249"/>
      <c r="L76" s="245"/>
      <c r="S76" s="222"/>
      <c r="T76" s="222"/>
      <c r="U76" s="222"/>
      <c r="V76" s="222"/>
      <c r="W76" s="222"/>
      <c r="X76" s="222"/>
      <c r="Y76" s="222"/>
      <c r="Z76" s="222"/>
      <c r="AA76" s="222"/>
      <c r="AB76" s="222"/>
      <c r="AC76" s="222"/>
      <c r="AD76" s="222"/>
      <c r="AE76" s="222"/>
    </row>
    <row r="77" spans="1:31" s="225" customFormat="1" ht="14.45" customHeight="1" hidden="1">
      <c r="A77" s="222"/>
      <c r="B77" s="253"/>
      <c r="C77" s="254"/>
      <c r="D77" s="254"/>
      <c r="E77" s="254"/>
      <c r="F77" s="254"/>
      <c r="G77" s="254"/>
      <c r="H77" s="254"/>
      <c r="I77" s="254"/>
      <c r="J77" s="254"/>
      <c r="K77" s="254"/>
      <c r="L77" s="245"/>
      <c r="S77" s="222"/>
      <c r="T77" s="222"/>
      <c r="U77" s="222"/>
      <c r="V77" s="222"/>
      <c r="W77" s="222"/>
      <c r="X77" s="222"/>
      <c r="Y77" s="222"/>
      <c r="Z77" s="222"/>
      <c r="AA77" s="222"/>
      <c r="AB77" s="222"/>
      <c r="AC77" s="222"/>
      <c r="AD77" s="222"/>
      <c r="AE77" s="222"/>
    </row>
    <row r="78" ht="12" hidden="1"/>
    <row r="79" ht="12" hidden="1"/>
    <row r="80" ht="12" hidden="1"/>
    <row r="81" spans="1:31" s="225" customFormat="1" ht="6.95" customHeight="1">
      <c r="A81" s="222"/>
      <c r="B81" s="255"/>
      <c r="C81" s="256"/>
      <c r="D81" s="256"/>
      <c r="E81" s="256"/>
      <c r="F81" s="256"/>
      <c r="G81" s="256"/>
      <c r="H81" s="256"/>
      <c r="I81" s="256"/>
      <c r="J81" s="256"/>
      <c r="K81" s="256"/>
      <c r="L81" s="245"/>
      <c r="S81" s="222"/>
      <c r="T81" s="222"/>
      <c r="U81" s="222"/>
      <c r="V81" s="222"/>
      <c r="W81" s="222"/>
      <c r="X81" s="222"/>
      <c r="Y81" s="222"/>
      <c r="Z81" s="222"/>
      <c r="AA81" s="222"/>
      <c r="AB81" s="222"/>
      <c r="AC81" s="222"/>
      <c r="AD81" s="222"/>
      <c r="AE81" s="222"/>
    </row>
    <row r="82" spans="1:31" s="225" customFormat="1" ht="24.95" customHeight="1">
      <c r="A82" s="222"/>
      <c r="B82" s="223"/>
      <c r="C82" s="219" t="s">
        <v>97</v>
      </c>
      <c r="D82" s="222"/>
      <c r="E82" s="222"/>
      <c r="F82" s="222"/>
      <c r="G82" s="222"/>
      <c r="H82" s="222"/>
      <c r="I82" s="222"/>
      <c r="J82" s="222"/>
      <c r="K82" s="222"/>
      <c r="L82" s="245"/>
      <c r="S82" s="222"/>
      <c r="T82" s="222"/>
      <c r="U82" s="222"/>
      <c r="V82" s="222"/>
      <c r="W82" s="222"/>
      <c r="X82" s="222"/>
      <c r="Y82" s="222"/>
      <c r="Z82" s="222"/>
      <c r="AA82" s="222"/>
      <c r="AB82" s="222"/>
      <c r="AC82" s="222"/>
      <c r="AD82" s="222"/>
      <c r="AE82" s="222"/>
    </row>
    <row r="83" spans="1:31" s="225" customFormat="1" ht="6.95" customHeight="1">
      <c r="A83" s="222"/>
      <c r="B83" s="223"/>
      <c r="C83" s="222"/>
      <c r="D83" s="222"/>
      <c r="E83" s="222"/>
      <c r="F83" s="222"/>
      <c r="G83" s="222"/>
      <c r="H83" s="222"/>
      <c r="I83" s="222"/>
      <c r="J83" s="222"/>
      <c r="K83" s="222"/>
      <c r="L83" s="245"/>
      <c r="S83" s="222"/>
      <c r="T83" s="222"/>
      <c r="U83" s="222"/>
      <c r="V83" s="222"/>
      <c r="W83" s="222"/>
      <c r="X83" s="222"/>
      <c r="Y83" s="222"/>
      <c r="Z83" s="222"/>
      <c r="AA83" s="222"/>
      <c r="AB83" s="222"/>
      <c r="AC83" s="222"/>
      <c r="AD83" s="222"/>
      <c r="AE83" s="222"/>
    </row>
    <row r="84" spans="1:31" s="225" customFormat="1" ht="12" customHeight="1">
      <c r="A84" s="222"/>
      <c r="B84" s="223"/>
      <c r="C84" s="221" t="s">
        <v>14</v>
      </c>
      <c r="D84" s="222"/>
      <c r="E84" s="222"/>
      <c r="F84" s="222"/>
      <c r="G84" s="222"/>
      <c r="H84" s="222"/>
      <c r="I84" s="222"/>
      <c r="J84" s="222"/>
      <c r="K84" s="222"/>
      <c r="L84" s="245"/>
      <c r="S84" s="222"/>
      <c r="T84" s="222"/>
      <c r="U84" s="222"/>
      <c r="V84" s="222"/>
      <c r="W84" s="222"/>
      <c r="X84" s="222"/>
      <c r="Y84" s="222"/>
      <c r="Z84" s="222"/>
      <c r="AA84" s="222"/>
      <c r="AB84" s="222"/>
      <c r="AC84" s="222"/>
      <c r="AD84" s="222"/>
      <c r="AE84" s="222"/>
    </row>
    <row r="85" spans="1:31" s="225" customFormat="1" ht="16.5" customHeight="1">
      <c r="A85" s="222"/>
      <c r="B85" s="223"/>
      <c r="C85" s="222"/>
      <c r="D85" s="222"/>
      <c r="E85" s="832" t="str">
        <f>E7</f>
        <v>Středisko Okrouhlík - nástavba a stavební úpravy</v>
      </c>
      <c r="F85" s="833"/>
      <c r="G85" s="833"/>
      <c r="H85" s="833"/>
      <c r="I85" s="222"/>
      <c r="J85" s="222"/>
      <c r="K85" s="222"/>
      <c r="L85" s="245"/>
      <c r="S85" s="222"/>
      <c r="T85" s="222"/>
      <c r="U85" s="222"/>
      <c r="V85" s="222"/>
      <c r="W85" s="222"/>
      <c r="X85" s="222"/>
      <c r="Y85" s="222"/>
      <c r="Z85" s="222"/>
      <c r="AA85" s="222"/>
      <c r="AB85" s="222"/>
      <c r="AC85" s="222"/>
      <c r="AD85" s="222"/>
      <c r="AE85" s="222"/>
    </row>
    <row r="86" spans="2:12" ht="12" customHeight="1">
      <c r="B86" s="218"/>
      <c r="C86" s="221" t="s">
        <v>95</v>
      </c>
      <c r="L86" s="218"/>
    </row>
    <row r="87" spans="1:31" s="225" customFormat="1" ht="16.5" customHeight="1">
      <c r="A87" s="222"/>
      <c r="B87" s="223"/>
      <c r="C87" s="222"/>
      <c r="D87" s="222"/>
      <c r="E87" s="832" t="s">
        <v>3836</v>
      </c>
      <c r="F87" s="831"/>
      <c r="G87" s="831"/>
      <c r="H87" s="831"/>
      <c r="I87" s="222"/>
      <c r="J87" s="222"/>
      <c r="K87" s="222"/>
      <c r="L87" s="245"/>
      <c r="S87" s="222"/>
      <c r="T87" s="222"/>
      <c r="U87" s="222"/>
      <c r="V87" s="222"/>
      <c r="W87" s="222"/>
      <c r="X87" s="222"/>
      <c r="Y87" s="222"/>
      <c r="Z87" s="222"/>
      <c r="AA87" s="222"/>
      <c r="AB87" s="222"/>
      <c r="AC87" s="222"/>
      <c r="AD87" s="222"/>
      <c r="AE87" s="222"/>
    </row>
    <row r="88" spans="1:31" s="225" customFormat="1" ht="12" customHeight="1">
      <c r="A88" s="222"/>
      <c r="B88" s="223"/>
      <c r="C88" s="221" t="s">
        <v>1346</v>
      </c>
      <c r="D88" s="222"/>
      <c r="E88" s="222"/>
      <c r="F88" s="222"/>
      <c r="G88" s="222"/>
      <c r="H88" s="222"/>
      <c r="I88" s="222"/>
      <c r="J88" s="222"/>
      <c r="K88" s="222"/>
      <c r="L88" s="245"/>
      <c r="S88" s="222"/>
      <c r="T88" s="222"/>
      <c r="U88" s="222"/>
      <c r="V88" s="222"/>
      <c r="W88" s="222"/>
      <c r="X88" s="222"/>
      <c r="Y88" s="222"/>
      <c r="Z88" s="222"/>
      <c r="AA88" s="222"/>
      <c r="AB88" s="222"/>
      <c r="AC88" s="222"/>
      <c r="AD88" s="222"/>
      <c r="AE88" s="222"/>
    </row>
    <row r="89" spans="1:31" s="225" customFormat="1" ht="16.5" customHeight="1">
      <c r="A89" s="222"/>
      <c r="B89" s="223"/>
      <c r="C89" s="222"/>
      <c r="D89" s="222"/>
      <c r="E89" s="830" t="s">
        <v>3842</v>
      </c>
      <c r="F89" s="831"/>
      <c r="G89" s="831"/>
      <c r="H89" s="831"/>
      <c r="I89" s="222"/>
      <c r="J89" s="222"/>
      <c r="K89" s="222"/>
      <c r="L89" s="245"/>
      <c r="S89" s="222"/>
      <c r="T89" s="222"/>
      <c r="U89" s="222"/>
      <c r="V89" s="222"/>
      <c r="W89" s="222"/>
      <c r="X89" s="222"/>
      <c r="Y89" s="222"/>
      <c r="Z89" s="222"/>
      <c r="AA89" s="222"/>
      <c r="AB89" s="222"/>
      <c r="AC89" s="222"/>
      <c r="AD89" s="222"/>
      <c r="AE89" s="222"/>
    </row>
    <row r="90" spans="1:31" s="225" customFormat="1" ht="6.95" customHeight="1">
      <c r="A90" s="222"/>
      <c r="B90" s="223"/>
      <c r="C90" s="222"/>
      <c r="D90" s="222"/>
      <c r="E90" s="222"/>
      <c r="F90" s="222"/>
      <c r="G90" s="222"/>
      <c r="H90" s="222"/>
      <c r="I90" s="222"/>
      <c r="J90" s="222"/>
      <c r="K90" s="222"/>
      <c r="L90" s="245"/>
      <c r="S90" s="222"/>
      <c r="T90" s="222"/>
      <c r="U90" s="222"/>
      <c r="V90" s="222"/>
      <c r="W90" s="222"/>
      <c r="X90" s="222"/>
      <c r="Y90" s="222"/>
      <c r="Z90" s="222"/>
      <c r="AA90" s="222"/>
      <c r="AB90" s="222"/>
      <c r="AC90" s="222"/>
      <c r="AD90" s="222"/>
      <c r="AE90" s="222"/>
    </row>
    <row r="91" spans="1:31" s="225" customFormat="1" ht="12" customHeight="1">
      <c r="A91" s="222"/>
      <c r="B91" s="223"/>
      <c r="C91" s="221" t="s">
        <v>18</v>
      </c>
      <c r="D91" s="222"/>
      <c r="E91" s="222"/>
      <c r="F91" s="226" t="str">
        <f>F14</f>
        <v>st.p. 1443, k.ú. Staré Benátky</v>
      </c>
      <c r="G91" s="222"/>
      <c r="H91" s="222"/>
      <c r="I91" s="221" t="s">
        <v>20</v>
      </c>
      <c r="J91" s="227" t="str">
        <f>IF(J14="","",J14)</f>
        <v>8. 10. 2021</v>
      </c>
      <c r="K91" s="222"/>
      <c r="L91" s="245"/>
      <c r="S91" s="222"/>
      <c r="T91" s="222"/>
      <c r="U91" s="222"/>
      <c r="V91" s="222"/>
      <c r="W91" s="222"/>
      <c r="X91" s="222"/>
      <c r="Y91" s="222"/>
      <c r="Z91" s="222"/>
      <c r="AA91" s="222"/>
      <c r="AB91" s="222"/>
      <c r="AC91" s="222"/>
      <c r="AD91" s="222"/>
      <c r="AE91" s="222"/>
    </row>
    <row r="92" spans="1:31" s="225" customFormat="1" ht="6.95" customHeight="1">
      <c r="A92" s="222"/>
      <c r="B92" s="223"/>
      <c r="C92" s="222"/>
      <c r="D92" s="222"/>
      <c r="E92" s="222"/>
      <c r="F92" s="222"/>
      <c r="G92" s="222"/>
      <c r="H92" s="222"/>
      <c r="I92" s="222"/>
      <c r="J92" s="222"/>
      <c r="K92" s="222"/>
      <c r="L92" s="245"/>
      <c r="S92" s="222"/>
      <c r="T92" s="222"/>
      <c r="U92" s="222"/>
      <c r="V92" s="222"/>
      <c r="W92" s="222"/>
      <c r="X92" s="222"/>
      <c r="Y92" s="222"/>
      <c r="Z92" s="222"/>
      <c r="AA92" s="222"/>
      <c r="AB92" s="222"/>
      <c r="AC92" s="222"/>
      <c r="AD92" s="222"/>
      <c r="AE92" s="222"/>
    </row>
    <row r="93" spans="1:31" s="225" customFormat="1" ht="54.4" customHeight="1">
      <c r="A93" s="222"/>
      <c r="B93" s="223"/>
      <c r="C93" s="221" t="s">
        <v>22</v>
      </c>
      <c r="D93" s="222"/>
      <c r="E93" s="222"/>
      <c r="F93" s="226" t="str">
        <f>E17</f>
        <v>VaK Mladá Boleslav, Čechova 1151, Mladá Boleslav</v>
      </c>
      <c r="G93" s="222"/>
      <c r="H93" s="222"/>
      <c r="I93" s="221" t="s">
        <v>30</v>
      </c>
      <c r="J93" s="257" t="str">
        <f>E23</f>
        <v>ŽÁROVKA PROJEKTANTI,Křižíkova 788/2,Hradec Králové</v>
      </c>
      <c r="K93" s="222"/>
      <c r="L93" s="245"/>
      <c r="S93" s="222"/>
      <c r="T93" s="222"/>
      <c r="U93" s="222"/>
      <c r="V93" s="222"/>
      <c r="W93" s="222"/>
      <c r="X93" s="222"/>
      <c r="Y93" s="222"/>
      <c r="Z93" s="222"/>
      <c r="AA93" s="222"/>
      <c r="AB93" s="222"/>
      <c r="AC93" s="222"/>
      <c r="AD93" s="222"/>
      <c r="AE93" s="222"/>
    </row>
    <row r="94" spans="1:31" s="225" customFormat="1" ht="15.2" customHeight="1">
      <c r="A94" s="222"/>
      <c r="B94" s="223"/>
      <c r="C94" s="221" t="s">
        <v>28</v>
      </c>
      <c r="D94" s="222"/>
      <c r="E94" s="222"/>
      <c r="F94" s="226" t="str">
        <f>IF(E20="","",E20)</f>
        <v xml:space="preserve"> </v>
      </c>
      <c r="G94" s="222"/>
      <c r="H94" s="222"/>
      <c r="I94" s="221" t="s">
        <v>35</v>
      </c>
      <c r="J94" s="257" t="str">
        <f>E26</f>
        <v xml:space="preserve"> </v>
      </c>
      <c r="K94" s="222"/>
      <c r="L94" s="245"/>
      <c r="S94" s="222"/>
      <c r="T94" s="222"/>
      <c r="U94" s="222"/>
      <c r="V94" s="222"/>
      <c r="W94" s="222"/>
      <c r="X94" s="222"/>
      <c r="Y94" s="222"/>
      <c r="Z94" s="222"/>
      <c r="AA94" s="222"/>
      <c r="AB94" s="222"/>
      <c r="AC94" s="222"/>
      <c r="AD94" s="222"/>
      <c r="AE94" s="222"/>
    </row>
    <row r="95" spans="1:31" s="225" customFormat="1" ht="10.35" customHeight="1">
      <c r="A95" s="222"/>
      <c r="B95" s="223"/>
      <c r="C95" s="222"/>
      <c r="D95" s="222"/>
      <c r="E95" s="222"/>
      <c r="F95" s="222"/>
      <c r="G95" s="222"/>
      <c r="H95" s="222"/>
      <c r="I95" s="222"/>
      <c r="J95" s="222"/>
      <c r="K95" s="222"/>
      <c r="L95" s="245"/>
      <c r="S95" s="222"/>
      <c r="T95" s="222"/>
      <c r="U95" s="222"/>
      <c r="V95" s="222"/>
      <c r="W95" s="222"/>
      <c r="X95" s="222"/>
      <c r="Y95" s="222"/>
      <c r="Z95" s="222"/>
      <c r="AA95" s="222"/>
      <c r="AB95" s="222"/>
      <c r="AC95" s="222"/>
      <c r="AD95" s="222"/>
      <c r="AE95" s="222"/>
    </row>
    <row r="96" spans="1:31" s="263" customFormat="1" ht="29.25" customHeight="1">
      <c r="A96" s="258"/>
      <c r="B96" s="259"/>
      <c r="C96" s="260" t="s">
        <v>98</v>
      </c>
      <c r="D96" s="258"/>
      <c r="E96" s="258"/>
      <c r="F96" s="258"/>
      <c r="G96" s="258"/>
      <c r="H96" s="258"/>
      <c r="I96" s="258"/>
      <c r="J96" s="261" t="s">
        <v>99</v>
      </c>
      <c r="K96" s="258"/>
      <c r="L96" s="647"/>
      <c r="S96" s="258"/>
      <c r="T96" s="258"/>
      <c r="U96" s="258"/>
      <c r="V96" s="258"/>
      <c r="W96" s="258"/>
      <c r="X96" s="258"/>
      <c r="Y96" s="258"/>
      <c r="Z96" s="258"/>
      <c r="AA96" s="258"/>
      <c r="AB96" s="258"/>
      <c r="AC96" s="258"/>
      <c r="AD96" s="258"/>
      <c r="AE96" s="258"/>
    </row>
    <row r="97" spans="1:31" s="225" customFormat="1" ht="10.35" customHeight="1">
      <c r="A97" s="222"/>
      <c r="B97" s="223"/>
      <c r="C97" s="222"/>
      <c r="D97" s="222"/>
      <c r="E97" s="222"/>
      <c r="F97" s="222"/>
      <c r="G97" s="222"/>
      <c r="H97" s="222"/>
      <c r="I97" s="222"/>
      <c r="J97" s="222"/>
      <c r="K97" s="222"/>
      <c r="L97" s="245"/>
      <c r="S97" s="222"/>
      <c r="T97" s="222"/>
      <c r="U97" s="222"/>
      <c r="V97" s="222"/>
      <c r="W97" s="222"/>
      <c r="X97" s="222"/>
      <c r="Y97" s="222"/>
      <c r="Z97" s="222"/>
      <c r="AA97" s="222"/>
      <c r="AB97" s="222"/>
      <c r="AC97" s="222"/>
      <c r="AD97" s="222"/>
      <c r="AE97" s="222"/>
    </row>
    <row r="98" spans="1:47" s="225" customFormat="1" ht="22.9" customHeight="1">
      <c r="A98" s="222"/>
      <c r="B98" s="223"/>
      <c r="C98" s="264" t="s">
        <v>100</v>
      </c>
      <c r="D98" s="222"/>
      <c r="E98" s="222"/>
      <c r="F98" s="222"/>
      <c r="G98" s="222"/>
      <c r="H98" s="222"/>
      <c r="I98" s="222"/>
      <c r="J98" s="233">
        <f>SUM(J99:J103)</f>
        <v>0</v>
      </c>
      <c r="K98" s="222"/>
      <c r="L98" s="245"/>
      <c r="S98" s="222"/>
      <c r="T98" s="222"/>
      <c r="U98" s="222"/>
      <c r="V98" s="222"/>
      <c r="W98" s="222"/>
      <c r="X98" s="222"/>
      <c r="Y98" s="222"/>
      <c r="Z98" s="222"/>
      <c r="AA98" s="222"/>
      <c r="AB98" s="222"/>
      <c r="AC98" s="222"/>
      <c r="AD98" s="222"/>
      <c r="AE98" s="222"/>
      <c r="AU98" s="214" t="s">
        <v>101</v>
      </c>
    </row>
    <row r="99" spans="2:12" s="266" customFormat="1" ht="24.95" customHeight="1">
      <c r="B99" s="265"/>
      <c r="D99" s="267" t="s">
        <v>1790</v>
      </c>
      <c r="E99" s="268"/>
      <c r="F99" s="268"/>
      <c r="G99" s="268"/>
      <c r="H99" s="268"/>
      <c r="I99" s="268"/>
      <c r="J99" s="269">
        <f>J127</f>
        <v>0</v>
      </c>
      <c r="L99" s="265"/>
    </row>
    <row r="100" spans="2:12" s="266" customFormat="1" ht="24.95" customHeight="1">
      <c r="B100" s="265"/>
      <c r="D100" s="267" t="s">
        <v>1791</v>
      </c>
      <c r="E100" s="268"/>
      <c r="F100" s="268"/>
      <c r="G100" s="268"/>
      <c r="H100" s="268"/>
      <c r="I100" s="268"/>
      <c r="J100" s="269">
        <f>J135</f>
        <v>0</v>
      </c>
      <c r="L100" s="265"/>
    </row>
    <row r="101" spans="2:12" s="266" customFormat="1" ht="24.95" customHeight="1">
      <c r="B101" s="265"/>
      <c r="D101" s="267" t="s">
        <v>1792</v>
      </c>
      <c r="E101" s="268"/>
      <c r="F101" s="268"/>
      <c r="G101" s="268"/>
      <c r="H101" s="268"/>
      <c r="I101" s="268"/>
      <c r="J101" s="269">
        <f>J141</f>
        <v>0</v>
      </c>
      <c r="L101" s="265"/>
    </row>
    <row r="102" spans="2:12" s="266" customFormat="1" ht="24.95" customHeight="1">
      <c r="B102" s="265"/>
      <c r="D102" s="267" t="s">
        <v>1793</v>
      </c>
      <c r="E102" s="268"/>
      <c r="F102" s="268"/>
      <c r="G102" s="268"/>
      <c r="H102" s="268"/>
      <c r="I102" s="268"/>
      <c r="J102" s="269">
        <f>J168</f>
        <v>0</v>
      </c>
      <c r="L102" s="265"/>
    </row>
    <row r="103" spans="2:12" s="266" customFormat="1" ht="24.95" customHeight="1">
      <c r="B103" s="265"/>
      <c r="D103" s="267" t="s">
        <v>1794</v>
      </c>
      <c r="E103" s="268"/>
      <c r="F103" s="268"/>
      <c r="G103" s="268"/>
      <c r="H103" s="268"/>
      <c r="I103" s="268"/>
      <c r="J103" s="269">
        <f>J218</f>
        <v>0</v>
      </c>
      <c r="L103" s="265"/>
    </row>
    <row r="104" spans="1:31" s="225" customFormat="1" ht="21.75" customHeight="1">
      <c r="A104" s="222"/>
      <c r="B104" s="223"/>
      <c r="C104" s="222"/>
      <c r="D104" s="222"/>
      <c r="E104" s="222"/>
      <c r="F104" s="222"/>
      <c r="G104" s="222"/>
      <c r="H104" s="222"/>
      <c r="I104" s="222"/>
      <c r="J104" s="222"/>
      <c r="K104" s="222"/>
      <c r="L104" s="245"/>
      <c r="S104" s="222"/>
      <c r="T104" s="222"/>
      <c r="U104" s="222"/>
      <c r="V104" s="222"/>
      <c r="W104" s="222"/>
      <c r="X104" s="222"/>
      <c r="Y104" s="222"/>
      <c r="Z104" s="222"/>
      <c r="AA104" s="222"/>
      <c r="AB104" s="222"/>
      <c r="AC104" s="222"/>
      <c r="AD104" s="222"/>
      <c r="AE104" s="222"/>
    </row>
    <row r="105" spans="1:31" s="225" customFormat="1" ht="6.95" customHeight="1">
      <c r="A105" s="222"/>
      <c r="B105" s="253"/>
      <c r="C105" s="254"/>
      <c r="D105" s="254"/>
      <c r="E105" s="254"/>
      <c r="F105" s="254"/>
      <c r="G105" s="254"/>
      <c r="H105" s="254"/>
      <c r="I105" s="254"/>
      <c r="J105" s="254"/>
      <c r="K105" s="254"/>
      <c r="L105" s="245"/>
      <c r="S105" s="222"/>
      <c r="T105" s="222"/>
      <c r="U105" s="222"/>
      <c r="V105" s="222"/>
      <c r="W105" s="222"/>
      <c r="X105" s="222"/>
      <c r="Y105" s="222"/>
      <c r="Z105" s="222"/>
      <c r="AA105" s="222"/>
      <c r="AB105" s="222"/>
      <c r="AC105" s="222"/>
      <c r="AD105" s="222"/>
      <c r="AE105" s="222"/>
    </row>
    <row r="109" spans="1:31" s="225" customFormat="1" ht="6.95" customHeight="1">
      <c r="A109" s="222"/>
      <c r="B109" s="255"/>
      <c r="C109" s="256"/>
      <c r="D109" s="256"/>
      <c r="E109" s="256"/>
      <c r="F109" s="256"/>
      <c r="G109" s="256"/>
      <c r="H109" s="256"/>
      <c r="I109" s="256"/>
      <c r="J109" s="256"/>
      <c r="K109" s="256"/>
      <c r="L109" s="245"/>
      <c r="S109" s="222"/>
      <c r="T109" s="222"/>
      <c r="U109" s="222"/>
      <c r="V109" s="222"/>
      <c r="W109" s="222"/>
      <c r="X109" s="222"/>
      <c r="Y109" s="222"/>
      <c r="Z109" s="222"/>
      <c r="AA109" s="222"/>
      <c r="AB109" s="222"/>
      <c r="AC109" s="222"/>
      <c r="AD109" s="222"/>
      <c r="AE109" s="222"/>
    </row>
    <row r="110" spans="1:31" s="225" customFormat="1" ht="24.95" customHeight="1">
      <c r="A110" s="222"/>
      <c r="B110" s="223"/>
      <c r="C110" s="219" t="s">
        <v>131</v>
      </c>
      <c r="D110" s="222"/>
      <c r="E110" s="222"/>
      <c r="F110" s="222"/>
      <c r="G110" s="222"/>
      <c r="H110" s="222"/>
      <c r="I110" s="222"/>
      <c r="J110" s="222"/>
      <c r="K110" s="222"/>
      <c r="L110" s="245"/>
      <c r="S110" s="222"/>
      <c r="T110" s="222"/>
      <c r="U110" s="222"/>
      <c r="V110" s="222"/>
      <c r="W110" s="222"/>
      <c r="X110" s="222"/>
      <c r="Y110" s="222"/>
      <c r="Z110" s="222"/>
      <c r="AA110" s="222"/>
      <c r="AB110" s="222"/>
      <c r="AC110" s="222"/>
      <c r="AD110" s="222"/>
      <c r="AE110" s="222"/>
    </row>
    <row r="111" spans="1:31" s="225" customFormat="1" ht="6.95" customHeight="1">
      <c r="A111" s="222"/>
      <c r="B111" s="223"/>
      <c r="C111" s="222"/>
      <c r="D111" s="222"/>
      <c r="E111" s="222"/>
      <c r="F111" s="222"/>
      <c r="G111" s="222"/>
      <c r="H111" s="222"/>
      <c r="I111" s="222"/>
      <c r="J111" s="222"/>
      <c r="K111" s="222"/>
      <c r="L111" s="245"/>
      <c r="S111" s="222"/>
      <c r="T111" s="222"/>
      <c r="U111" s="222"/>
      <c r="V111" s="222"/>
      <c r="W111" s="222"/>
      <c r="X111" s="222"/>
      <c r="Y111" s="222"/>
      <c r="Z111" s="222"/>
      <c r="AA111" s="222"/>
      <c r="AB111" s="222"/>
      <c r="AC111" s="222"/>
      <c r="AD111" s="222"/>
      <c r="AE111" s="222"/>
    </row>
    <row r="112" spans="1:31" s="225" customFormat="1" ht="12" customHeight="1">
      <c r="A112" s="222"/>
      <c r="B112" s="223"/>
      <c r="C112" s="221" t="s">
        <v>14</v>
      </c>
      <c r="D112" s="222"/>
      <c r="E112" s="222"/>
      <c r="F112" s="222"/>
      <c r="G112" s="222"/>
      <c r="H112" s="222"/>
      <c r="I112" s="222"/>
      <c r="J112" s="222"/>
      <c r="K112" s="222"/>
      <c r="L112" s="245"/>
      <c r="S112" s="222"/>
      <c r="T112" s="222"/>
      <c r="U112" s="222"/>
      <c r="V112" s="222"/>
      <c r="W112" s="222"/>
      <c r="X112" s="222"/>
      <c r="Y112" s="222"/>
      <c r="Z112" s="222"/>
      <c r="AA112" s="222"/>
      <c r="AB112" s="222"/>
      <c r="AC112" s="222"/>
      <c r="AD112" s="222"/>
      <c r="AE112" s="222"/>
    </row>
    <row r="113" spans="1:31" s="225" customFormat="1" ht="16.5" customHeight="1">
      <c r="A113" s="222"/>
      <c r="B113" s="223"/>
      <c r="C113" s="222"/>
      <c r="D113" s="222"/>
      <c r="E113" s="832" t="str">
        <f>E7</f>
        <v>Středisko Okrouhlík - nástavba a stavební úpravy</v>
      </c>
      <c r="F113" s="833"/>
      <c r="G113" s="833"/>
      <c r="H113" s="833"/>
      <c r="I113" s="222"/>
      <c r="J113" s="222"/>
      <c r="K113" s="222"/>
      <c r="L113" s="245"/>
      <c r="S113" s="222"/>
      <c r="T113" s="222"/>
      <c r="U113" s="222"/>
      <c r="V113" s="222"/>
      <c r="W113" s="222"/>
      <c r="X113" s="222"/>
      <c r="Y113" s="222"/>
      <c r="Z113" s="222"/>
      <c r="AA113" s="222"/>
      <c r="AB113" s="222"/>
      <c r="AC113" s="222"/>
      <c r="AD113" s="222"/>
      <c r="AE113" s="222"/>
    </row>
    <row r="114" spans="2:12" ht="12" customHeight="1">
      <c r="B114" s="218"/>
      <c r="C114" s="221" t="s">
        <v>95</v>
      </c>
      <c r="L114" s="218"/>
    </row>
    <row r="115" spans="1:31" s="225" customFormat="1" ht="16.5" customHeight="1">
      <c r="A115" s="222"/>
      <c r="B115" s="223"/>
      <c r="C115" s="222"/>
      <c r="D115" s="222"/>
      <c r="E115" s="832" t="s">
        <v>3836</v>
      </c>
      <c r="F115" s="831"/>
      <c r="G115" s="831"/>
      <c r="H115" s="831"/>
      <c r="I115" s="222"/>
      <c r="J115" s="222"/>
      <c r="K115" s="222"/>
      <c r="L115" s="245"/>
      <c r="S115" s="222"/>
      <c r="T115" s="222"/>
      <c r="U115" s="222"/>
      <c r="V115" s="222"/>
      <c r="W115" s="222"/>
      <c r="X115" s="222"/>
      <c r="Y115" s="222"/>
      <c r="Z115" s="222"/>
      <c r="AA115" s="222"/>
      <c r="AB115" s="222"/>
      <c r="AC115" s="222"/>
      <c r="AD115" s="222"/>
      <c r="AE115" s="222"/>
    </row>
    <row r="116" spans="1:31" s="225" customFormat="1" ht="12" customHeight="1">
      <c r="A116" s="222"/>
      <c r="B116" s="223"/>
      <c r="C116" s="221" t="s">
        <v>1346</v>
      </c>
      <c r="D116" s="222"/>
      <c r="E116" s="222"/>
      <c r="F116" s="222"/>
      <c r="G116" s="222"/>
      <c r="H116" s="222"/>
      <c r="I116" s="222"/>
      <c r="J116" s="222"/>
      <c r="K116" s="222"/>
      <c r="L116" s="245"/>
      <c r="S116" s="222"/>
      <c r="T116" s="222"/>
      <c r="U116" s="222"/>
      <c r="V116" s="222"/>
      <c r="W116" s="222"/>
      <c r="X116" s="222"/>
      <c r="Y116" s="222"/>
      <c r="Z116" s="222"/>
      <c r="AA116" s="222"/>
      <c r="AB116" s="222"/>
      <c r="AC116" s="222"/>
      <c r="AD116" s="222"/>
      <c r="AE116" s="222"/>
    </row>
    <row r="117" spans="1:31" s="225" customFormat="1" ht="16.5" customHeight="1">
      <c r="A117" s="222"/>
      <c r="B117" s="223"/>
      <c r="C117" s="222"/>
      <c r="D117" s="222"/>
      <c r="E117" s="830" t="str">
        <f>E89</f>
        <v>Zdravotně technické instalace</v>
      </c>
      <c r="F117" s="831"/>
      <c r="G117" s="831"/>
      <c r="H117" s="831"/>
      <c r="I117" s="222"/>
      <c r="J117" s="222"/>
      <c r="K117" s="222"/>
      <c r="L117" s="245"/>
      <c r="S117" s="222"/>
      <c r="T117" s="222"/>
      <c r="U117" s="222"/>
      <c r="V117" s="222"/>
      <c r="W117" s="222"/>
      <c r="X117" s="222"/>
      <c r="Y117" s="222"/>
      <c r="Z117" s="222"/>
      <c r="AA117" s="222"/>
      <c r="AB117" s="222"/>
      <c r="AC117" s="222"/>
      <c r="AD117" s="222"/>
      <c r="AE117" s="222"/>
    </row>
    <row r="118" spans="1:31" s="225" customFormat="1" ht="6.95" customHeight="1">
      <c r="A118" s="222"/>
      <c r="B118" s="223"/>
      <c r="C118" s="222"/>
      <c r="D118" s="222"/>
      <c r="E118" s="222"/>
      <c r="F118" s="222"/>
      <c r="G118" s="222"/>
      <c r="H118" s="222"/>
      <c r="I118" s="222"/>
      <c r="J118" s="222"/>
      <c r="K118" s="222"/>
      <c r="L118" s="245"/>
      <c r="S118" s="222"/>
      <c r="T118" s="222"/>
      <c r="U118" s="222"/>
      <c r="V118" s="222"/>
      <c r="W118" s="222"/>
      <c r="X118" s="222"/>
      <c r="Y118" s="222"/>
      <c r="Z118" s="222"/>
      <c r="AA118" s="222"/>
      <c r="AB118" s="222"/>
      <c r="AC118" s="222"/>
      <c r="AD118" s="222"/>
      <c r="AE118" s="222"/>
    </row>
    <row r="119" spans="1:31" s="225" customFormat="1" ht="12" customHeight="1">
      <c r="A119" s="222"/>
      <c r="B119" s="223"/>
      <c r="C119" s="221" t="s">
        <v>18</v>
      </c>
      <c r="D119" s="222"/>
      <c r="E119" s="222"/>
      <c r="F119" s="226" t="str">
        <f>F14</f>
        <v>st.p. 1443, k.ú. Staré Benátky</v>
      </c>
      <c r="G119" s="222"/>
      <c r="H119" s="222"/>
      <c r="I119" s="221" t="s">
        <v>20</v>
      </c>
      <c r="J119" s="227" t="str">
        <f>IF(J14="","",J14)</f>
        <v>8. 10. 2021</v>
      </c>
      <c r="K119" s="222"/>
      <c r="L119" s="245"/>
      <c r="S119" s="222"/>
      <c r="T119" s="222"/>
      <c r="U119" s="222"/>
      <c r="V119" s="222"/>
      <c r="W119" s="222"/>
      <c r="X119" s="222"/>
      <c r="Y119" s="222"/>
      <c r="Z119" s="222"/>
      <c r="AA119" s="222"/>
      <c r="AB119" s="222"/>
      <c r="AC119" s="222"/>
      <c r="AD119" s="222"/>
      <c r="AE119" s="222"/>
    </row>
    <row r="120" spans="1:31" s="225" customFormat="1" ht="6.95" customHeight="1">
      <c r="A120" s="222"/>
      <c r="B120" s="223"/>
      <c r="C120" s="222"/>
      <c r="D120" s="222"/>
      <c r="E120" s="222"/>
      <c r="F120" s="222"/>
      <c r="G120" s="222"/>
      <c r="H120" s="222"/>
      <c r="I120" s="222"/>
      <c r="J120" s="222"/>
      <c r="K120" s="222"/>
      <c r="L120" s="245"/>
      <c r="S120" s="222"/>
      <c r="T120" s="222"/>
      <c r="U120" s="222"/>
      <c r="V120" s="222"/>
      <c r="W120" s="222"/>
      <c r="X120" s="222"/>
      <c r="Y120" s="222"/>
      <c r="Z120" s="222"/>
      <c r="AA120" s="222"/>
      <c r="AB120" s="222"/>
      <c r="AC120" s="222"/>
      <c r="AD120" s="222"/>
      <c r="AE120" s="222"/>
    </row>
    <row r="121" spans="1:31" s="225" customFormat="1" ht="25.5" customHeight="1">
      <c r="A121" s="222"/>
      <c r="B121" s="223"/>
      <c r="C121" s="221" t="s">
        <v>22</v>
      </c>
      <c r="D121" s="222"/>
      <c r="E121" s="222"/>
      <c r="F121" s="226" t="str">
        <f>E17</f>
        <v>VaK Mladá Boleslav, Čechova 1151, Mladá Boleslav</v>
      </c>
      <c r="G121" s="222"/>
      <c r="H121" s="222"/>
      <c r="I121" s="221" t="s">
        <v>30</v>
      </c>
      <c r="J121" s="257" t="str">
        <f>E23</f>
        <v>ŽÁROVKA PROJEKTANTI,Křižíkova 788/2,Hradec Králové</v>
      </c>
      <c r="K121" s="222"/>
      <c r="L121" s="245"/>
      <c r="S121" s="222"/>
      <c r="T121" s="222"/>
      <c r="U121" s="222"/>
      <c r="V121" s="222"/>
      <c r="W121" s="222"/>
      <c r="X121" s="222"/>
      <c r="Y121" s="222"/>
      <c r="Z121" s="222"/>
      <c r="AA121" s="222"/>
      <c r="AB121" s="222"/>
      <c r="AC121" s="222"/>
      <c r="AD121" s="222"/>
      <c r="AE121" s="222"/>
    </row>
    <row r="122" spans="1:31" s="225" customFormat="1" ht="15.2" customHeight="1">
      <c r="A122" s="222"/>
      <c r="B122" s="223"/>
      <c r="C122" s="221" t="s">
        <v>28</v>
      </c>
      <c r="D122" s="222"/>
      <c r="E122" s="222"/>
      <c r="F122" s="226" t="str">
        <f>IF(E20="","",E20)</f>
        <v xml:space="preserve"> </v>
      </c>
      <c r="G122" s="222"/>
      <c r="H122" s="222"/>
      <c r="I122" s="221" t="s">
        <v>35</v>
      </c>
      <c r="J122" s="257" t="str">
        <f>E26</f>
        <v xml:space="preserve"> </v>
      </c>
      <c r="K122" s="222"/>
      <c r="L122" s="245"/>
      <c r="S122" s="222"/>
      <c r="T122" s="222"/>
      <c r="U122" s="222"/>
      <c r="V122" s="222"/>
      <c r="W122" s="222"/>
      <c r="X122" s="222"/>
      <c r="Y122" s="222"/>
      <c r="Z122" s="222"/>
      <c r="AA122" s="222"/>
      <c r="AB122" s="222"/>
      <c r="AC122" s="222"/>
      <c r="AD122" s="222"/>
      <c r="AE122" s="222"/>
    </row>
    <row r="123" spans="1:31" s="225" customFormat="1" ht="10.35" customHeight="1">
      <c r="A123" s="222"/>
      <c r="B123" s="223"/>
      <c r="C123" s="222"/>
      <c r="D123" s="222"/>
      <c r="E123" s="222"/>
      <c r="F123" s="222"/>
      <c r="G123" s="222"/>
      <c r="H123" s="222"/>
      <c r="I123" s="222"/>
      <c r="J123" s="222"/>
      <c r="K123" s="222"/>
      <c r="L123" s="245"/>
      <c r="S123" s="222"/>
      <c r="T123" s="222"/>
      <c r="U123" s="222"/>
      <c r="V123" s="222"/>
      <c r="W123" s="222"/>
      <c r="X123" s="222"/>
      <c r="Y123" s="222"/>
      <c r="Z123" s="222"/>
      <c r="AA123" s="222"/>
      <c r="AB123" s="222"/>
      <c r="AC123" s="222"/>
      <c r="AD123" s="222"/>
      <c r="AE123" s="222"/>
    </row>
    <row r="124" spans="1:31" s="286" customFormat="1" ht="29.25" customHeight="1">
      <c r="A124" s="277"/>
      <c r="B124" s="278"/>
      <c r="C124" s="279" t="s">
        <v>132</v>
      </c>
      <c r="D124" s="280" t="s">
        <v>61</v>
      </c>
      <c r="E124" s="280" t="s">
        <v>58</v>
      </c>
      <c r="F124" s="280" t="s">
        <v>59</v>
      </c>
      <c r="G124" s="280" t="s">
        <v>133</v>
      </c>
      <c r="H124" s="280" t="s">
        <v>134</v>
      </c>
      <c r="I124" s="280" t="s">
        <v>135</v>
      </c>
      <c r="J124" s="280" t="s">
        <v>99</v>
      </c>
      <c r="K124" s="281" t="s">
        <v>136</v>
      </c>
      <c r="L124" s="282"/>
      <c r="M124" s="283" t="s">
        <v>1</v>
      </c>
      <c r="N124" s="284" t="s">
        <v>41</v>
      </c>
      <c r="O124" s="284" t="s">
        <v>137</v>
      </c>
      <c r="P124" s="284" t="s">
        <v>138</v>
      </c>
      <c r="Q124" s="284" t="s">
        <v>139</v>
      </c>
      <c r="R124" s="284" t="s">
        <v>140</v>
      </c>
      <c r="S124" s="284" t="s">
        <v>141</v>
      </c>
      <c r="T124" s="285" t="s">
        <v>142</v>
      </c>
      <c r="U124" s="277"/>
      <c r="V124" s="277"/>
      <c r="W124" s="277"/>
      <c r="X124" s="277"/>
      <c r="Y124" s="277"/>
      <c r="Z124" s="277"/>
      <c r="AA124" s="277"/>
      <c r="AB124" s="277"/>
      <c r="AC124" s="277"/>
      <c r="AD124" s="277"/>
      <c r="AE124" s="277"/>
    </row>
    <row r="125" spans="1:63" s="225" customFormat="1" ht="22.9" customHeight="1">
      <c r="A125" s="222"/>
      <c r="B125" s="223"/>
      <c r="C125" s="287" t="s">
        <v>143</v>
      </c>
      <c r="D125" s="222"/>
      <c r="E125" s="222"/>
      <c r="F125" s="222"/>
      <c r="G125" s="222"/>
      <c r="H125" s="222"/>
      <c r="I125" s="222"/>
      <c r="J125" s="288">
        <f>J98</f>
        <v>0</v>
      </c>
      <c r="K125" s="222"/>
      <c r="L125" s="223"/>
      <c r="M125" s="289"/>
      <c r="N125" s="290"/>
      <c r="O125" s="231"/>
      <c r="P125" s="291">
        <f>P127+P135+P141+P168+P218</f>
        <v>0</v>
      </c>
      <c r="Q125" s="231"/>
      <c r="R125" s="291">
        <f>R127+R135+R141+R168+R218</f>
        <v>0</v>
      </c>
      <c r="S125" s="231"/>
      <c r="T125" s="659">
        <f>T127+T135+T141+T168+T218</f>
        <v>0</v>
      </c>
      <c r="U125" s="222"/>
      <c r="V125" s="222"/>
      <c r="W125" s="222"/>
      <c r="X125" s="222"/>
      <c r="Y125" s="222"/>
      <c r="Z125" s="222"/>
      <c r="AA125" s="222"/>
      <c r="AB125" s="222"/>
      <c r="AC125" s="222"/>
      <c r="AD125" s="222"/>
      <c r="AE125" s="222"/>
      <c r="AT125" s="214" t="s">
        <v>75</v>
      </c>
      <c r="AU125" s="214" t="s">
        <v>101</v>
      </c>
      <c r="BK125" s="296">
        <f>BK127+BK135+BK141+BK168+BK218</f>
        <v>0</v>
      </c>
    </row>
    <row r="126" spans="1:63" s="225" customFormat="1" ht="22.9" customHeight="1">
      <c r="A126" s="222"/>
      <c r="B126" s="223"/>
      <c r="C126" s="287"/>
      <c r="D126" s="222"/>
      <c r="E126" s="222"/>
      <c r="F126" s="544" t="s">
        <v>3833</v>
      </c>
      <c r="G126" s="222"/>
      <c r="H126" s="222"/>
      <c r="I126" s="222"/>
      <c r="J126" s="288"/>
      <c r="K126" s="222"/>
      <c r="L126" s="223"/>
      <c r="M126" s="670"/>
      <c r="N126" s="671"/>
      <c r="O126" s="672"/>
      <c r="P126" s="673"/>
      <c r="Q126" s="672"/>
      <c r="R126" s="673"/>
      <c r="S126" s="672"/>
      <c r="T126" s="674"/>
      <c r="U126" s="222"/>
      <c r="V126" s="222"/>
      <c r="W126" s="222"/>
      <c r="X126" s="222"/>
      <c r="Y126" s="222"/>
      <c r="Z126" s="222"/>
      <c r="AA126" s="222"/>
      <c r="AB126" s="222"/>
      <c r="AC126" s="222"/>
      <c r="AD126" s="222"/>
      <c r="AE126" s="222"/>
      <c r="AT126" s="214"/>
      <c r="AU126" s="214"/>
      <c r="BK126" s="296"/>
    </row>
    <row r="127" spans="2:63" s="297" customFormat="1" ht="25.9" customHeight="1">
      <c r="B127" s="298"/>
      <c r="D127" s="299" t="s">
        <v>75</v>
      </c>
      <c r="E127" s="300" t="s">
        <v>81</v>
      </c>
      <c r="F127" s="300" t="s">
        <v>3834</v>
      </c>
      <c r="J127" s="301">
        <f>SUM(J128:J134)</f>
        <v>0</v>
      </c>
      <c r="L127" s="298"/>
      <c r="M127" s="303"/>
      <c r="N127" s="304"/>
      <c r="O127" s="304"/>
      <c r="P127" s="305">
        <f>SUM(P128:P134)</f>
        <v>0</v>
      </c>
      <c r="Q127" s="304"/>
      <c r="R127" s="305">
        <f>SUM(R128:R134)</f>
        <v>0</v>
      </c>
      <c r="S127" s="304"/>
      <c r="T127" s="313">
        <f>SUM(T128:T134)</f>
        <v>0</v>
      </c>
      <c r="AR127" s="299" t="s">
        <v>81</v>
      </c>
      <c r="AT127" s="308" t="s">
        <v>75</v>
      </c>
      <c r="AU127" s="308" t="s">
        <v>76</v>
      </c>
      <c r="AY127" s="299" t="s">
        <v>146</v>
      </c>
      <c r="BK127" s="309">
        <f>SUM(BK128:BK134)</f>
        <v>0</v>
      </c>
    </row>
    <row r="128" spans="1:65" s="225" customFormat="1" ht="49.15" customHeight="1">
      <c r="A128" s="222"/>
      <c r="B128" s="223"/>
      <c r="C128" s="314" t="s">
        <v>81</v>
      </c>
      <c r="D128" s="314" t="s">
        <v>148</v>
      </c>
      <c r="E128" s="315" t="s">
        <v>1795</v>
      </c>
      <c r="F128" s="316" t="s">
        <v>1796</v>
      </c>
      <c r="G128" s="317" t="s">
        <v>162</v>
      </c>
      <c r="H128" s="222">
        <f>(20*0.6*1.2+25*0.6*1+35*0.6*1+17*0.6*0.8+11*0.8*1.2+4*0.8*1.2+15*0.6*0.6)</f>
        <v>78.36000000000001</v>
      </c>
      <c r="I128" s="79"/>
      <c r="J128" s="319">
        <f aca="true" t="shared" si="0" ref="J128:J134">ROUND(I128*H128,2)</f>
        <v>0</v>
      </c>
      <c r="K128" s="316" t="s">
        <v>1</v>
      </c>
      <c r="L128" s="223"/>
      <c r="M128" s="320" t="s">
        <v>1</v>
      </c>
      <c r="N128" s="321" t="s">
        <v>42</v>
      </c>
      <c r="O128" s="322">
        <v>0</v>
      </c>
      <c r="P128" s="322">
        <f aca="true" t="shared" si="1" ref="P128:P134">O128*H128</f>
        <v>0</v>
      </c>
      <c r="Q128" s="322">
        <v>0</v>
      </c>
      <c r="R128" s="322">
        <f aca="true" t="shared" si="2" ref="R128:R134">Q128*H128</f>
        <v>0</v>
      </c>
      <c r="S128" s="322">
        <v>0</v>
      </c>
      <c r="T128" s="323">
        <f aca="true" t="shared" si="3" ref="T128:T134">S128*H128</f>
        <v>0</v>
      </c>
      <c r="U128" s="222"/>
      <c r="V128" s="222"/>
      <c r="W128" s="222"/>
      <c r="X128" s="222"/>
      <c r="Y128" s="222"/>
      <c r="Z128" s="222"/>
      <c r="AA128" s="222"/>
      <c r="AB128" s="222"/>
      <c r="AC128" s="222"/>
      <c r="AD128" s="222"/>
      <c r="AE128" s="222"/>
      <c r="AR128" s="324" t="s">
        <v>153</v>
      </c>
      <c r="AT128" s="324" t="s">
        <v>148</v>
      </c>
      <c r="AU128" s="324" t="s">
        <v>81</v>
      </c>
      <c r="AY128" s="214" t="s">
        <v>146</v>
      </c>
      <c r="BE128" s="325">
        <f aca="true" t="shared" si="4" ref="BE128:BE134">IF(N128="základní",J128,0)</f>
        <v>0</v>
      </c>
      <c r="BF128" s="325">
        <f aca="true" t="shared" si="5" ref="BF128:BF134">IF(N128="snížená",J128,0)</f>
        <v>0</v>
      </c>
      <c r="BG128" s="325">
        <f aca="true" t="shared" si="6" ref="BG128:BG134">IF(N128="zákl. přenesená",J128,0)</f>
        <v>0</v>
      </c>
      <c r="BH128" s="325">
        <f aca="true" t="shared" si="7" ref="BH128:BH134">IF(N128="sníž. přenesená",J128,0)</f>
        <v>0</v>
      </c>
      <c r="BI128" s="325">
        <f aca="true" t="shared" si="8" ref="BI128:BI134">IF(N128="nulová",J128,0)</f>
        <v>0</v>
      </c>
      <c r="BJ128" s="214" t="s">
        <v>81</v>
      </c>
      <c r="BK128" s="325">
        <f aca="true" t="shared" si="9" ref="BK128:BK134">ROUND(I128*H128,2)</f>
        <v>0</v>
      </c>
      <c r="BL128" s="214" t="s">
        <v>153</v>
      </c>
      <c r="BM128" s="324" t="s">
        <v>1797</v>
      </c>
    </row>
    <row r="129" spans="1:65" s="225" customFormat="1" ht="24.2" customHeight="1">
      <c r="A129" s="222"/>
      <c r="B129" s="223"/>
      <c r="C129" s="314">
        <f>C128+1</f>
        <v>2</v>
      </c>
      <c r="D129" s="314" t="s">
        <v>148</v>
      </c>
      <c r="E129" s="315" t="s">
        <v>1798</v>
      </c>
      <c r="F129" s="316" t="s">
        <v>1799</v>
      </c>
      <c r="G129" s="317" t="s">
        <v>162</v>
      </c>
      <c r="H129" s="318">
        <f>15*0.6*0.6</f>
        <v>5.3999999999999995</v>
      </c>
      <c r="I129" s="79"/>
      <c r="J129" s="319">
        <f t="shared" si="0"/>
        <v>0</v>
      </c>
      <c r="K129" s="316" t="s">
        <v>1</v>
      </c>
      <c r="L129" s="223"/>
      <c r="M129" s="320" t="s">
        <v>1</v>
      </c>
      <c r="N129" s="321" t="s">
        <v>42</v>
      </c>
      <c r="O129" s="322">
        <v>0</v>
      </c>
      <c r="P129" s="322">
        <f t="shared" si="1"/>
        <v>0</v>
      </c>
      <c r="Q129" s="322">
        <v>0</v>
      </c>
      <c r="R129" s="322">
        <f t="shared" si="2"/>
        <v>0</v>
      </c>
      <c r="S129" s="322">
        <v>0</v>
      </c>
      <c r="T129" s="323">
        <f t="shared" si="3"/>
        <v>0</v>
      </c>
      <c r="U129" s="222"/>
      <c r="V129" s="222"/>
      <c r="W129" s="222"/>
      <c r="X129" s="222"/>
      <c r="Y129" s="222"/>
      <c r="Z129" s="222"/>
      <c r="AA129" s="222"/>
      <c r="AB129" s="222"/>
      <c r="AC129" s="222"/>
      <c r="AD129" s="222"/>
      <c r="AE129" s="222"/>
      <c r="AR129" s="324" t="s">
        <v>153</v>
      </c>
      <c r="AT129" s="324" t="s">
        <v>148</v>
      </c>
      <c r="AU129" s="324" t="s">
        <v>81</v>
      </c>
      <c r="AY129" s="214" t="s">
        <v>146</v>
      </c>
      <c r="BE129" s="325">
        <f t="shared" si="4"/>
        <v>0</v>
      </c>
      <c r="BF129" s="325">
        <f t="shared" si="5"/>
        <v>0</v>
      </c>
      <c r="BG129" s="325">
        <f t="shared" si="6"/>
        <v>0</v>
      </c>
      <c r="BH129" s="325">
        <f t="shared" si="7"/>
        <v>0</v>
      </c>
      <c r="BI129" s="325">
        <f t="shared" si="8"/>
        <v>0</v>
      </c>
      <c r="BJ129" s="214" t="s">
        <v>81</v>
      </c>
      <c r="BK129" s="325">
        <f t="shared" si="9"/>
        <v>0</v>
      </c>
      <c r="BL129" s="214" t="s">
        <v>153</v>
      </c>
      <c r="BM129" s="324" t="s">
        <v>1800</v>
      </c>
    </row>
    <row r="130" spans="1:65" s="225" customFormat="1" ht="24.2" customHeight="1">
      <c r="A130" s="222"/>
      <c r="B130" s="223"/>
      <c r="C130" s="314">
        <f aca="true" t="shared" si="10" ref="C130:C134">C129+1</f>
        <v>3</v>
      </c>
      <c r="D130" s="314" t="s">
        <v>148</v>
      </c>
      <c r="E130" s="315" t="s">
        <v>1801</v>
      </c>
      <c r="F130" s="316" t="s">
        <v>1802</v>
      </c>
      <c r="G130" s="317" t="s">
        <v>162</v>
      </c>
      <c r="H130" s="318">
        <f>H128-H131-H132</f>
        <v>66.76000000000002</v>
      </c>
      <c r="I130" s="79"/>
      <c r="J130" s="319">
        <f t="shared" si="0"/>
        <v>0</v>
      </c>
      <c r="K130" s="316" t="s">
        <v>1</v>
      </c>
      <c r="L130" s="223"/>
      <c r="M130" s="320" t="s">
        <v>1</v>
      </c>
      <c r="N130" s="321" t="s">
        <v>42</v>
      </c>
      <c r="O130" s="322">
        <v>0</v>
      </c>
      <c r="P130" s="322">
        <f t="shared" si="1"/>
        <v>0</v>
      </c>
      <c r="Q130" s="322">
        <v>0</v>
      </c>
      <c r="R130" s="322">
        <f t="shared" si="2"/>
        <v>0</v>
      </c>
      <c r="S130" s="322">
        <v>0</v>
      </c>
      <c r="T130" s="323">
        <f t="shared" si="3"/>
        <v>0</v>
      </c>
      <c r="U130" s="222"/>
      <c r="V130" s="222"/>
      <c r="W130" s="222"/>
      <c r="X130" s="222"/>
      <c r="Y130" s="222"/>
      <c r="Z130" s="222"/>
      <c r="AA130" s="222"/>
      <c r="AB130" s="222"/>
      <c r="AC130" s="222"/>
      <c r="AD130" s="222"/>
      <c r="AE130" s="222"/>
      <c r="AR130" s="324" t="s">
        <v>153</v>
      </c>
      <c r="AT130" s="324" t="s">
        <v>148</v>
      </c>
      <c r="AU130" s="324" t="s">
        <v>81</v>
      </c>
      <c r="AY130" s="214" t="s">
        <v>146</v>
      </c>
      <c r="BE130" s="325">
        <f t="shared" si="4"/>
        <v>0</v>
      </c>
      <c r="BF130" s="325">
        <f t="shared" si="5"/>
        <v>0</v>
      </c>
      <c r="BG130" s="325">
        <f t="shared" si="6"/>
        <v>0</v>
      </c>
      <c r="BH130" s="325">
        <f t="shared" si="7"/>
        <v>0</v>
      </c>
      <c r="BI130" s="325">
        <f t="shared" si="8"/>
        <v>0</v>
      </c>
      <c r="BJ130" s="214" t="s">
        <v>81</v>
      </c>
      <c r="BK130" s="325">
        <f t="shared" si="9"/>
        <v>0</v>
      </c>
      <c r="BL130" s="214" t="s">
        <v>153</v>
      </c>
      <c r="BM130" s="324" t="s">
        <v>1803</v>
      </c>
    </row>
    <row r="131" spans="1:65" s="225" customFormat="1" ht="24.2" customHeight="1">
      <c r="A131" s="222"/>
      <c r="B131" s="223"/>
      <c r="C131" s="314">
        <f t="shared" si="10"/>
        <v>4</v>
      </c>
      <c r="D131" s="314" t="s">
        <v>148</v>
      </c>
      <c r="E131" s="315" t="s">
        <v>1804</v>
      </c>
      <c r="F131" s="316" t="s">
        <v>3827</v>
      </c>
      <c r="G131" s="317" t="s">
        <v>162</v>
      </c>
      <c r="H131" s="318">
        <f>116*0.5*0.1</f>
        <v>5.800000000000001</v>
      </c>
      <c r="I131" s="79"/>
      <c r="J131" s="319">
        <f t="shared" si="0"/>
        <v>0</v>
      </c>
      <c r="K131" s="316" t="s">
        <v>1</v>
      </c>
      <c r="L131" s="223"/>
      <c r="M131" s="320" t="s">
        <v>1</v>
      </c>
      <c r="N131" s="321" t="s">
        <v>42</v>
      </c>
      <c r="O131" s="322">
        <v>0</v>
      </c>
      <c r="P131" s="322">
        <f t="shared" si="1"/>
        <v>0</v>
      </c>
      <c r="Q131" s="322">
        <v>0</v>
      </c>
      <c r="R131" s="322">
        <f t="shared" si="2"/>
        <v>0</v>
      </c>
      <c r="S131" s="322">
        <v>0</v>
      </c>
      <c r="T131" s="323">
        <f t="shared" si="3"/>
        <v>0</v>
      </c>
      <c r="U131" s="222"/>
      <c r="V131" s="222"/>
      <c r="W131" s="222"/>
      <c r="X131" s="222"/>
      <c r="Y131" s="222"/>
      <c r="Z131" s="222"/>
      <c r="AA131" s="222"/>
      <c r="AB131" s="222"/>
      <c r="AC131" s="222"/>
      <c r="AD131" s="222"/>
      <c r="AE131" s="222"/>
      <c r="AR131" s="324" t="s">
        <v>153</v>
      </c>
      <c r="AT131" s="324" t="s">
        <v>148</v>
      </c>
      <c r="AU131" s="324" t="s">
        <v>81</v>
      </c>
      <c r="AY131" s="214" t="s">
        <v>146</v>
      </c>
      <c r="BE131" s="325">
        <f t="shared" si="4"/>
        <v>0</v>
      </c>
      <c r="BF131" s="325">
        <f t="shared" si="5"/>
        <v>0</v>
      </c>
      <c r="BG131" s="325">
        <f t="shared" si="6"/>
        <v>0</v>
      </c>
      <c r="BH131" s="325">
        <f t="shared" si="7"/>
        <v>0</v>
      </c>
      <c r="BI131" s="325">
        <f t="shared" si="8"/>
        <v>0</v>
      </c>
      <c r="BJ131" s="214" t="s">
        <v>81</v>
      </c>
      <c r="BK131" s="325">
        <f t="shared" si="9"/>
        <v>0</v>
      </c>
      <c r="BL131" s="214" t="s">
        <v>153</v>
      </c>
      <c r="BM131" s="324" t="s">
        <v>1805</v>
      </c>
    </row>
    <row r="132" spans="1:65" s="225" customFormat="1" ht="16.5" customHeight="1">
      <c r="A132" s="222"/>
      <c r="B132" s="223"/>
      <c r="C132" s="314">
        <f t="shared" si="10"/>
        <v>5</v>
      </c>
      <c r="D132" s="314" t="s">
        <v>148</v>
      </c>
      <c r="E132" s="315" t="s">
        <v>1806</v>
      </c>
      <c r="F132" s="316" t="s">
        <v>3828</v>
      </c>
      <c r="G132" s="317" t="s">
        <v>162</v>
      </c>
      <c r="H132" s="318">
        <f>116*0.5*0.1</f>
        <v>5.800000000000001</v>
      </c>
      <c r="I132" s="79"/>
      <c r="J132" s="319">
        <f t="shared" si="0"/>
        <v>0</v>
      </c>
      <c r="K132" s="316" t="s">
        <v>1</v>
      </c>
      <c r="L132" s="223"/>
      <c r="M132" s="320" t="s">
        <v>1</v>
      </c>
      <c r="N132" s="321" t="s">
        <v>42</v>
      </c>
      <c r="O132" s="322">
        <v>0</v>
      </c>
      <c r="P132" s="322">
        <f t="shared" si="1"/>
        <v>0</v>
      </c>
      <c r="Q132" s="322">
        <v>0</v>
      </c>
      <c r="R132" s="322">
        <f t="shared" si="2"/>
        <v>0</v>
      </c>
      <c r="S132" s="322">
        <v>0</v>
      </c>
      <c r="T132" s="323">
        <f t="shared" si="3"/>
        <v>0</v>
      </c>
      <c r="U132" s="222"/>
      <c r="V132" s="222"/>
      <c r="W132" s="222"/>
      <c r="X132" s="222"/>
      <c r="Y132" s="222"/>
      <c r="Z132" s="222"/>
      <c r="AA132" s="222"/>
      <c r="AB132" s="222"/>
      <c r="AC132" s="222"/>
      <c r="AD132" s="222"/>
      <c r="AE132" s="222"/>
      <c r="AR132" s="324" t="s">
        <v>153</v>
      </c>
      <c r="AT132" s="324" t="s">
        <v>148</v>
      </c>
      <c r="AU132" s="324" t="s">
        <v>81</v>
      </c>
      <c r="AY132" s="214" t="s">
        <v>146</v>
      </c>
      <c r="BE132" s="325">
        <f t="shared" si="4"/>
        <v>0</v>
      </c>
      <c r="BF132" s="325">
        <f t="shared" si="5"/>
        <v>0</v>
      </c>
      <c r="BG132" s="325">
        <f t="shared" si="6"/>
        <v>0</v>
      </c>
      <c r="BH132" s="325">
        <f t="shared" si="7"/>
        <v>0</v>
      </c>
      <c r="BI132" s="325">
        <f t="shared" si="8"/>
        <v>0</v>
      </c>
      <c r="BJ132" s="214" t="s">
        <v>81</v>
      </c>
      <c r="BK132" s="325">
        <f t="shared" si="9"/>
        <v>0</v>
      </c>
      <c r="BL132" s="214" t="s">
        <v>153</v>
      </c>
      <c r="BM132" s="324" t="s">
        <v>1807</v>
      </c>
    </row>
    <row r="133" spans="1:65" s="225" customFormat="1" ht="30.75" customHeight="1">
      <c r="A133" s="222"/>
      <c r="B133" s="223"/>
      <c r="C133" s="314">
        <f t="shared" si="10"/>
        <v>6</v>
      </c>
      <c r="D133" s="314" t="s">
        <v>148</v>
      </c>
      <c r="E133" s="315" t="s">
        <v>1808</v>
      </c>
      <c r="F133" s="316" t="s">
        <v>3829</v>
      </c>
      <c r="G133" s="317" t="s">
        <v>194</v>
      </c>
      <c r="H133" s="318">
        <v>10</v>
      </c>
      <c r="I133" s="79"/>
      <c r="J133" s="319">
        <f t="shared" si="0"/>
        <v>0</v>
      </c>
      <c r="K133" s="316" t="s">
        <v>1</v>
      </c>
      <c r="L133" s="223"/>
      <c r="M133" s="320" t="s">
        <v>1</v>
      </c>
      <c r="N133" s="321" t="s">
        <v>42</v>
      </c>
      <c r="O133" s="322">
        <v>0</v>
      </c>
      <c r="P133" s="322">
        <f t="shared" si="1"/>
        <v>0</v>
      </c>
      <c r="Q133" s="322">
        <v>0</v>
      </c>
      <c r="R133" s="322">
        <f t="shared" si="2"/>
        <v>0</v>
      </c>
      <c r="S133" s="322">
        <v>0</v>
      </c>
      <c r="T133" s="323">
        <f t="shared" si="3"/>
        <v>0</v>
      </c>
      <c r="U133" s="222"/>
      <c r="V133" s="222"/>
      <c r="W133" s="222"/>
      <c r="X133" s="222"/>
      <c r="Y133" s="222"/>
      <c r="Z133" s="222"/>
      <c r="AA133" s="222"/>
      <c r="AB133" s="222"/>
      <c r="AC133" s="222"/>
      <c r="AD133" s="222"/>
      <c r="AE133" s="222"/>
      <c r="AR133" s="324" t="s">
        <v>153</v>
      </c>
      <c r="AT133" s="324" t="s">
        <v>148</v>
      </c>
      <c r="AU133" s="324" t="s">
        <v>81</v>
      </c>
      <c r="AY133" s="214" t="s">
        <v>146</v>
      </c>
      <c r="BE133" s="325">
        <f t="shared" si="4"/>
        <v>0</v>
      </c>
      <c r="BF133" s="325">
        <f t="shared" si="5"/>
        <v>0</v>
      </c>
      <c r="BG133" s="325">
        <f t="shared" si="6"/>
        <v>0</v>
      </c>
      <c r="BH133" s="325">
        <f t="shared" si="7"/>
        <v>0</v>
      </c>
      <c r="BI133" s="325">
        <f t="shared" si="8"/>
        <v>0</v>
      </c>
      <c r="BJ133" s="214" t="s">
        <v>81</v>
      </c>
      <c r="BK133" s="325">
        <f t="shared" si="9"/>
        <v>0</v>
      </c>
      <c r="BL133" s="214" t="s">
        <v>153</v>
      </c>
      <c r="BM133" s="324" t="s">
        <v>1809</v>
      </c>
    </row>
    <row r="134" spans="1:65" s="225" customFormat="1" ht="24.2" customHeight="1">
      <c r="A134" s="222"/>
      <c r="B134" s="223"/>
      <c r="C134" s="314">
        <f t="shared" si="10"/>
        <v>7</v>
      </c>
      <c r="D134" s="314" t="s">
        <v>148</v>
      </c>
      <c r="E134" s="315" t="s">
        <v>1810</v>
      </c>
      <c r="F134" s="316" t="s">
        <v>1811</v>
      </c>
      <c r="G134" s="317" t="s">
        <v>162</v>
      </c>
      <c r="H134" s="318">
        <f>H131+H132</f>
        <v>11.600000000000001</v>
      </c>
      <c r="I134" s="79"/>
      <c r="J134" s="319">
        <f t="shared" si="0"/>
        <v>0</v>
      </c>
      <c r="K134" s="316" t="s">
        <v>1</v>
      </c>
      <c r="L134" s="223"/>
      <c r="M134" s="320" t="s">
        <v>1</v>
      </c>
      <c r="N134" s="321" t="s">
        <v>42</v>
      </c>
      <c r="O134" s="322">
        <v>0</v>
      </c>
      <c r="P134" s="322">
        <f t="shared" si="1"/>
        <v>0</v>
      </c>
      <c r="Q134" s="322">
        <v>0</v>
      </c>
      <c r="R134" s="322">
        <f t="shared" si="2"/>
        <v>0</v>
      </c>
      <c r="S134" s="322">
        <v>0</v>
      </c>
      <c r="T134" s="323">
        <f t="shared" si="3"/>
        <v>0</v>
      </c>
      <c r="U134" s="222"/>
      <c r="V134" s="222"/>
      <c r="W134" s="222"/>
      <c r="X134" s="222"/>
      <c r="Y134" s="222"/>
      <c r="Z134" s="222"/>
      <c r="AA134" s="222"/>
      <c r="AB134" s="222"/>
      <c r="AC134" s="222"/>
      <c r="AD134" s="222"/>
      <c r="AE134" s="222"/>
      <c r="AR134" s="324" t="s">
        <v>153</v>
      </c>
      <c r="AT134" s="324" t="s">
        <v>148</v>
      </c>
      <c r="AU134" s="324" t="s">
        <v>81</v>
      </c>
      <c r="AY134" s="214" t="s">
        <v>146</v>
      </c>
      <c r="BE134" s="325">
        <f t="shared" si="4"/>
        <v>0</v>
      </c>
      <c r="BF134" s="325">
        <f t="shared" si="5"/>
        <v>0</v>
      </c>
      <c r="BG134" s="325">
        <f t="shared" si="6"/>
        <v>0</v>
      </c>
      <c r="BH134" s="325">
        <f t="shared" si="7"/>
        <v>0</v>
      </c>
      <c r="BI134" s="325">
        <f t="shared" si="8"/>
        <v>0</v>
      </c>
      <c r="BJ134" s="214" t="s">
        <v>81</v>
      </c>
      <c r="BK134" s="325">
        <f t="shared" si="9"/>
        <v>0</v>
      </c>
      <c r="BL134" s="214" t="s">
        <v>153</v>
      </c>
      <c r="BM134" s="324" t="s">
        <v>1812</v>
      </c>
    </row>
    <row r="135" spans="2:63" s="297" customFormat="1" ht="25.9" customHeight="1">
      <c r="B135" s="298"/>
      <c r="D135" s="299" t="s">
        <v>75</v>
      </c>
      <c r="E135" s="300" t="s">
        <v>83</v>
      </c>
      <c r="F135" s="300" t="s">
        <v>1813</v>
      </c>
      <c r="I135" s="501"/>
      <c r="J135" s="301">
        <f>SUM(J136:J139)</f>
        <v>0</v>
      </c>
      <c r="L135" s="298"/>
      <c r="M135" s="303"/>
      <c r="N135" s="304"/>
      <c r="O135" s="304"/>
      <c r="P135" s="305">
        <f>SUM(P136:P139)</f>
        <v>0</v>
      </c>
      <c r="Q135" s="304"/>
      <c r="R135" s="305">
        <f>SUM(R136:R139)</f>
        <v>0</v>
      </c>
      <c r="S135" s="304"/>
      <c r="T135" s="313">
        <f>SUM(T136:T139)</f>
        <v>0</v>
      </c>
      <c r="AR135" s="299" t="s">
        <v>81</v>
      </c>
      <c r="AT135" s="308" t="s">
        <v>75</v>
      </c>
      <c r="AU135" s="308" t="s">
        <v>76</v>
      </c>
      <c r="AY135" s="299" t="s">
        <v>146</v>
      </c>
      <c r="BK135" s="309">
        <f>SUM(BK136:BK139)</f>
        <v>0</v>
      </c>
    </row>
    <row r="136" spans="1:65" s="225" customFormat="1" ht="24.2" customHeight="1">
      <c r="A136" s="222"/>
      <c r="B136" s="223"/>
      <c r="C136" s="314">
        <f>C134+1</f>
        <v>8</v>
      </c>
      <c r="D136" s="314" t="s">
        <v>148</v>
      </c>
      <c r="E136" s="315" t="s">
        <v>1814</v>
      </c>
      <c r="F136" s="316" t="s">
        <v>1815</v>
      </c>
      <c r="G136" s="317" t="s">
        <v>151</v>
      </c>
      <c r="H136" s="318">
        <v>20</v>
      </c>
      <c r="I136" s="79"/>
      <c r="J136" s="319">
        <f>ROUND(I136*H136,2)</f>
        <v>0</v>
      </c>
      <c r="K136" s="316" t="s">
        <v>1</v>
      </c>
      <c r="L136" s="223"/>
      <c r="M136" s="320" t="s">
        <v>1</v>
      </c>
      <c r="N136" s="321" t="s">
        <v>42</v>
      </c>
      <c r="O136" s="322">
        <v>0</v>
      </c>
      <c r="P136" s="322">
        <f>O136*H136</f>
        <v>0</v>
      </c>
      <c r="Q136" s="322">
        <v>0</v>
      </c>
      <c r="R136" s="322">
        <f>Q136*H136</f>
        <v>0</v>
      </c>
      <c r="S136" s="322">
        <v>0</v>
      </c>
      <c r="T136" s="323">
        <f>S136*H136</f>
        <v>0</v>
      </c>
      <c r="U136" s="222"/>
      <c r="V136" s="222"/>
      <c r="W136" s="222"/>
      <c r="X136" s="222"/>
      <c r="Y136" s="222"/>
      <c r="Z136" s="222"/>
      <c r="AA136" s="222"/>
      <c r="AB136" s="222"/>
      <c r="AC136" s="222"/>
      <c r="AD136" s="222"/>
      <c r="AE136" s="222"/>
      <c r="AR136" s="324" t="s">
        <v>153</v>
      </c>
      <c r="AT136" s="324" t="s">
        <v>148</v>
      </c>
      <c r="AU136" s="324" t="s">
        <v>81</v>
      </c>
      <c r="AY136" s="214" t="s">
        <v>146</v>
      </c>
      <c r="BE136" s="325">
        <f>IF(N136="základní",J136,0)</f>
        <v>0</v>
      </c>
      <c r="BF136" s="325">
        <f>IF(N136="snížená",J136,0)</f>
        <v>0</v>
      </c>
      <c r="BG136" s="325">
        <f>IF(N136="zákl. přenesená",J136,0)</f>
        <v>0</v>
      </c>
      <c r="BH136" s="325">
        <f>IF(N136="sníž. přenesená",J136,0)</f>
        <v>0</v>
      </c>
      <c r="BI136" s="325">
        <f>IF(N136="nulová",J136,0)</f>
        <v>0</v>
      </c>
      <c r="BJ136" s="214" t="s">
        <v>81</v>
      </c>
      <c r="BK136" s="325">
        <f>ROUND(I136*H136,2)</f>
        <v>0</v>
      </c>
      <c r="BL136" s="214" t="s">
        <v>153</v>
      </c>
      <c r="BM136" s="324" t="s">
        <v>1816</v>
      </c>
    </row>
    <row r="137" spans="1:65" s="225" customFormat="1" ht="25.5" customHeight="1">
      <c r="A137" s="222"/>
      <c r="B137" s="223"/>
      <c r="C137" s="314">
        <f aca="true" t="shared" si="11" ref="C137:C139">C136+1</f>
        <v>9</v>
      </c>
      <c r="D137" s="314" t="s">
        <v>148</v>
      </c>
      <c r="E137" s="315" t="s">
        <v>1817</v>
      </c>
      <c r="F137" s="316" t="s">
        <v>3831</v>
      </c>
      <c r="G137" s="317" t="s">
        <v>151</v>
      </c>
      <c r="H137" s="318">
        <v>20</v>
      </c>
      <c r="I137" s="79"/>
      <c r="J137" s="319">
        <f>ROUND(I137*H137,2)</f>
        <v>0</v>
      </c>
      <c r="K137" s="316" t="s">
        <v>1</v>
      </c>
      <c r="L137" s="223"/>
      <c r="M137" s="320" t="s">
        <v>1</v>
      </c>
      <c r="N137" s="321" t="s">
        <v>42</v>
      </c>
      <c r="O137" s="322">
        <v>0</v>
      </c>
      <c r="P137" s="322">
        <f>O137*H137</f>
        <v>0</v>
      </c>
      <c r="Q137" s="322">
        <v>0</v>
      </c>
      <c r="R137" s="322">
        <f>Q137*H137</f>
        <v>0</v>
      </c>
      <c r="S137" s="322">
        <v>0</v>
      </c>
      <c r="T137" s="323">
        <f>S137*H137</f>
        <v>0</v>
      </c>
      <c r="U137" s="222"/>
      <c r="V137" s="222"/>
      <c r="W137" s="222"/>
      <c r="X137" s="222"/>
      <c r="Y137" s="222"/>
      <c r="Z137" s="222"/>
      <c r="AA137" s="222"/>
      <c r="AB137" s="222"/>
      <c r="AC137" s="222"/>
      <c r="AD137" s="222"/>
      <c r="AE137" s="222"/>
      <c r="AR137" s="324" t="s">
        <v>153</v>
      </c>
      <c r="AT137" s="324" t="s">
        <v>148</v>
      </c>
      <c r="AU137" s="324" t="s">
        <v>81</v>
      </c>
      <c r="AY137" s="214" t="s">
        <v>146</v>
      </c>
      <c r="BE137" s="325">
        <f>IF(N137="základní",J137,0)</f>
        <v>0</v>
      </c>
      <c r="BF137" s="325">
        <f>IF(N137="snížená",J137,0)</f>
        <v>0</v>
      </c>
      <c r="BG137" s="325">
        <f>IF(N137="zákl. přenesená",J137,0)</f>
        <v>0</v>
      </c>
      <c r="BH137" s="325">
        <f>IF(N137="sníž. přenesená",J137,0)</f>
        <v>0</v>
      </c>
      <c r="BI137" s="325">
        <f>IF(N137="nulová",J137,0)</f>
        <v>0</v>
      </c>
      <c r="BJ137" s="214" t="s">
        <v>81</v>
      </c>
      <c r="BK137" s="325">
        <f>ROUND(I137*H137,2)</f>
        <v>0</v>
      </c>
      <c r="BL137" s="214" t="s">
        <v>153</v>
      </c>
      <c r="BM137" s="324" t="s">
        <v>1818</v>
      </c>
    </row>
    <row r="138" spans="1:65" s="225" customFormat="1" ht="16.5" customHeight="1">
      <c r="A138" s="222"/>
      <c r="B138" s="223"/>
      <c r="C138" s="314">
        <f t="shared" si="11"/>
        <v>10</v>
      </c>
      <c r="D138" s="314" t="s">
        <v>148</v>
      </c>
      <c r="E138" s="315" t="s">
        <v>1819</v>
      </c>
      <c r="F138" s="316" t="s">
        <v>1820</v>
      </c>
      <c r="G138" s="317" t="s">
        <v>883</v>
      </c>
      <c r="H138" s="318">
        <v>1</v>
      </c>
      <c r="I138" s="79"/>
      <c r="J138" s="319">
        <f>ROUND(I138*H138,2)</f>
        <v>0</v>
      </c>
      <c r="K138" s="316" t="s">
        <v>1</v>
      </c>
      <c r="L138" s="223"/>
      <c r="M138" s="320" t="s">
        <v>1</v>
      </c>
      <c r="N138" s="321" t="s">
        <v>42</v>
      </c>
      <c r="O138" s="322">
        <v>0</v>
      </c>
      <c r="P138" s="322">
        <f>O138*H138</f>
        <v>0</v>
      </c>
      <c r="Q138" s="322">
        <v>0</v>
      </c>
      <c r="R138" s="322">
        <f>Q138*H138</f>
        <v>0</v>
      </c>
      <c r="S138" s="322">
        <v>0</v>
      </c>
      <c r="T138" s="323">
        <f>S138*H138</f>
        <v>0</v>
      </c>
      <c r="U138" s="222"/>
      <c r="V138" s="222"/>
      <c r="W138" s="222"/>
      <c r="X138" s="222"/>
      <c r="Y138" s="222"/>
      <c r="Z138" s="222"/>
      <c r="AA138" s="222"/>
      <c r="AB138" s="222"/>
      <c r="AC138" s="222"/>
      <c r="AD138" s="222"/>
      <c r="AE138" s="222"/>
      <c r="AR138" s="324" t="s">
        <v>153</v>
      </c>
      <c r="AT138" s="324" t="s">
        <v>148</v>
      </c>
      <c r="AU138" s="324" t="s">
        <v>81</v>
      </c>
      <c r="AY138" s="214" t="s">
        <v>146</v>
      </c>
      <c r="BE138" s="325">
        <f>IF(N138="základní",J138,0)</f>
        <v>0</v>
      </c>
      <c r="BF138" s="325">
        <f>IF(N138="snížená",J138,0)</f>
        <v>0</v>
      </c>
      <c r="BG138" s="325">
        <f>IF(N138="zákl. přenesená",J138,0)</f>
        <v>0</v>
      </c>
      <c r="BH138" s="325">
        <f>IF(N138="sníž. přenesená",J138,0)</f>
        <v>0</v>
      </c>
      <c r="BI138" s="325">
        <f>IF(N138="nulová",J138,0)</f>
        <v>0</v>
      </c>
      <c r="BJ138" s="214" t="s">
        <v>81</v>
      </c>
      <c r="BK138" s="325">
        <f>ROUND(I138*H138,2)</f>
        <v>0</v>
      </c>
      <c r="BL138" s="214" t="s">
        <v>153</v>
      </c>
      <c r="BM138" s="324" t="s">
        <v>1821</v>
      </c>
    </row>
    <row r="139" spans="1:65" s="225" customFormat="1" ht="33" customHeight="1">
      <c r="A139" s="222"/>
      <c r="B139" s="223"/>
      <c r="C139" s="314">
        <f t="shared" si="11"/>
        <v>11</v>
      </c>
      <c r="D139" s="314" t="s">
        <v>148</v>
      </c>
      <c r="E139" s="315" t="s">
        <v>1822</v>
      </c>
      <c r="F139" s="316" t="s">
        <v>1823</v>
      </c>
      <c r="G139" s="317" t="s">
        <v>194</v>
      </c>
      <c r="H139" s="318">
        <f>H140</f>
        <v>3.6</v>
      </c>
      <c r="I139" s="79"/>
      <c r="J139" s="319">
        <f>ROUND(I139*H139,2)</f>
        <v>0</v>
      </c>
      <c r="K139" s="316" t="s">
        <v>1</v>
      </c>
      <c r="L139" s="223"/>
      <c r="M139" s="320" t="s">
        <v>1</v>
      </c>
      <c r="N139" s="321" t="s">
        <v>42</v>
      </c>
      <c r="O139" s="322">
        <v>0</v>
      </c>
      <c r="P139" s="322">
        <f>O139*H139</f>
        <v>0</v>
      </c>
      <c r="Q139" s="322">
        <v>0</v>
      </c>
      <c r="R139" s="322">
        <f>Q139*H139</f>
        <v>0</v>
      </c>
      <c r="S139" s="322">
        <v>0</v>
      </c>
      <c r="T139" s="323">
        <f>S139*H139</f>
        <v>0</v>
      </c>
      <c r="U139" s="222"/>
      <c r="V139" s="222"/>
      <c r="W139" s="222"/>
      <c r="X139" s="222"/>
      <c r="Y139" s="222"/>
      <c r="Z139" s="222"/>
      <c r="AA139" s="222"/>
      <c r="AB139" s="222"/>
      <c r="AC139" s="222"/>
      <c r="AD139" s="222"/>
      <c r="AE139" s="222"/>
      <c r="AR139" s="324" t="s">
        <v>153</v>
      </c>
      <c r="AT139" s="324" t="s">
        <v>148</v>
      </c>
      <c r="AU139" s="324" t="s">
        <v>81</v>
      </c>
      <c r="AY139" s="214" t="s">
        <v>146</v>
      </c>
      <c r="BE139" s="325">
        <f>IF(N139="základní",J139,0)</f>
        <v>0</v>
      </c>
      <c r="BF139" s="325">
        <f>IF(N139="snížená",J139,0)</f>
        <v>0</v>
      </c>
      <c r="BG139" s="325">
        <f>IF(N139="zákl. přenesená",J139,0)</f>
        <v>0</v>
      </c>
      <c r="BH139" s="325">
        <f>IF(N139="sníž. přenesená",J139,0)</f>
        <v>0</v>
      </c>
      <c r="BI139" s="325">
        <f>IF(N139="nulová",J139,0)</f>
        <v>0</v>
      </c>
      <c r="BJ139" s="214" t="s">
        <v>81</v>
      </c>
      <c r="BK139" s="325">
        <f>ROUND(I139*H139,2)</f>
        <v>0</v>
      </c>
      <c r="BL139" s="214" t="s">
        <v>153</v>
      </c>
      <c r="BM139" s="324" t="s">
        <v>1824</v>
      </c>
    </row>
    <row r="140" spans="1:65" s="225" customFormat="1" ht="11.25" customHeight="1">
      <c r="A140" s="222"/>
      <c r="B140" s="223"/>
      <c r="C140" s="383"/>
      <c r="D140" s="383"/>
      <c r="E140" s="384"/>
      <c r="F140" s="388" t="s">
        <v>3832</v>
      </c>
      <c r="G140" s="385"/>
      <c r="H140" s="386">
        <f>20*0.1*1.8</f>
        <v>3.6</v>
      </c>
      <c r="I140" s="86"/>
      <c r="J140" s="387"/>
      <c r="K140" s="388"/>
      <c r="L140" s="223"/>
      <c r="M140" s="320"/>
      <c r="N140" s="321"/>
      <c r="O140" s="322"/>
      <c r="P140" s="322"/>
      <c r="Q140" s="322"/>
      <c r="R140" s="322"/>
      <c r="S140" s="322"/>
      <c r="T140" s="323"/>
      <c r="U140" s="222"/>
      <c r="V140" s="222"/>
      <c r="W140" s="222"/>
      <c r="X140" s="222"/>
      <c r="Y140" s="222"/>
      <c r="Z140" s="222"/>
      <c r="AA140" s="222"/>
      <c r="AB140" s="222"/>
      <c r="AC140" s="222"/>
      <c r="AD140" s="222"/>
      <c r="AE140" s="222"/>
      <c r="AR140" s="324"/>
      <c r="AT140" s="324"/>
      <c r="AU140" s="324"/>
      <c r="AY140" s="214"/>
      <c r="BE140" s="325"/>
      <c r="BF140" s="325"/>
      <c r="BG140" s="325"/>
      <c r="BH140" s="325"/>
      <c r="BI140" s="325"/>
      <c r="BJ140" s="214"/>
      <c r="BK140" s="325"/>
      <c r="BL140" s="214"/>
      <c r="BM140" s="324"/>
    </row>
    <row r="141" spans="2:63" s="297" customFormat="1" ht="25.9" customHeight="1">
      <c r="B141" s="298"/>
      <c r="D141" s="299" t="s">
        <v>75</v>
      </c>
      <c r="E141" s="300" t="s">
        <v>159</v>
      </c>
      <c r="F141" s="300" t="s">
        <v>1825</v>
      </c>
      <c r="I141" s="501"/>
      <c r="J141" s="301">
        <f>SUM(J142:J167)</f>
        <v>0</v>
      </c>
      <c r="L141" s="298"/>
      <c r="M141" s="303"/>
      <c r="N141" s="304"/>
      <c r="O141" s="304"/>
      <c r="P141" s="305">
        <f>SUM(P142:P167)</f>
        <v>0</v>
      </c>
      <c r="Q141" s="304"/>
      <c r="R141" s="305">
        <f>SUM(R142:R167)</f>
        <v>0</v>
      </c>
      <c r="S141" s="304"/>
      <c r="T141" s="313">
        <f>SUM(T142:T167)</f>
        <v>0</v>
      </c>
      <c r="AR141" s="299" t="s">
        <v>81</v>
      </c>
      <c r="AT141" s="308" t="s">
        <v>75</v>
      </c>
      <c r="AU141" s="308" t="s">
        <v>76</v>
      </c>
      <c r="AY141" s="299" t="s">
        <v>146</v>
      </c>
      <c r="BK141" s="309">
        <f>SUM(BK142:BK167)</f>
        <v>0</v>
      </c>
    </row>
    <row r="142" spans="1:65" s="225" customFormat="1" ht="24.2" customHeight="1">
      <c r="A142" s="222"/>
      <c r="B142" s="223"/>
      <c r="C142" s="314">
        <f>C139+1</f>
        <v>12</v>
      </c>
      <c r="D142" s="314" t="s">
        <v>148</v>
      </c>
      <c r="E142" s="315" t="s">
        <v>1826</v>
      </c>
      <c r="F142" s="316" t="s">
        <v>1827</v>
      </c>
      <c r="G142" s="317" t="s">
        <v>158</v>
      </c>
      <c r="H142" s="318">
        <v>30</v>
      </c>
      <c r="I142" s="79"/>
      <c r="J142" s="319">
        <f aca="true" t="shared" si="12" ref="J142:J167">ROUND(I142*H142,2)</f>
        <v>0</v>
      </c>
      <c r="K142" s="316" t="s">
        <v>1</v>
      </c>
      <c r="L142" s="223"/>
      <c r="M142" s="320" t="s">
        <v>1</v>
      </c>
      <c r="N142" s="321" t="s">
        <v>42</v>
      </c>
      <c r="O142" s="322">
        <v>0</v>
      </c>
      <c r="P142" s="322">
        <f aca="true" t="shared" si="13" ref="P142:P167">O142*H142</f>
        <v>0</v>
      </c>
      <c r="Q142" s="322">
        <v>0</v>
      </c>
      <c r="R142" s="322">
        <f aca="true" t="shared" si="14" ref="R142:R167">Q142*H142</f>
        <v>0</v>
      </c>
      <c r="S142" s="322">
        <v>0</v>
      </c>
      <c r="T142" s="323">
        <f aca="true" t="shared" si="15" ref="T142:T167">S142*H142</f>
        <v>0</v>
      </c>
      <c r="U142" s="222"/>
      <c r="V142" s="222"/>
      <c r="W142" s="222"/>
      <c r="X142" s="222"/>
      <c r="Y142" s="222"/>
      <c r="Z142" s="222"/>
      <c r="AA142" s="222"/>
      <c r="AB142" s="222"/>
      <c r="AC142" s="222"/>
      <c r="AD142" s="222"/>
      <c r="AE142" s="222"/>
      <c r="AR142" s="324" t="s">
        <v>153</v>
      </c>
      <c r="AT142" s="324" t="s">
        <v>148</v>
      </c>
      <c r="AU142" s="324" t="s">
        <v>81</v>
      </c>
      <c r="AY142" s="214" t="s">
        <v>146</v>
      </c>
      <c r="BE142" s="325">
        <f aca="true" t="shared" si="16" ref="BE142:BE167">IF(N142="základní",J142,0)</f>
        <v>0</v>
      </c>
      <c r="BF142" s="325">
        <f aca="true" t="shared" si="17" ref="BF142:BF167">IF(N142="snížená",J142,0)</f>
        <v>0</v>
      </c>
      <c r="BG142" s="325">
        <f aca="true" t="shared" si="18" ref="BG142:BG167">IF(N142="zákl. přenesená",J142,0)</f>
        <v>0</v>
      </c>
      <c r="BH142" s="325">
        <f aca="true" t="shared" si="19" ref="BH142:BH167">IF(N142="sníž. přenesená",J142,0)</f>
        <v>0</v>
      </c>
      <c r="BI142" s="325">
        <f aca="true" t="shared" si="20" ref="BI142:BI167">IF(N142="nulová",J142,0)</f>
        <v>0</v>
      </c>
      <c r="BJ142" s="214" t="s">
        <v>81</v>
      </c>
      <c r="BK142" s="325">
        <f aca="true" t="shared" si="21" ref="BK142:BK167">ROUND(I142*H142,2)</f>
        <v>0</v>
      </c>
      <c r="BL142" s="214" t="s">
        <v>153</v>
      </c>
      <c r="BM142" s="324" t="s">
        <v>1828</v>
      </c>
    </row>
    <row r="143" spans="1:65" s="225" customFormat="1" ht="24.2" customHeight="1">
      <c r="A143" s="222"/>
      <c r="B143" s="223"/>
      <c r="C143" s="314">
        <f aca="true" t="shared" si="22" ref="C143:C205">C142+1</f>
        <v>13</v>
      </c>
      <c r="D143" s="314" t="s">
        <v>148</v>
      </c>
      <c r="E143" s="315" t="s">
        <v>1829</v>
      </c>
      <c r="F143" s="316" t="s">
        <v>1830</v>
      </c>
      <c r="G143" s="317" t="s">
        <v>158</v>
      </c>
      <c r="H143" s="318">
        <v>65</v>
      </c>
      <c r="I143" s="79"/>
      <c r="J143" s="319">
        <f t="shared" si="12"/>
        <v>0</v>
      </c>
      <c r="K143" s="316" t="s">
        <v>1</v>
      </c>
      <c r="L143" s="223"/>
      <c r="M143" s="320" t="s">
        <v>1</v>
      </c>
      <c r="N143" s="321" t="s">
        <v>42</v>
      </c>
      <c r="O143" s="322">
        <v>0</v>
      </c>
      <c r="P143" s="322">
        <f t="shared" si="13"/>
        <v>0</v>
      </c>
      <c r="Q143" s="322">
        <v>0</v>
      </c>
      <c r="R143" s="322">
        <f t="shared" si="14"/>
        <v>0</v>
      </c>
      <c r="S143" s="322">
        <v>0</v>
      </c>
      <c r="T143" s="323">
        <f t="shared" si="15"/>
        <v>0</v>
      </c>
      <c r="U143" s="222"/>
      <c r="V143" s="222"/>
      <c r="W143" s="222"/>
      <c r="X143" s="222"/>
      <c r="Y143" s="222"/>
      <c r="Z143" s="222"/>
      <c r="AA143" s="222"/>
      <c r="AB143" s="222"/>
      <c r="AC143" s="222"/>
      <c r="AD143" s="222"/>
      <c r="AE143" s="222"/>
      <c r="AR143" s="324" t="s">
        <v>153</v>
      </c>
      <c r="AT143" s="324" t="s">
        <v>148</v>
      </c>
      <c r="AU143" s="324" t="s">
        <v>81</v>
      </c>
      <c r="AY143" s="214" t="s">
        <v>146</v>
      </c>
      <c r="BE143" s="325">
        <f t="shared" si="16"/>
        <v>0</v>
      </c>
      <c r="BF143" s="325">
        <f t="shared" si="17"/>
        <v>0</v>
      </c>
      <c r="BG143" s="325">
        <f t="shared" si="18"/>
        <v>0</v>
      </c>
      <c r="BH143" s="325">
        <f t="shared" si="19"/>
        <v>0</v>
      </c>
      <c r="BI143" s="325">
        <f t="shared" si="20"/>
        <v>0</v>
      </c>
      <c r="BJ143" s="214" t="s">
        <v>81</v>
      </c>
      <c r="BK143" s="325">
        <f t="shared" si="21"/>
        <v>0</v>
      </c>
      <c r="BL143" s="214" t="s">
        <v>153</v>
      </c>
      <c r="BM143" s="324" t="s">
        <v>1831</v>
      </c>
    </row>
    <row r="144" spans="1:65" s="225" customFormat="1" ht="24.2" customHeight="1">
      <c r="A144" s="222"/>
      <c r="B144" s="223"/>
      <c r="C144" s="314">
        <f t="shared" si="22"/>
        <v>14</v>
      </c>
      <c r="D144" s="314" t="s">
        <v>148</v>
      </c>
      <c r="E144" s="315" t="s">
        <v>1832</v>
      </c>
      <c r="F144" s="316" t="s">
        <v>1833</v>
      </c>
      <c r="G144" s="317" t="s">
        <v>158</v>
      </c>
      <c r="H144" s="318">
        <v>30</v>
      </c>
      <c r="I144" s="79"/>
      <c r="J144" s="319">
        <f t="shared" si="12"/>
        <v>0</v>
      </c>
      <c r="K144" s="316" t="s">
        <v>1</v>
      </c>
      <c r="L144" s="223"/>
      <c r="M144" s="320" t="s">
        <v>1</v>
      </c>
      <c r="N144" s="321" t="s">
        <v>42</v>
      </c>
      <c r="O144" s="322">
        <v>0</v>
      </c>
      <c r="P144" s="322">
        <f t="shared" si="13"/>
        <v>0</v>
      </c>
      <c r="Q144" s="322">
        <v>0</v>
      </c>
      <c r="R144" s="322">
        <f t="shared" si="14"/>
        <v>0</v>
      </c>
      <c r="S144" s="322">
        <v>0</v>
      </c>
      <c r="T144" s="323">
        <f t="shared" si="15"/>
        <v>0</v>
      </c>
      <c r="U144" s="222"/>
      <c r="V144" s="222"/>
      <c r="W144" s="222"/>
      <c r="X144" s="222"/>
      <c r="Y144" s="222"/>
      <c r="Z144" s="222"/>
      <c r="AA144" s="222"/>
      <c r="AB144" s="222"/>
      <c r="AC144" s="222"/>
      <c r="AD144" s="222"/>
      <c r="AE144" s="222"/>
      <c r="AR144" s="324" t="s">
        <v>153</v>
      </c>
      <c r="AT144" s="324" t="s">
        <v>148</v>
      </c>
      <c r="AU144" s="324" t="s">
        <v>81</v>
      </c>
      <c r="AY144" s="214" t="s">
        <v>146</v>
      </c>
      <c r="BE144" s="325">
        <f t="shared" si="16"/>
        <v>0</v>
      </c>
      <c r="BF144" s="325">
        <f t="shared" si="17"/>
        <v>0</v>
      </c>
      <c r="BG144" s="325">
        <f t="shared" si="18"/>
        <v>0</v>
      </c>
      <c r="BH144" s="325">
        <f t="shared" si="19"/>
        <v>0</v>
      </c>
      <c r="BI144" s="325">
        <f t="shared" si="20"/>
        <v>0</v>
      </c>
      <c r="BJ144" s="214" t="s">
        <v>81</v>
      </c>
      <c r="BK144" s="325">
        <f t="shared" si="21"/>
        <v>0</v>
      </c>
      <c r="BL144" s="214" t="s">
        <v>153</v>
      </c>
      <c r="BM144" s="324" t="s">
        <v>1834</v>
      </c>
    </row>
    <row r="145" spans="1:65" s="225" customFormat="1" ht="24.2" customHeight="1">
      <c r="A145" s="222"/>
      <c r="B145" s="223"/>
      <c r="C145" s="314">
        <f t="shared" si="22"/>
        <v>15</v>
      </c>
      <c r="D145" s="314" t="s">
        <v>148</v>
      </c>
      <c r="E145" s="315" t="s">
        <v>1835</v>
      </c>
      <c r="F145" s="316" t="s">
        <v>1836</v>
      </c>
      <c r="G145" s="317" t="s">
        <v>158</v>
      </c>
      <c r="H145" s="318">
        <v>10</v>
      </c>
      <c r="I145" s="79"/>
      <c r="J145" s="319">
        <f t="shared" si="12"/>
        <v>0</v>
      </c>
      <c r="K145" s="316" t="s">
        <v>1</v>
      </c>
      <c r="L145" s="223"/>
      <c r="M145" s="320" t="s">
        <v>1</v>
      </c>
      <c r="N145" s="321" t="s">
        <v>42</v>
      </c>
      <c r="O145" s="322">
        <v>0</v>
      </c>
      <c r="P145" s="322">
        <f t="shared" si="13"/>
        <v>0</v>
      </c>
      <c r="Q145" s="322">
        <v>0</v>
      </c>
      <c r="R145" s="322">
        <f t="shared" si="14"/>
        <v>0</v>
      </c>
      <c r="S145" s="322">
        <v>0</v>
      </c>
      <c r="T145" s="323">
        <f t="shared" si="15"/>
        <v>0</v>
      </c>
      <c r="U145" s="222"/>
      <c r="V145" s="222"/>
      <c r="W145" s="222"/>
      <c r="X145" s="222"/>
      <c r="Y145" s="222"/>
      <c r="Z145" s="222"/>
      <c r="AA145" s="222"/>
      <c r="AB145" s="222"/>
      <c r="AC145" s="222"/>
      <c r="AD145" s="222"/>
      <c r="AE145" s="222"/>
      <c r="AR145" s="324" t="s">
        <v>153</v>
      </c>
      <c r="AT145" s="324" t="s">
        <v>148</v>
      </c>
      <c r="AU145" s="324" t="s">
        <v>81</v>
      </c>
      <c r="AY145" s="214" t="s">
        <v>146</v>
      </c>
      <c r="BE145" s="325">
        <f t="shared" si="16"/>
        <v>0</v>
      </c>
      <c r="BF145" s="325">
        <f t="shared" si="17"/>
        <v>0</v>
      </c>
      <c r="BG145" s="325">
        <f t="shared" si="18"/>
        <v>0</v>
      </c>
      <c r="BH145" s="325">
        <f t="shared" si="19"/>
        <v>0</v>
      </c>
      <c r="BI145" s="325">
        <f t="shared" si="20"/>
        <v>0</v>
      </c>
      <c r="BJ145" s="214" t="s">
        <v>81</v>
      </c>
      <c r="BK145" s="325">
        <f t="shared" si="21"/>
        <v>0</v>
      </c>
      <c r="BL145" s="214" t="s">
        <v>153</v>
      </c>
      <c r="BM145" s="324" t="s">
        <v>1837</v>
      </c>
    </row>
    <row r="146" spans="1:65" s="225" customFormat="1" ht="24.2" customHeight="1">
      <c r="A146" s="222"/>
      <c r="B146" s="223"/>
      <c r="C146" s="314">
        <f t="shared" si="22"/>
        <v>16</v>
      </c>
      <c r="D146" s="314" t="s">
        <v>148</v>
      </c>
      <c r="E146" s="315" t="s">
        <v>1838</v>
      </c>
      <c r="F146" s="316" t="s">
        <v>1839</v>
      </c>
      <c r="G146" s="317" t="s">
        <v>158</v>
      </c>
      <c r="H146" s="318">
        <v>30</v>
      </c>
      <c r="I146" s="79"/>
      <c r="J146" s="319">
        <f t="shared" si="12"/>
        <v>0</v>
      </c>
      <c r="K146" s="316" t="s">
        <v>1</v>
      </c>
      <c r="L146" s="223"/>
      <c r="M146" s="320" t="s">
        <v>1</v>
      </c>
      <c r="N146" s="321" t="s">
        <v>42</v>
      </c>
      <c r="O146" s="322">
        <v>0</v>
      </c>
      <c r="P146" s="322">
        <f t="shared" si="13"/>
        <v>0</v>
      </c>
      <c r="Q146" s="322">
        <v>0</v>
      </c>
      <c r="R146" s="322">
        <f t="shared" si="14"/>
        <v>0</v>
      </c>
      <c r="S146" s="322">
        <v>0</v>
      </c>
      <c r="T146" s="323">
        <f t="shared" si="15"/>
        <v>0</v>
      </c>
      <c r="U146" s="222"/>
      <c r="V146" s="222"/>
      <c r="W146" s="222"/>
      <c r="X146" s="222"/>
      <c r="Y146" s="222"/>
      <c r="Z146" s="222"/>
      <c r="AA146" s="222"/>
      <c r="AB146" s="222"/>
      <c r="AC146" s="222"/>
      <c r="AD146" s="222"/>
      <c r="AE146" s="222"/>
      <c r="AR146" s="324" t="s">
        <v>153</v>
      </c>
      <c r="AT146" s="324" t="s">
        <v>148</v>
      </c>
      <c r="AU146" s="324" t="s">
        <v>81</v>
      </c>
      <c r="AY146" s="214" t="s">
        <v>146</v>
      </c>
      <c r="BE146" s="325">
        <f t="shared" si="16"/>
        <v>0</v>
      </c>
      <c r="BF146" s="325">
        <f t="shared" si="17"/>
        <v>0</v>
      </c>
      <c r="BG146" s="325">
        <f t="shared" si="18"/>
        <v>0</v>
      </c>
      <c r="BH146" s="325">
        <f t="shared" si="19"/>
        <v>0</v>
      </c>
      <c r="BI146" s="325">
        <f t="shared" si="20"/>
        <v>0</v>
      </c>
      <c r="BJ146" s="214" t="s">
        <v>81</v>
      </c>
      <c r="BK146" s="325">
        <f t="shared" si="21"/>
        <v>0</v>
      </c>
      <c r="BL146" s="214" t="s">
        <v>153</v>
      </c>
      <c r="BM146" s="324" t="s">
        <v>1840</v>
      </c>
    </row>
    <row r="147" spans="1:65" s="225" customFormat="1" ht="24.2" customHeight="1">
      <c r="A147" s="222"/>
      <c r="B147" s="223"/>
      <c r="C147" s="314">
        <f t="shared" si="22"/>
        <v>17</v>
      </c>
      <c r="D147" s="314" t="s">
        <v>148</v>
      </c>
      <c r="E147" s="315" t="s">
        <v>1841</v>
      </c>
      <c r="F147" s="316" t="s">
        <v>1842</v>
      </c>
      <c r="G147" s="317" t="s">
        <v>158</v>
      </c>
      <c r="H147" s="318">
        <v>15</v>
      </c>
      <c r="I147" s="79"/>
      <c r="J147" s="319">
        <f t="shared" si="12"/>
        <v>0</v>
      </c>
      <c r="K147" s="316" t="s">
        <v>1</v>
      </c>
      <c r="L147" s="223"/>
      <c r="M147" s="320" t="s">
        <v>1</v>
      </c>
      <c r="N147" s="321" t="s">
        <v>42</v>
      </c>
      <c r="O147" s="322">
        <v>0</v>
      </c>
      <c r="P147" s="322">
        <f t="shared" si="13"/>
        <v>0</v>
      </c>
      <c r="Q147" s="322">
        <v>0</v>
      </c>
      <c r="R147" s="322">
        <f t="shared" si="14"/>
        <v>0</v>
      </c>
      <c r="S147" s="322">
        <v>0</v>
      </c>
      <c r="T147" s="323">
        <f t="shared" si="15"/>
        <v>0</v>
      </c>
      <c r="U147" s="222"/>
      <c r="V147" s="222"/>
      <c r="W147" s="222"/>
      <c r="X147" s="222"/>
      <c r="Y147" s="222"/>
      <c r="Z147" s="222"/>
      <c r="AA147" s="222"/>
      <c r="AB147" s="222"/>
      <c r="AC147" s="222"/>
      <c r="AD147" s="222"/>
      <c r="AE147" s="222"/>
      <c r="AR147" s="324" t="s">
        <v>153</v>
      </c>
      <c r="AT147" s="324" t="s">
        <v>148</v>
      </c>
      <c r="AU147" s="324" t="s">
        <v>81</v>
      </c>
      <c r="AY147" s="214" t="s">
        <v>146</v>
      </c>
      <c r="BE147" s="325">
        <f t="shared" si="16"/>
        <v>0</v>
      </c>
      <c r="BF147" s="325">
        <f t="shared" si="17"/>
        <v>0</v>
      </c>
      <c r="BG147" s="325">
        <f t="shared" si="18"/>
        <v>0</v>
      </c>
      <c r="BH147" s="325">
        <f t="shared" si="19"/>
        <v>0</v>
      </c>
      <c r="BI147" s="325">
        <f t="shared" si="20"/>
        <v>0</v>
      </c>
      <c r="BJ147" s="214" t="s">
        <v>81</v>
      </c>
      <c r="BK147" s="325">
        <f t="shared" si="21"/>
        <v>0</v>
      </c>
      <c r="BL147" s="214" t="s">
        <v>153</v>
      </c>
      <c r="BM147" s="324" t="s">
        <v>1843</v>
      </c>
    </row>
    <row r="148" spans="1:65" s="225" customFormat="1" ht="24.2" customHeight="1">
      <c r="A148" s="222"/>
      <c r="B148" s="223"/>
      <c r="C148" s="314">
        <f t="shared" si="22"/>
        <v>18</v>
      </c>
      <c r="D148" s="314" t="s">
        <v>148</v>
      </c>
      <c r="E148" s="315" t="s">
        <v>1844</v>
      </c>
      <c r="F148" s="316" t="s">
        <v>1845</v>
      </c>
      <c r="G148" s="317" t="s">
        <v>158</v>
      </c>
      <c r="H148" s="318">
        <v>40</v>
      </c>
      <c r="I148" s="79"/>
      <c r="J148" s="319">
        <f t="shared" si="12"/>
        <v>0</v>
      </c>
      <c r="K148" s="316" t="s">
        <v>1</v>
      </c>
      <c r="L148" s="223"/>
      <c r="M148" s="320" t="s">
        <v>1</v>
      </c>
      <c r="N148" s="321" t="s">
        <v>42</v>
      </c>
      <c r="O148" s="322">
        <v>0</v>
      </c>
      <c r="P148" s="322">
        <f t="shared" si="13"/>
        <v>0</v>
      </c>
      <c r="Q148" s="322">
        <v>0</v>
      </c>
      <c r="R148" s="322">
        <f t="shared" si="14"/>
        <v>0</v>
      </c>
      <c r="S148" s="322">
        <v>0</v>
      </c>
      <c r="T148" s="323">
        <f t="shared" si="15"/>
        <v>0</v>
      </c>
      <c r="U148" s="222"/>
      <c r="V148" s="222"/>
      <c r="W148" s="222"/>
      <c r="X148" s="222"/>
      <c r="Y148" s="222"/>
      <c r="Z148" s="222"/>
      <c r="AA148" s="222"/>
      <c r="AB148" s="222"/>
      <c r="AC148" s="222"/>
      <c r="AD148" s="222"/>
      <c r="AE148" s="222"/>
      <c r="AR148" s="324" t="s">
        <v>153</v>
      </c>
      <c r="AT148" s="324" t="s">
        <v>148</v>
      </c>
      <c r="AU148" s="324" t="s">
        <v>81</v>
      </c>
      <c r="AY148" s="214" t="s">
        <v>146</v>
      </c>
      <c r="BE148" s="325">
        <f t="shared" si="16"/>
        <v>0</v>
      </c>
      <c r="BF148" s="325">
        <f t="shared" si="17"/>
        <v>0</v>
      </c>
      <c r="BG148" s="325">
        <f t="shared" si="18"/>
        <v>0</v>
      </c>
      <c r="BH148" s="325">
        <f t="shared" si="19"/>
        <v>0</v>
      </c>
      <c r="BI148" s="325">
        <f t="shared" si="20"/>
        <v>0</v>
      </c>
      <c r="BJ148" s="214" t="s">
        <v>81</v>
      </c>
      <c r="BK148" s="325">
        <f t="shared" si="21"/>
        <v>0</v>
      </c>
      <c r="BL148" s="214" t="s">
        <v>153</v>
      </c>
      <c r="BM148" s="324" t="s">
        <v>1846</v>
      </c>
    </row>
    <row r="149" spans="1:65" s="225" customFormat="1" ht="16.5" customHeight="1">
      <c r="A149" s="222"/>
      <c r="B149" s="223"/>
      <c r="C149" s="314">
        <f t="shared" si="22"/>
        <v>19</v>
      </c>
      <c r="D149" s="314" t="s">
        <v>148</v>
      </c>
      <c r="E149" s="315" t="s">
        <v>1847</v>
      </c>
      <c r="F149" s="316" t="s">
        <v>1848</v>
      </c>
      <c r="G149" s="317" t="s">
        <v>158</v>
      </c>
      <c r="H149" s="318">
        <v>15</v>
      </c>
      <c r="I149" s="79"/>
      <c r="J149" s="319">
        <f t="shared" si="12"/>
        <v>0</v>
      </c>
      <c r="K149" s="316" t="s">
        <v>1</v>
      </c>
      <c r="L149" s="223"/>
      <c r="M149" s="320" t="s">
        <v>1</v>
      </c>
      <c r="N149" s="321" t="s">
        <v>42</v>
      </c>
      <c r="O149" s="322">
        <v>0</v>
      </c>
      <c r="P149" s="322">
        <f t="shared" si="13"/>
        <v>0</v>
      </c>
      <c r="Q149" s="322">
        <v>0</v>
      </c>
      <c r="R149" s="322">
        <f t="shared" si="14"/>
        <v>0</v>
      </c>
      <c r="S149" s="322">
        <v>0</v>
      </c>
      <c r="T149" s="323">
        <f t="shared" si="15"/>
        <v>0</v>
      </c>
      <c r="U149" s="222"/>
      <c r="V149" s="222"/>
      <c r="W149" s="222"/>
      <c r="X149" s="222"/>
      <c r="Y149" s="222"/>
      <c r="Z149" s="222"/>
      <c r="AA149" s="222"/>
      <c r="AB149" s="222"/>
      <c r="AC149" s="222"/>
      <c r="AD149" s="222"/>
      <c r="AE149" s="222"/>
      <c r="AR149" s="324" t="s">
        <v>153</v>
      </c>
      <c r="AT149" s="324" t="s">
        <v>148</v>
      </c>
      <c r="AU149" s="324" t="s">
        <v>81</v>
      </c>
      <c r="AY149" s="214" t="s">
        <v>146</v>
      </c>
      <c r="BE149" s="325">
        <f t="shared" si="16"/>
        <v>0</v>
      </c>
      <c r="BF149" s="325">
        <f t="shared" si="17"/>
        <v>0</v>
      </c>
      <c r="BG149" s="325">
        <f t="shared" si="18"/>
        <v>0</v>
      </c>
      <c r="BH149" s="325">
        <f t="shared" si="19"/>
        <v>0</v>
      </c>
      <c r="BI149" s="325">
        <f t="shared" si="20"/>
        <v>0</v>
      </c>
      <c r="BJ149" s="214" t="s">
        <v>81</v>
      </c>
      <c r="BK149" s="325">
        <f t="shared" si="21"/>
        <v>0</v>
      </c>
      <c r="BL149" s="214" t="s">
        <v>153</v>
      </c>
      <c r="BM149" s="324" t="s">
        <v>1849</v>
      </c>
    </row>
    <row r="150" spans="1:65" s="225" customFormat="1" ht="16.5" customHeight="1">
      <c r="A150" s="222"/>
      <c r="B150" s="223"/>
      <c r="C150" s="314">
        <f t="shared" si="22"/>
        <v>20</v>
      </c>
      <c r="D150" s="314" t="s">
        <v>148</v>
      </c>
      <c r="E150" s="315" t="s">
        <v>1850</v>
      </c>
      <c r="F150" s="316" t="s">
        <v>1851</v>
      </c>
      <c r="G150" s="317" t="s">
        <v>158</v>
      </c>
      <c r="H150" s="318">
        <v>10</v>
      </c>
      <c r="I150" s="79"/>
      <c r="J150" s="319">
        <f t="shared" si="12"/>
        <v>0</v>
      </c>
      <c r="K150" s="316" t="s">
        <v>1</v>
      </c>
      <c r="L150" s="223"/>
      <c r="M150" s="320" t="s">
        <v>1</v>
      </c>
      <c r="N150" s="321" t="s">
        <v>42</v>
      </c>
      <c r="O150" s="322">
        <v>0</v>
      </c>
      <c r="P150" s="322">
        <f t="shared" si="13"/>
        <v>0</v>
      </c>
      <c r="Q150" s="322">
        <v>0</v>
      </c>
      <c r="R150" s="322">
        <f t="shared" si="14"/>
        <v>0</v>
      </c>
      <c r="S150" s="322">
        <v>0</v>
      </c>
      <c r="T150" s="323">
        <f t="shared" si="15"/>
        <v>0</v>
      </c>
      <c r="U150" s="222"/>
      <c r="V150" s="222"/>
      <c r="W150" s="222"/>
      <c r="X150" s="222"/>
      <c r="Y150" s="222"/>
      <c r="Z150" s="222"/>
      <c r="AA150" s="222"/>
      <c r="AB150" s="222"/>
      <c r="AC150" s="222"/>
      <c r="AD150" s="222"/>
      <c r="AE150" s="222"/>
      <c r="AR150" s="324" t="s">
        <v>153</v>
      </c>
      <c r="AT150" s="324" t="s">
        <v>148</v>
      </c>
      <c r="AU150" s="324" t="s">
        <v>81</v>
      </c>
      <c r="AY150" s="214" t="s">
        <v>146</v>
      </c>
      <c r="BE150" s="325">
        <f t="shared" si="16"/>
        <v>0</v>
      </c>
      <c r="BF150" s="325">
        <f t="shared" si="17"/>
        <v>0</v>
      </c>
      <c r="BG150" s="325">
        <f t="shared" si="18"/>
        <v>0</v>
      </c>
      <c r="BH150" s="325">
        <f t="shared" si="19"/>
        <v>0</v>
      </c>
      <c r="BI150" s="325">
        <f t="shared" si="20"/>
        <v>0</v>
      </c>
      <c r="BJ150" s="214" t="s">
        <v>81</v>
      </c>
      <c r="BK150" s="325">
        <f t="shared" si="21"/>
        <v>0</v>
      </c>
      <c r="BL150" s="214" t="s">
        <v>153</v>
      </c>
      <c r="BM150" s="324" t="s">
        <v>1852</v>
      </c>
    </row>
    <row r="151" spans="1:65" s="225" customFormat="1" ht="16.5" customHeight="1">
      <c r="A151" s="222"/>
      <c r="B151" s="223"/>
      <c r="C151" s="314">
        <f t="shared" si="22"/>
        <v>21</v>
      </c>
      <c r="D151" s="314" t="s">
        <v>148</v>
      </c>
      <c r="E151" s="315" t="s">
        <v>1853</v>
      </c>
      <c r="F151" s="316" t="s">
        <v>1854</v>
      </c>
      <c r="G151" s="317" t="s">
        <v>158</v>
      </c>
      <c r="H151" s="318">
        <v>15</v>
      </c>
      <c r="I151" s="79"/>
      <c r="J151" s="319">
        <f t="shared" si="12"/>
        <v>0</v>
      </c>
      <c r="K151" s="316" t="s">
        <v>1</v>
      </c>
      <c r="L151" s="223"/>
      <c r="M151" s="320" t="s">
        <v>1</v>
      </c>
      <c r="N151" s="321" t="s">
        <v>42</v>
      </c>
      <c r="O151" s="322">
        <v>0</v>
      </c>
      <c r="P151" s="322">
        <f t="shared" si="13"/>
        <v>0</v>
      </c>
      <c r="Q151" s="322">
        <v>0</v>
      </c>
      <c r="R151" s="322">
        <f t="shared" si="14"/>
        <v>0</v>
      </c>
      <c r="S151" s="322">
        <v>0</v>
      </c>
      <c r="T151" s="323">
        <f t="shared" si="15"/>
        <v>0</v>
      </c>
      <c r="U151" s="222"/>
      <c r="V151" s="222"/>
      <c r="W151" s="222"/>
      <c r="X151" s="222"/>
      <c r="Y151" s="222"/>
      <c r="Z151" s="222"/>
      <c r="AA151" s="222"/>
      <c r="AB151" s="222"/>
      <c r="AC151" s="222"/>
      <c r="AD151" s="222"/>
      <c r="AE151" s="222"/>
      <c r="AR151" s="324" t="s">
        <v>153</v>
      </c>
      <c r="AT151" s="324" t="s">
        <v>148</v>
      </c>
      <c r="AU151" s="324" t="s">
        <v>81</v>
      </c>
      <c r="AY151" s="214" t="s">
        <v>146</v>
      </c>
      <c r="BE151" s="325">
        <f t="shared" si="16"/>
        <v>0</v>
      </c>
      <c r="BF151" s="325">
        <f t="shared" si="17"/>
        <v>0</v>
      </c>
      <c r="BG151" s="325">
        <f t="shared" si="18"/>
        <v>0</v>
      </c>
      <c r="BH151" s="325">
        <f t="shared" si="19"/>
        <v>0</v>
      </c>
      <c r="BI151" s="325">
        <f t="shared" si="20"/>
        <v>0</v>
      </c>
      <c r="BJ151" s="214" t="s">
        <v>81</v>
      </c>
      <c r="BK151" s="325">
        <f t="shared" si="21"/>
        <v>0</v>
      </c>
      <c r="BL151" s="214" t="s">
        <v>153</v>
      </c>
      <c r="BM151" s="324" t="s">
        <v>1855</v>
      </c>
    </row>
    <row r="152" spans="1:65" s="225" customFormat="1" ht="21.75" customHeight="1">
      <c r="A152" s="222"/>
      <c r="B152" s="223"/>
      <c r="C152" s="314">
        <f t="shared" si="22"/>
        <v>22</v>
      </c>
      <c r="D152" s="314" t="s">
        <v>148</v>
      </c>
      <c r="E152" s="315" t="s">
        <v>1856</v>
      </c>
      <c r="F152" s="316" t="s">
        <v>1857</v>
      </c>
      <c r="G152" s="317" t="s">
        <v>158</v>
      </c>
      <c r="H152" s="318">
        <v>10</v>
      </c>
      <c r="I152" s="79"/>
      <c r="J152" s="319">
        <f t="shared" si="12"/>
        <v>0</v>
      </c>
      <c r="K152" s="316" t="s">
        <v>1</v>
      </c>
      <c r="L152" s="223"/>
      <c r="M152" s="320" t="s">
        <v>1</v>
      </c>
      <c r="N152" s="321" t="s">
        <v>42</v>
      </c>
      <c r="O152" s="322">
        <v>0</v>
      </c>
      <c r="P152" s="322">
        <f t="shared" si="13"/>
        <v>0</v>
      </c>
      <c r="Q152" s="322">
        <v>0</v>
      </c>
      <c r="R152" s="322">
        <f t="shared" si="14"/>
        <v>0</v>
      </c>
      <c r="S152" s="322">
        <v>0</v>
      </c>
      <c r="T152" s="323">
        <f t="shared" si="15"/>
        <v>0</v>
      </c>
      <c r="U152" s="222"/>
      <c r="V152" s="222"/>
      <c r="W152" s="222"/>
      <c r="X152" s="222"/>
      <c r="Y152" s="222"/>
      <c r="Z152" s="222"/>
      <c r="AA152" s="222"/>
      <c r="AB152" s="222"/>
      <c r="AC152" s="222"/>
      <c r="AD152" s="222"/>
      <c r="AE152" s="222"/>
      <c r="AR152" s="324" t="s">
        <v>153</v>
      </c>
      <c r="AT152" s="324" t="s">
        <v>148</v>
      </c>
      <c r="AU152" s="324" t="s">
        <v>81</v>
      </c>
      <c r="AY152" s="214" t="s">
        <v>146</v>
      </c>
      <c r="BE152" s="325">
        <f t="shared" si="16"/>
        <v>0</v>
      </c>
      <c r="BF152" s="325">
        <f t="shared" si="17"/>
        <v>0</v>
      </c>
      <c r="BG152" s="325">
        <f t="shared" si="18"/>
        <v>0</v>
      </c>
      <c r="BH152" s="325">
        <f t="shared" si="19"/>
        <v>0</v>
      </c>
      <c r="BI152" s="325">
        <f t="shared" si="20"/>
        <v>0</v>
      </c>
      <c r="BJ152" s="214" t="s">
        <v>81</v>
      </c>
      <c r="BK152" s="325">
        <f t="shared" si="21"/>
        <v>0</v>
      </c>
      <c r="BL152" s="214" t="s">
        <v>153</v>
      </c>
      <c r="BM152" s="324" t="s">
        <v>1858</v>
      </c>
    </row>
    <row r="153" spans="1:65" s="225" customFormat="1" ht="16.5" customHeight="1">
      <c r="A153" s="222"/>
      <c r="B153" s="223"/>
      <c r="C153" s="314">
        <f t="shared" si="22"/>
        <v>23</v>
      </c>
      <c r="D153" s="314" t="s">
        <v>148</v>
      </c>
      <c r="E153" s="315" t="s">
        <v>1859</v>
      </c>
      <c r="F153" s="316" t="s">
        <v>1860</v>
      </c>
      <c r="G153" s="317" t="s">
        <v>301</v>
      </c>
      <c r="H153" s="318">
        <v>8</v>
      </c>
      <c r="I153" s="79"/>
      <c r="J153" s="319">
        <f t="shared" si="12"/>
        <v>0</v>
      </c>
      <c r="K153" s="316" t="s">
        <v>1</v>
      </c>
      <c r="L153" s="223"/>
      <c r="M153" s="320" t="s">
        <v>1</v>
      </c>
      <c r="N153" s="321" t="s">
        <v>42</v>
      </c>
      <c r="O153" s="322">
        <v>0</v>
      </c>
      <c r="P153" s="322">
        <f t="shared" si="13"/>
        <v>0</v>
      </c>
      <c r="Q153" s="322">
        <v>0</v>
      </c>
      <c r="R153" s="322">
        <f t="shared" si="14"/>
        <v>0</v>
      </c>
      <c r="S153" s="322">
        <v>0</v>
      </c>
      <c r="T153" s="323">
        <f t="shared" si="15"/>
        <v>0</v>
      </c>
      <c r="U153" s="222"/>
      <c r="V153" s="222"/>
      <c r="W153" s="222"/>
      <c r="X153" s="222"/>
      <c r="Y153" s="222"/>
      <c r="Z153" s="222"/>
      <c r="AA153" s="222"/>
      <c r="AB153" s="222"/>
      <c r="AC153" s="222"/>
      <c r="AD153" s="222"/>
      <c r="AE153" s="222"/>
      <c r="AR153" s="324" t="s">
        <v>153</v>
      </c>
      <c r="AT153" s="324" t="s">
        <v>148</v>
      </c>
      <c r="AU153" s="324" t="s">
        <v>81</v>
      </c>
      <c r="AY153" s="214" t="s">
        <v>146</v>
      </c>
      <c r="BE153" s="325">
        <f t="shared" si="16"/>
        <v>0</v>
      </c>
      <c r="BF153" s="325">
        <f t="shared" si="17"/>
        <v>0</v>
      </c>
      <c r="BG153" s="325">
        <f t="shared" si="18"/>
        <v>0</v>
      </c>
      <c r="BH153" s="325">
        <f t="shared" si="19"/>
        <v>0</v>
      </c>
      <c r="BI153" s="325">
        <f t="shared" si="20"/>
        <v>0</v>
      </c>
      <c r="BJ153" s="214" t="s">
        <v>81</v>
      </c>
      <c r="BK153" s="325">
        <f t="shared" si="21"/>
        <v>0</v>
      </c>
      <c r="BL153" s="214" t="s">
        <v>153</v>
      </c>
      <c r="BM153" s="324" t="s">
        <v>1861</v>
      </c>
    </row>
    <row r="154" spans="1:65" s="225" customFormat="1" ht="16.5" customHeight="1">
      <c r="A154" s="222"/>
      <c r="B154" s="223"/>
      <c r="C154" s="314">
        <f t="shared" si="22"/>
        <v>24</v>
      </c>
      <c r="D154" s="314" t="s">
        <v>148</v>
      </c>
      <c r="E154" s="315" t="s">
        <v>1862</v>
      </c>
      <c r="F154" s="316" t="s">
        <v>1863</v>
      </c>
      <c r="G154" s="317" t="s">
        <v>301</v>
      </c>
      <c r="H154" s="318">
        <v>13</v>
      </c>
      <c r="I154" s="79"/>
      <c r="J154" s="319">
        <f t="shared" si="12"/>
        <v>0</v>
      </c>
      <c r="K154" s="316" t="s">
        <v>1</v>
      </c>
      <c r="L154" s="223"/>
      <c r="M154" s="320" t="s">
        <v>1</v>
      </c>
      <c r="N154" s="321" t="s">
        <v>42</v>
      </c>
      <c r="O154" s="322">
        <v>0</v>
      </c>
      <c r="P154" s="322">
        <f t="shared" si="13"/>
        <v>0</v>
      </c>
      <c r="Q154" s="322">
        <v>0</v>
      </c>
      <c r="R154" s="322">
        <f t="shared" si="14"/>
        <v>0</v>
      </c>
      <c r="S154" s="322">
        <v>0</v>
      </c>
      <c r="T154" s="323">
        <f t="shared" si="15"/>
        <v>0</v>
      </c>
      <c r="U154" s="222"/>
      <c r="V154" s="222"/>
      <c r="W154" s="222"/>
      <c r="X154" s="222"/>
      <c r="Y154" s="222"/>
      <c r="Z154" s="222"/>
      <c r="AA154" s="222"/>
      <c r="AB154" s="222"/>
      <c r="AC154" s="222"/>
      <c r="AD154" s="222"/>
      <c r="AE154" s="222"/>
      <c r="AR154" s="324" t="s">
        <v>153</v>
      </c>
      <c r="AT154" s="324" t="s">
        <v>148</v>
      </c>
      <c r="AU154" s="324" t="s">
        <v>81</v>
      </c>
      <c r="AY154" s="214" t="s">
        <v>146</v>
      </c>
      <c r="BE154" s="325">
        <f t="shared" si="16"/>
        <v>0</v>
      </c>
      <c r="BF154" s="325">
        <f t="shared" si="17"/>
        <v>0</v>
      </c>
      <c r="BG154" s="325">
        <f t="shared" si="18"/>
        <v>0</v>
      </c>
      <c r="BH154" s="325">
        <f t="shared" si="19"/>
        <v>0</v>
      </c>
      <c r="BI154" s="325">
        <f t="shared" si="20"/>
        <v>0</v>
      </c>
      <c r="BJ154" s="214" t="s">
        <v>81</v>
      </c>
      <c r="BK154" s="325">
        <f t="shared" si="21"/>
        <v>0</v>
      </c>
      <c r="BL154" s="214" t="s">
        <v>153</v>
      </c>
      <c r="BM154" s="324" t="s">
        <v>1864</v>
      </c>
    </row>
    <row r="155" spans="1:65" s="225" customFormat="1" ht="21.75" customHeight="1">
      <c r="A155" s="222"/>
      <c r="B155" s="223"/>
      <c r="C155" s="314">
        <f t="shared" si="22"/>
        <v>25</v>
      </c>
      <c r="D155" s="314" t="s">
        <v>148</v>
      </c>
      <c r="E155" s="315" t="s">
        <v>1865</v>
      </c>
      <c r="F155" s="316" t="s">
        <v>1866</v>
      </c>
      <c r="G155" s="317" t="s">
        <v>301</v>
      </c>
      <c r="H155" s="318">
        <v>7</v>
      </c>
      <c r="I155" s="79"/>
      <c r="J155" s="319">
        <f t="shared" si="12"/>
        <v>0</v>
      </c>
      <c r="K155" s="316" t="s">
        <v>1</v>
      </c>
      <c r="L155" s="223"/>
      <c r="M155" s="320" t="s">
        <v>1</v>
      </c>
      <c r="N155" s="321" t="s">
        <v>42</v>
      </c>
      <c r="O155" s="322">
        <v>0</v>
      </c>
      <c r="P155" s="322">
        <f t="shared" si="13"/>
        <v>0</v>
      </c>
      <c r="Q155" s="322">
        <v>0</v>
      </c>
      <c r="R155" s="322">
        <f t="shared" si="14"/>
        <v>0</v>
      </c>
      <c r="S155" s="322">
        <v>0</v>
      </c>
      <c r="T155" s="323">
        <f t="shared" si="15"/>
        <v>0</v>
      </c>
      <c r="U155" s="222"/>
      <c r="V155" s="222"/>
      <c r="W155" s="222"/>
      <c r="X155" s="222"/>
      <c r="Y155" s="222"/>
      <c r="Z155" s="222"/>
      <c r="AA155" s="222"/>
      <c r="AB155" s="222"/>
      <c r="AC155" s="222"/>
      <c r="AD155" s="222"/>
      <c r="AE155" s="222"/>
      <c r="AR155" s="324" t="s">
        <v>153</v>
      </c>
      <c r="AT155" s="324" t="s">
        <v>148</v>
      </c>
      <c r="AU155" s="324" t="s">
        <v>81</v>
      </c>
      <c r="AY155" s="214" t="s">
        <v>146</v>
      </c>
      <c r="BE155" s="325">
        <f t="shared" si="16"/>
        <v>0</v>
      </c>
      <c r="BF155" s="325">
        <f t="shared" si="17"/>
        <v>0</v>
      </c>
      <c r="BG155" s="325">
        <f t="shared" si="18"/>
        <v>0</v>
      </c>
      <c r="BH155" s="325">
        <f t="shared" si="19"/>
        <v>0</v>
      </c>
      <c r="BI155" s="325">
        <f t="shared" si="20"/>
        <v>0</v>
      </c>
      <c r="BJ155" s="214" t="s">
        <v>81</v>
      </c>
      <c r="BK155" s="325">
        <f t="shared" si="21"/>
        <v>0</v>
      </c>
      <c r="BL155" s="214" t="s">
        <v>153</v>
      </c>
      <c r="BM155" s="324" t="s">
        <v>1867</v>
      </c>
    </row>
    <row r="156" spans="1:65" s="225" customFormat="1" ht="24.2" customHeight="1">
      <c r="A156" s="222"/>
      <c r="B156" s="223"/>
      <c r="C156" s="314">
        <f t="shared" si="22"/>
        <v>26</v>
      </c>
      <c r="D156" s="314" t="s">
        <v>148</v>
      </c>
      <c r="E156" s="315" t="s">
        <v>1868</v>
      </c>
      <c r="F156" s="316" t="s">
        <v>1869</v>
      </c>
      <c r="G156" s="317" t="s">
        <v>1361</v>
      </c>
      <c r="H156" s="318">
        <v>1</v>
      </c>
      <c r="I156" s="79"/>
      <c r="J156" s="319">
        <f t="shared" si="12"/>
        <v>0</v>
      </c>
      <c r="K156" s="316" t="s">
        <v>1</v>
      </c>
      <c r="L156" s="223"/>
      <c r="M156" s="320" t="s">
        <v>1</v>
      </c>
      <c r="N156" s="321" t="s">
        <v>42</v>
      </c>
      <c r="O156" s="322">
        <v>0</v>
      </c>
      <c r="P156" s="322">
        <f t="shared" si="13"/>
        <v>0</v>
      </c>
      <c r="Q156" s="322">
        <v>0</v>
      </c>
      <c r="R156" s="322">
        <f t="shared" si="14"/>
        <v>0</v>
      </c>
      <c r="S156" s="322">
        <v>0</v>
      </c>
      <c r="T156" s="323">
        <f t="shared" si="15"/>
        <v>0</v>
      </c>
      <c r="U156" s="222"/>
      <c r="V156" s="222"/>
      <c r="W156" s="222"/>
      <c r="X156" s="222"/>
      <c r="Y156" s="222"/>
      <c r="Z156" s="222"/>
      <c r="AA156" s="222"/>
      <c r="AB156" s="222"/>
      <c r="AC156" s="222"/>
      <c r="AD156" s="222"/>
      <c r="AE156" s="222"/>
      <c r="AR156" s="324" t="s">
        <v>153</v>
      </c>
      <c r="AT156" s="324" t="s">
        <v>148</v>
      </c>
      <c r="AU156" s="324" t="s">
        <v>81</v>
      </c>
      <c r="AY156" s="214" t="s">
        <v>146</v>
      </c>
      <c r="BE156" s="325">
        <f t="shared" si="16"/>
        <v>0</v>
      </c>
      <c r="BF156" s="325">
        <f t="shared" si="17"/>
        <v>0</v>
      </c>
      <c r="BG156" s="325">
        <f t="shared" si="18"/>
        <v>0</v>
      </c>
      <c r="BH156" s="325">
        <f t="shared" si="19"/>
        <v>0</v>
      </c>
      <c r="BI156" s="325">
        <f t="shared" si="20"/>
        <v>0</v>
      </c>
      <c r="BJ156" s="214" t="s">
        <v>81</v>
      </c>
      <c r="BK156" s="325">
        <f t="shared" si="21"/>
        <v>0</v>
      </c>
      <c r="BL156" s="214" t="s">
        <v>153</v>
      </c>
      <c r="BM156" s="324" t="s">
        <v>1870</v>
      </c>
    </row>
    <row r="157" spans="1:65" s="225" customFormat="1" ht="24.2" customHeight="1">
      <c r="A157" s="222"/>
      <c r="B157" s="223"/>
      <c r="C157" s="314">
        <f t="shared" si="22"/>
        <v>27</v>
      </c>
      <c r="D157" s="314" t="s">
        <v>148</v>
      </c>
      <c r="E157" s="315" t="s">
        <v>1871</v>
      </c>
      <c r="F157" s="316" t="s">
        <v>1872</v>
      </c>
      <c r="G157" s="317" t="s">
        <v>1361</v>
      </c>
      <c r="H157" s="318">
        <v>4</v>
      </c>
      <c r="I157" s="79"/>
      <c r="J157" s="319">
        <f t="shared" si="12"/>
        <v>0</v>
      </c>
      <c r="K157" s="316" t="s">
        <v>1</v>
      </c>
      <c r="L157" s="223"/>
      <c r="M157" s="320" t="s">
        <v>1</v>
      </c>
      <c r="N157" s="321" t="s">
        <v>42</v>
      </c>
      <c r="O157" s="322">
        <v>0</v>
      </c>
      <c r="P157" s="322">
        <f t="shared" si="13"/>
        <v>0</v>
      </c>
      <c r="Q157" s="322">
        <v>0</v>
      </c>
      <c r="R157" s="322">
        <f t="shared" si="14"/>
        <v>0</v>
      </c>
      <c r="S157" s="322">
        <v>0</v>
      </c>
      <c r="T157" s="323">
        <f t="shared" si="15"/>
        <v>0</v>
      </c>
      <c r="U157" s="222"/>
      <c r="V157" s="222"/>
      <c r="W157" s="222"/>
      <c r="X157" s="222"/>
      <c r="Y157" s="222"/>
      <c r="Z157" s="222"/>
      <c r="AA157" s="222"/>
      <c r="AB157" s="222"/>
      <c r="AC157" s="222"/>
      <c r="AD157" s="222"/>
      <c r="AE157" s="222"/>
      <c r="AR157" s="324" t="s">
        <v>153</v>
      </c>
      <c r="AT157" s="324" t="s">
        <v>148</v>
      </c>
      <c r="AU157" s="324" t="s">
        <v>81</v>
      </c>
      <c r="AY157" s="214" t="s">
        <v>146</v>
      </c>
      <c r="BE157" s="325">
        <f t="shared" si="16"/>
        <v>0</v>
      </c>
      <c r="BF157" s="325">
        <f t="shared" si="17"/>
        <v>0</v>
      </c>
      <c r="BG157" s="325">
        <f t="shared" si="18"/>
        <v>0</v>
      </c>
      <c r="BH157" s="325">
        <f t="shared" si="19"/>
        <v>0</v>
      </c>
      <c r="BI157" s="325">
        <f t="shared" si="20"/>
        <v>0</v>
      </c>
      <c r="BJ157" s="214" t="s">
        <v>81</v>
      </c>
      <c r="BK157" s="325">
        <f t="shared" si="21"/>
        <v>0</v>
      </c>
      <c r="BL157" s="214" t="s">
        <v>153</v>
      </c>
      <c r="BM157" s="324" t="s">
        <v>1873</v>
      </c>
    </row>
    <row r="158" spans="1:65" s="225" customFormat="1" ht="21.75" customHeight="1">
      <c r="A158" s="222"/>
      <c r="B158" s="223"/>
      <c r="C158" s="314">
        <f t="shared" si="22"/>
        <v>28</v>
      </c>
      <c r="D158" s="314" t="s">
        <v>148</v>
      </c>
      <c r="E158" s="315" t="s">
        <v>1874</v>
      </c>
      <c r="F158" s="316" t="s">
        <v>1875</v>
      </c>
      <c r="G158" s="317" t="s">
        <v>151</v>
      </c>
      <c r="H158" s="318">
        <v>50</v>
      </c>
      <c r="I158" s="79"/>
      <c r="J158" s="319">
        <f t="shared" si="12"/>
        <v>0</v>
      </c>
      <c r="K158" s="316" t="s">
        <v>1</v>
      </c>
      <c r="L158" s="223"/>
      <c r="M158" s="320" t="s">
        <v>1</v>
      </c>
      <c r="N158" s="321" t="s">
        <v>42</v>
      </c>
      <c r="O158" s="322">
        <v>0</v>
      </c>
      <c r="P158" s="322">
        <f t="shared" si="13"/>
        <v>0</v>
      </c>
      <c r="Q158" s="322">
        <v>0</v>
      </c>
      <c r="R158" s="322">
        <f t="shared" si="14"/>
        <v>0</v>
      </c>
      <c r="S158" s="322">
        <v>0</v>
      </c>
      <c r="T158" s="323">
        <f t="shared" si="15"/>
        <v>0</v>
      </c>
      <c r="U158" s="222"/>
      <c r="V158" s="222"/>
      <c r="W158" s="222"/>
      <c r="X158" s="222"/>
      <c r="Y158" s="222"/>
      <c r="Z158" s="222"/>
      <c r="AA158" s="222"/>
      <c r="AB158" s="222"/>
      <c r="AC158" s="222"/>
      <c r="AD158" s="222"/>
      <c r="AE158" s="222"/>
      <c r="AR158" s="324" t="s">
        <v>153</v>
      </c>
      <c r="AT158" s="324" t="s">
        <v>148</v>
      </c>
      <c r="AU158" s="324" t="s">
        <v>81</v>
      </c>
      <c r="AY158" s="214" t="s">
        <v>146</v>
      </c>
      <c r="BE158" s="325">
        <f t="shared" si="16"/>
        <v>0</v>
      </c>
      <c r="BF158" s="325">
        <f t="shared" si="17"/>
        <v>0</v>
      </c>
      <c r="BG158" s="325">
        <f t="shared" si="18"/>
        <v>0</v>
      </c>
      <c r="BH158" s="325">
        <f t="shared" si="19"/>
        <v>0</v>
      </c>
      <c r="BI158" s="325">
        <f t="shared" si="20"/>
        <v>0</v>
      </c>
      <c r="BJ158" s="214" t="s">
        <v>81</v>
      </c>
      <c r="BK158" s="325">
        <f t="shared" si="21"/>
        <v>0</v>
      </c>
      <c r="BL158" s="214" t="s">
        <v>153</v>
      </c>
      <c r="BM158" s="324" t="s">
        <v>1876</v>
      </c>
    </row>
    <row r="159" spans="1:65" s="225" customFormat="1" ht="30.75" customHeight="1">
      <c r="A159" s="222"/>
      <c r="B159" s="223"/>
      <c r="C159" s="314">
        <f t="shared" si="22"/>
        <v>29</v>
      </c>
      <c r="D159" s="314" t="s">
        <v>148</v>
      </c>
      <c r="E159" s="315" t="s">
        <v>1877</v>
      </c>
      <c r="F159" s="316" t="s">
        <v>3830</v>
      </c>
      <c r="G159" s="317" t="s">
        <v>1361</v>
      </c>
      <c r="H159" s="318">
        <v>10</v>
      </c>
      <c r="I159" s="79"/>
      <c r="J159" s="319">
        <f t="shared" si="12"/>
        <v>0</v>
      </c>
      <c r="K159" s="316" t="s">
        <v>1</v>
      </c>
      <c r="L159" s="223"/>
      <c r="M159" s="320" t="s">
        <v>1</v>
      </c>
      <c r="N159" s="321" t="s">
        <v>42</v>
      </c>
      <c r="O159" s="322">
        <v>0</v>
      </c>
      <c r="P159" s="322">
        <f t="shared" si="13"/>
        <v>0</v>
      </c>
      <c r="Q159" s="322">
        <v>0</v>
      </c>
      <c r="R159" s="322">
        <f t="shared" si="14"/>
        <v>0</v>
      </c>
      <c r="S159" s="322">
        <v>0</v>
      </c>
      <c r="T159" s="323">
        <f t="shared" si="15"/>
        <v>0</v>
      </c>
      <c r="U159" s="222"/>
      <c r="V159" s="222"/>
      <c r="W159" s="222"/>
      <c r="X159" s="222"/>
      <c r="Y159" s="222"/>
      <c r="Z159" s="222"/>
      <c r="AA159" s="222"/>
      <c r="AB159" s="222"/>
      <c r="AC159" s="222"/>
      <c r="AD159" s="222"/>
      <c r="AE159" s="222"/>
      <c r="AR159" s="324" t="s">
        <v>153</v>
      </c>
      <c r="AT159" s="324" t="s">
        <v>148</v>
      </c>
      <c r="AU159" s="324" t="s">
        <v>81</v>
      </c>
      <c r="AY159" s="214" t="s">
        <v>146</v>
      </c>
      <c r="BE159" s="325">
        <f t="shared" si="16"/>
        <v>0</v>
      </c>
      <c r="BF159" s="325">
        <f t="shared" si="17"/>
        <v>0</v>
      </c>
      <c r="BG159" s="325">
        <f t="shared" si="18"/>
        <v>0</v>
      </c>
      <c r="BH159" s="325">
        <f t="shared" si="19"/>
        <v>0</v>
      </c>
      <c r="BI159" s="325">
        <f t="shared" si="20"/>
        <v>0</v>
      </c>
      <c r="BJ159" s="214" t="s">
        <v>81</v>
      </c>
      <c r="BK159" s="325">
        <f t="shared" si="21"/>
        <v>0</v>
      </c>
      <c r="BL159" s="214" t="s">
        <v>153</v>
      </c>
      <c r="BM159" s="324" t="s">
        <v>1878</v>
      </c>
    </row>
    <row r="160" spans="1:65" s="225" customFormat="1" ht="24.2" customHeight="1">
      <c r="A160" s="222"/>
      <c r="B160" s="223"/>
      <c r="C160" s="314">
        <f t="shared" si="22"/>
        <v>30</v>
      </c>
      <c r="D160" s="314" t="s">
        <v>148</v>
      </c>
      <c r="E160" s="315" t="s">
        <v>1879</v>
      </c>
      <c r="F160" s="316" t="s">
        <v>1880</v>
      </c>
      <c r="G160" s="317" t="s">
        <v>301</v>
      </c>
      <c r="H160" s="318">
        <v>7</v>
      </c>
      <c r="I160" s="79"/>
      <c r="J160" s="319">
        <f t="shared" si="12"/>
        <v>0</v>
      </c>
      <c r="K160" s="316" t="s">
        <v>1</v>
      </c>
      <c r="L160" s="223"/>
      <c r="M160" s="320" t="s">
        <v>1</v>
      </c>
      <c r="N160" s="321" t="s">
        <v>42</v>
      </c>
      <c r="O160" s="322">
        <v>0</v>
      </c>
      <c r="P160" s="322">
        <f t="shared" si="13"/>
        <v>0</v>
      </c>
      <c r="Q160" s="322">
        <v>0</v>
      </c>
      <c r="R160" s="322">
        <f t="shared" si="14"/>
        <v>0</v>
      </c>
      <c r="S160" s="322">
        <v>0</v>
      </c>
      <c r="T160" s="323">
        <f t="shared" si="15"/>
        <v>0</v>
      </c>
      <c r="U160" s="222"/>
      <c r="V160" s="222"/>
      <c r="W160" s="222"/>
      <c r="X160" s="222"/>
      <c r="Y160" s="222"/>
      <c r="Z160" s="222"/>
      <c r="AA160" s="222"/>
      <c r="AB160" s="222"/>
      <c r="AC160" s="222"/>
      <c r="AD160" s="222"/>
      <c r="AE160" s="222"/>
      <c r="AR160" s="324" t="s">
        <v>153</v>
      </c>
      <c r="AT160" s="324" t="s">
        <v>148</v>
      </c>
      <c r="AU160" s="324" t="s">
        <v>81</v>
      </c>
      <c r="AY160" s="214" t="s">
        <v>146</v>
      </c>
      <c r="BE160" s="325">
        <f t="shared" si="16"/>
        <v>0</v>
      </c>
      <c r="BF160" s="325">
        <f t="shared" si="17"/>
        <v>0</v>
      </c>
      <c r="BG160" s="325">
        <f t="shared" si="18"/>
        <v>0</v>
      </c>
      <c r="BH160" s="325">
        <f t="shared" si="19"/>
        <v>0</v>
      </c>
      <c r="BI160" s="325">
        <f t="shared" si="20"/>
        <v>0</v>
      </c>
      <c r="BJ160" s="214" t="s">
        <v>81</v>
      </c>
      <c r="BK160" s="325">
        <f t="shared" si="21"/>
        <v>0</v>
      </c>
      <c r="BL160" s="214" t="s">
        <v>153</v>
      </c>
      <c r="BM160" s="324" t="s">
        <v>1881</v>
      </c>
    </row>
    <row r="161" spans="1:65" s="225" customFormat="1" ht="24.2" customHeight="1">
      <c r="A161" s="222"/>
      <c r="B161" s="223"/>
      <c r="C161" s="314">
        <f t="shared" si="22"/>
        <v>31</v>
      </c>
      <c r="D161" s="314" t="s">
        <v>148</v>
      </c>
      <c r="E161" s="315" t="s">
        <v>1882</v>
      </c>
      <c r="F161" s="316" t="s">
        <v>1883</v>
      </c>
      <c r="G161" s="317" t="s">
        <v>301</v>
      </c>
      <c r="H161" s="318">
        <v>1</v>
      </c>
      <c r="I161" s="79"/>
      <c r="J161" s="319">
        <f t="shared" si="12"/>
        <v>0</v>
      </c>
      <c r="K161" s="316" t="s">
        <v>1</v>
      </c>
      <c r="L161" s="223"/>
      <c r="M161" s="320" t="s">
        <v>1</v>
      </c>
      <c r="N161" s="321" t="s">
        <v>42</v>
      </c>
      <c r="O161" s="322">
        <v>0</v>
      </c>
      <c r="P161" s="322">
        <f t="shared" si="13"/>
        <v>0</v>
      </c>
      <c r="Q161" s="322">
        <v>0</v>
      </c>
      <c r="R161" s="322">
        <f t="shared" si="14"/>
        <v>0</v>
      </c>
      <c r="S161" s="322">
        <v>0</v>
      </c>
      <c r="T161" s="323">
        <f t="shared" si="15"/>
        <v>0</v>
      </c>
      <c r="U161" s="222"/>
      <c r="V161" s="222"/>
      <c r="W161" s="222"/>
      <c r="X161" s="222"/>
      <c r="Y161" s="222"/>
      <c r="Z161" s="222"/>
      <c r="AA161" s="222"/>
      <c r="AB161" s="222"/>
      <c r="AC161" s="222"/>
      <c r="AD161" s="222"/>
      <c r="AE161" s="222"/>
      <c r="AR161" s="324" t="s">
        <v>153</v>
      </c>
      <c r="AT161" s="324" t="s">
        <v>148</v>
      </c>
      <c r="AU161" s="324" t="s">
        <v>81</v>
      </c>
      <c r="AY161" s="214" t="s">
        <v>146</v>
      </c>
      <c r="BE161" s="325">
        <f t="shared" si="16"/>
        <v>0</v>
      </c>
      <c r="BF161" s="325">
        <f t="shared" si="17"/>
        <v>0</v>
      </c>
      <c r="BG161" s="325">
        <f t="shared" si="18"/>
        <v>0</v>
      </c>
      <c r="BH161" s="325">
        <f t="shared" si="19"/>
        <v>0</v>
      </c>
      <c r="BI161" s="325">
        <f t="shared" si="20"/>
        <v>0</v>
      </c>
      <c r="BJ161" s="214" t="s">
        <v>81</v>
      </c>
      <c r="BK161" s="325">
        <f t="shared" si="21"/>
        <v>0</v>
      </c>
      <c r="BL161" s="214" t="s">
        <v>153</v>
      </c>
      <c r="BM161" s="324" t="s">
        <v>1884</v>
      </c>
    </row>
    <row r="162" spans="1:65" s="225" customFormat="1" ht="16.5" customHeight="1">
      <c r="A162" s="222"/>
      <c r="B162" s="223"/>
      <c r="C162" s="314">
        <f t="shared" si="22"/>
        <v>32</v>
      </c>
      <c r="D162" s="314" t="s">
        <v>148</v>
      </c>
      <c r="E162" s="315" t="s">
        <v>1885</v>
      </c>
      <c r="F162" s="316" t="s">
        <v>1886</v>
      </c>
      <c r="G162" s="317" t="s">
        <v>301</v>
      </c>
      <c r="H162" s="318">
        <v>1</v>
      </c>
      <c r="I162" s="79"/>
      <c r="J162" s="319">
        <f t="shared" si="12"/>
        <v>0</v>
      </c>
      <c r="K162" s="316" t="s">
        <v>1</v>
      </c>
      <c r="L162" s="223"/>
      <c r="M162" s="320" t="s">
        <v>1</v>
      </c>
      <c r="N162" s="321" t="s">
        <v>42</v>
      </c>
      <c r="O162" s="322">
        <v>0</v>
      </c>
      <c r="P162" s="322">
        <f t="shared" si="13"/>
        <v>0</v>
      </c>
      <c r="Q162" s="322">
        <v>0</v>
      </c>
      <c r="R162" s="322">
        <f t="shared" si="14"/>
        <v>0</v>
      </c>
      <c r="S162" s="322">
        <v>0</v>
      </c>
      <c r="T162" s="323">
        <f t="shared" si="15"/>
        <v>0</v>
      </c>
      <c r="U162" s="222"/>
      <c r="V162" s="222"/>
      <c r="W162" s="222"/>
      <c r="X162" s="222"/>
      <c r="Y162" s="222"/>
      <c r="Z162" s="222"/>
      <c r="AA162" s="222"/>
      <c r="AB162" s="222"/>
      <c r="AC162" s="222"/>
      <c r="AD162" s="222"/>
      <c r="AE162" s="222"/>
      <c r="AR162" s="324" t="s">
        <v>153</v>
      </c>
      <c r="AT162" s="324" t="s">
        <v>148</v>
      </c>
      <c r="AU162" s="324" t="s">
        <v>81</v>
      </c>
      <c r="AY162" s="214" t="s">
        <v>146</v>
      </c>
      <c r="BE162" s="325">
        <f t="shared" si="16"/>
        <v>0</v>
      </c>
      <c r="BF162" s="325">
        <f t="shared" si="17"/>
        <v>0</v>
      </c>
      <c r="BG162" s="325">
        <f t="shared" si="18"/>
        <v>0</v>
      </c>
      <c r="BH162" s="325">
        <f t="shared" si="19"/>
        <v>0</v>
      </c>
      <c r="BI162" s="325">
        <f t="shared" si="20"/>
        <v>0</v>
      </c>
      <c r="BJ162" s="214" t="s">
        <v>81</v>
      </c>
      <c r="BK162" s="325">
        <f t="shared" si="21"/>
        <v>0</v>
      </c>
      <c r="BL162" s="214" t="s">
        <v>153</v>
      </c>
      <c r="BM162" s="324" t="s">
        <v>1887</v>
      </c>
    </row>
    <row r="163" spans="1:65" s="225" customFormat="1" ht="16.5" customHeight="1">
      <c r="A163" s="222"/>
      <c r="B163" s="223"/>
      <c r="C163" s="314">
        <f t="shared" si="22"/>
        <v>33</v>
      </c>
      <c r="D163" s="314" t="s">
        <v>148</v>
      </c>
      <c r="E163" s="315" t="s">
        <v>1888</v>
      </c>
      <c r="F163" s="316" t="s">
        <v>1889</v>
      </c>
      <c r="G163" s="317" t="s">
        <v>301</v>
      </c>
      <c r="H163" s="318">
        <v>1</v>
      </c>
      <c r="I163" s="79"/>
      <c r="J163" s="319">
        <f t="shared" si="12"/>
        <v>0</v>
      </c>
      <c r="K163" s="316" t="s">
        <v>1</v>
      </c>
      <c r="L163" s="223"/>
      <c r="M163" s="320" t="s">
        <v>1</v>
      </c>
      <c r="N163" s="321" t="s">
        <v>42</v>
      </c>
      <c r="O163" s="322">
        <v>0</v>
      </c>
      <c r="P163" s="322">
        <f t="shared" si="13"/>
        <v>0</v>
      </c>
      <c r="Q163" s="322">
        <v>0</v>
      </c>
      <c r="R163" s="322">
        <f t="shared" si="14"/>
        <v>0</v>
      </c>
      <c r="S163" s="322">
        <v>0</v>
      </c>
      <c r="T163" s="323">
        <f t="shared" si="15"/>
        <v>0</v>
      </c>
      <c r="U163" s="222"/>
      <c r="V163" s="222"/>
      <c r="W163" s="222"/>
      <c r="X163" s="222"/>
      <c r="Y163" s="222"/>
      <c r="Z163" s="222"/>
      <c r="AA163" s="222"/>
      <c r="AB163" s="222"/>
      <c r="AC163" s="222"/>
      <c r="AD163" s="222"/>
      <c r="AE163" s="222"/>
      <c r="AR163" s="324" t="s">
        <v>153</v>
      </c>
      <c r="AT163" s="324" t="s">
        <v>148</v>
      </c>
      <c r="AU163" s="324" t="s">
        <v>81</v>
      </c>
      <c r="AY163" s="214" t="s">
        <v>146</v>
      </c>
      <c r="BE163" s="325">
        <f t="shared" si="16"/>
        <v>0</v>
      </c>
      <c r="BF163" s="325">
        <f t="shared" si="17"/>
        <v>0</v>
      </c>
      <c r="BG163" s="325">
        <f t="shared" si="18"/>
        <v>0</v>
      </c>
      <c r="BH163" s="325">
        <f t="shared" si="19"/>
        <v>0</v>
      </c>
      <c r="BI163" s="325">
        <f t="shared" si="20"/>
        <v>0</v>
      </c>
      <c r="BJ163" s="214" t="s">
        <v>81</v>
      </c>
      <c r="BK163" s="325">
        <f t="shared" si="21"/>
        <v>0</v>
      </c>
      <c r="BL163" s="214" t="s">
        <v>153</v>
      </c>
      <c r="BM163" s="324" t="s">
        <v>1890</v>
      </c>
    </row>
    <row r="164" spans="1:65" s="225" customFormat="1" ht="16.5" customHeight="1">
      <c r="A164" s="222"/>
      <c r="B164" s="223"/>
      <c r="C164" s="314">
        <f t="shared" si="22"/>
        <v>34</v>
      </c>
      <c r="D164" s="314" t="s">
        <v>148</v>
      </c>
      <c r="E164" s="315" t="s">
        <v>1891</v>
      </c>
      <c r="F164" s="316" t="s">
        <v>1892</v>
      </c>
      <c r="G164" s="317" t="s">
        <v>301</v>
      </c>
      <c r="H164" s="318">
        <v>2</v>
      </c>
      <c r="I164" s="79"/>
      <c r="J164" s="319">
        <f t="shared" si="12"/>
        <v>0</v>
      </c>
      <c r="K164" s="316" t="s">
        <v>1</v>
      </c>
      <c r="L164" s="223"/>
      <c r="M164" s="320" t="s">
        <v>1</v>
      </c>
      <c r="N164" s="321" t="s">
        <v>42</v>
      </c>
      <c r="O164" s="322">
        <v>0</v>
      </c>
      <c r="P164" s="322">
        <f t="shared" si="13"/>
        <v>0</v>
      </c>
      <c r="Q164" s="322">
        <v>0</v>
      </c>
      <c r="R164" s="322">
        <f t="shared" si="14"/>
        <v>0</v>
      </c>
      <c r="S164" s="322">
        <v>0</v>
      </c>
      <c r="T164" s="323">
        <f t="shared" si="15"/>
        <v>0</v>
      </c>
      <c r="U164" s="222"/>
      <c r="V164" s="222"/>
      <c r="W164" s="222"/>
      <c r="X164" s="222"/>
      <c r="Y164" s="222"/>
      <c r="Z164" s="222"/>
      <c r="AA164" s="222"/>
      <c r="AB164" s="222"/>
      <c r="AC164" s="222"/>
      <c r="AD164" s="222"/>
      <c r="AE164" s="222"/>
      <c r="AR164" s="324" t="s">
        <v>153</v>
      </c>
      <c r="AT164" s="324" t="s">
        <v>148</v>
      </c>
      <c r="AU164" s="324" t="s">
        <v>81</v>
      </c>
      <c r="AY164" s="214" t="s">
        <v>146</v>
      </c>
      <c r="BE164" s="325">
        <f t="shared" si="16"/>
        <v>0</v>
      </c>
      <c r="BF164" s="325">
        <f t="shared" si="17"/>
        <v>0</v>
      </c>
      <c r="BG164" s="325">
        <f t="shared" si="18"/>
        <v>0</v>
      </c>
      <c r="BH164" s="325">
        <f t="shared" si="19"/>
        <v>0</v>
      </c>
      <c r="BI164" s="325">
        <f t="shared" si="20"/>
        <v>0</v>
      </c>
      <c r="BJ164" s="214" t="s">
        <v>81</v>
      </c>
      <c r="BK164" s="325">
        <f t="shared" si="21"/>
        <v>0</v>
      </c>
      <c r="BL164" s="214" t="s">
        <v>153</v>
      </c>
      <c r="BM164" s="324" t="s">
        <v>1893</v>
      </c>
    </row>
    <row r="165" spans="1:65" s="225" customFormat="1" ht="21.75" customHeight="1">
      <c r="A165" s="222"/>
      <c r="B165" s="223"/>
      <c r="C165" s="314">
        <f t="shared" si="22"/>
        <v>35</v>
      </c>
      <c r="D165" s="314" t="s">
        <v>148</v>
      </c>
      <c r="E165" s="315" t="s">
        <v>1894</v>
      </c>
      <c r="F165" s="316" t="s">
        <v>1895</v>
      </c>
      <c r="G165" s="317" t="s">
        <v>158</v>
      </c>
      <c r="H165" s="318">
        <v>95</v>
      </c>
      <c r="I165" s="79"/>
      <c r="J165" s="319">
        <f t="shared" si="12"/>
        <v>0</v>
      </c>
      <c r="K165" s="316" t="s">
        <v>1</v>
      </c>
      <c r="L165" s="223"/>
      <c r="M165" s="320" t="s">
        <v>1</v>
      </c>
      <c r="N165" s="321" t="s">
        <v>42</v>
      </c>
      <c r="O165" s="322">
        <v>0</v>
      </c>
      <c r="P165" s="322">
        <f t="shared" si="13"/>
        <v>0</v>
      </c>
      <c r="Q165" s="322">
        <v>0</v>
      </c>
      <c r="R165" s="322">
        <f t="shared" si="14"/>
        <v>0</v>
      </c>
      <c r="S165" s="322">
        <v>0</v>
      </c>
      <c r="T165" s="323">
        <f t="shared" si="15"/>
        <v>0</v>
      </c>
      <c r="U165" s="222"/>
      <c r="V165" s="222"/>
      <c r="W165" s="222"/>
      <c r="X165" s="222"/>
      <c r="Y165" s="222"/>
      <c r="Z165" s="222"/>
      <c r="AA165" s="222"/>
      <c r="AB165" s="222"/>
      <c r="AC165" s="222"/>
      <c r="AD165" s="222"/>
      <c r="AE165" s="222"/>
      <c r="AR165" s="324" t="s">
        <v>153</v>
      </c>
      <c r="AT165" s="324" t="s">
        <v>148</v>
      </c>
      <c r="AU165" s="324" t="s">
        <v>81</v>
      </c>
      <c r="AY165" s="214" t="s">
        <v>146</v>
      </c>
      <c r="BE165" s="325">
        <f t="shared" si="16"/>
        <v>0</v>
      </c>
      <c r="BF165" s="325">
        <f t="shared" si="17"/>
        <v>0</v>
      </c>
      <c r="BG165" s="325">
        <f t="shared" si="18"/>
        <v>0</v>
      </c>
      <c r="BH165" s="325">
        <f t="shared" si="19"/>
        <v>0</v>
      </c>
      <c r="BI165" s="325">
        <f t="shared" si="20"/>
        <v>0</v>
      </c>
      <c r="BJ165" s="214" t="s">
        <v>81</v>
      </c>
      <c r="BK165" s="325">
        <f t="shared" si="21"/>
        <v>0</v>
      </c>
      <c r="BL165" s="214" t="s">
        <v>153</v>
      </c>
      <c r="BM165" s="324" t="s">
        <v>1896</v>
      </c>
    </row>
    <row r="166" spans="1:65" s="225" customFormat="1" ht="21.75" customHeight="1">
      <c r="A166" s="222"/>
      <c r="B166" s="223"/>
      <c r="C166" s="314">
        <f t="shared" si="22"/>
        <v>36</v>
      </c>
      <c r="D166" s="314" t="s">
        <v>148</v>
      </c>
      <c r="E166" s="315" t="s">
        <v>1897</v>
      </c>
      <c r="F166" s="316" t="s">
        <v>1898</v>
      </c>
      <c r="G166" s="317" t="s">
        <v>158</v>
      </c>
      <c r="H166" s="318">
        <v>30</v>
      </c>
      <c r="I166" s="79"/>
      <c r="J166" s="319">
        <f t="shared" si="12"/>
        <v>0</v>
      </c>
      <c r="K166" s="316" t="s">
        <v>1</v>
      </c>
      <c r="L166" s="223"/>
      <c r="M166" s="320" t="s">
        <v>1</v>
      </c>
      <c r="N166" s="321" t="s">
        <v>42</v>
      </c>
      <c r="O166" s="322">
        <v>0</v>
      </c>
      <c r="P166" s="322">
        <f t="shared" si="13"/>
        <v>0</v>
      </c>
      <c r="Q166" s="322">
        <v>0</v>
      </c>
      <c r="R166" s="322">
        <f t="shared" si="14"/>
        <v>0</v>
      </c>
      <c r="S166" s="322">
        <v>0</v>
      </c>
      <c r="T166" s="323">
        <f t="shared" si="15"/>
        <v>0</v>
      </c>
      <c r="U166" s="222"/>
      <c r="V166" s="222"/>
      <c r="W166" s="222"/>
      <c r="X166" s="222"/>
      <c r="Y166" s="222"/>
      <c r="Z166" s="222"/>
      <c r="AA166" s="222"/>
      <c r="AB166" s="222"/>
      <c r="AC166" s="222"/>
      <c r="AD166" s="222"/>
      <c r="AE166" s="222"/>
      <c r="AR166" s="324" t="s">
        <v>153</v>
      </c>
      <c r="AT166" s="324" t="s">
        <v>148</v>
      </c>
      <c r="AU166" s="324" t="s">
        <v>81</v>
      </c>
      <c r="AY166" s="214" t="s">
        <v>146</v>
      </c>
      <c r="BE166" s="325">
        <f t="shared" si="16"/>
        <v>0</v>
      </c>
      <c r="BF166" s="325">
        <f t="shared" si="17"/>
        <v>0</v>
      </c>
      <c r="BG166" s="325">
        <f t="shared" si="18"/>
        <v>0</v>
      </c>
      <c r="BH166" s="325">
        <f t="shared" si="19"/>
        <v>0</v>
      </c>
      <c r="BI166" s="325">
        <f t="shared" si="20"/>
        <v>0</v>
      </c>
      <c r="BJ166" s="214" t="s">
        <v>81</v>
      </c>
      <c r="BK166" s="325">
        <f t="shared" si="21"/>
        <v>0</v>
      </c>
      <c r="BL166" s="214" t="s">
        <v>153</v>
      </c>
      <c r="BM166" s="324" t="s">
        <v>1899</v>
      </c>
    </row>
    <row r="167" spans="1:65" s="225" customFormat="1" ht="24.2" customHeight="1">
      <c r="A167" s="222"/>
      <c r="B167" s="223"/>
      <c r="C167" s="314">
        <f t="shared" si="22"/>
        <v>37</v>
      </c>
      <c r="D167" s="314" t="s">
        <v>148</v>
      </c>
      <c r="E167" s="315" t="s">
        <v>1900</v>
      </c>
      <c r="F167" s="316" t="s">
        <v>1901</v>
      </c>
      <c r="G167" s="317" t="s">
        <v>158</v>
      </c>
      <c r="H167" s="318">
        <v>120</v>
      </c>
      <c r="I167" s="79"/>
      <c r="J167" s="319">
        <f t="shared" si="12"/>
        <v>0</v>
      </c>
      <c r="K167" s="316" t="s">
        <v>1</v>
      </c>
      <c r="L167" s="223"/>
      <c r="M167" s="320" t="s">
        <v>1</v>
      </c>
      <c r="N167" s="321" t="s">
        <v>42</v>
      </c>
      <c r="O167" s="322">
        <v>0</v>
      </c>
      <c r="P167" s="322">
        <f t="shared" si="13"/>
        <v>0</v>
      </c>
      <c r="Q167" s="322">
        <v>0</v>
      </c>
      <c r="R167" s="322">
        <f t="shared" si="14"/>
        <v>0</v>
      </c>
      <c r="S167" s="322">
        <v>0</v>
      </c>
      <c r="T167" s="323">
        <f t="shared" si="15"/>
        <v>0</v>
      </c>
      <c r="U167" s="222"/>
      <c r="V167" s="222"/>
      <c r="W167" s="222"/>
      <c r="X167" s="222"/>
      <c r="Y167" s="222"/>
      <c r="Z167" s="222"/>
      <c r="AA167" s="222"/>
      <c r="AB167" s="222"/>
      <c r="AC167" s="222"/>
      <c r="AD167" s="222"/>
      <c r="AE167" s="222"/>
      <c r="AR167" s="324" t="s">
        <v>153</v>
      </c>
      <c r="AT167" s="324" t="s">
        <v>148</v>
      </c>
      <c r="AU167" s="324" t="s">
        <v>81</v>
      </c>
      <c r="AY167" s="214" t="s">
        <v>146</v>
      </c>
      <c r="BE167" s="325">
        <f t="shared" si="16"/>
        <v>0</v>
      </c>
      <c r="BF167" s="325">
        <f t="shared" si="17"/>
        <v>0</v>
      </c>
      <c r="BG167" s="325">
        <f t="shared" si="18"/>
        <v>0</v>
      </c>
      <c r="BH167" s="325">
        <f t="shared" si="19"/>
        <v>0</v>
      </c>
      <c r="BI167" s="325">
        <f t="shared" si="20"/>
        <v>0</v>
      </c>
      <c r="BJ167" s="214" t="s">
        <v>81</v>
      </c>
      <c r="BK167" s="325">
        <f t="shared" si="21"/>
        <v>0</v>
      </c>
      <c r="BL167" s="214" t="s">
        <v>153</v>
      </c>
      <c r="BM167" s="324" t="s">
        <v>1902</v>
      </c>
    </row>
    <row r="168" spans="2:63" s="297" customFormat="1" ht="25.9" customHeight="1">
      <c r="B168" s="298"/>
      <c r="C168" s="314"/>
      <c r="D168" s="299" t="s">
        <v>75</v>
      </c>
      <c r="E168" s="300" t="s">
        <v>153</v>
      </c>
      <c r="F168" s="300" t="s">
        <v>1903</v>
      </c>
      <c r="I168" s="501"/>
      <c r="J168" s="301">
        <f>SUM(J169:J217)</f>
        <v>0</v>
      </c>
      <c r="L168" s="298"/>
      <c r="M168" s="303"/>
      <c r="N168" s="304"/>
      <c r="O168" s="304"/>
      <c r="P168" s="305">
        <f>SUM(P169:P216)</f>
        <v>0</v>
      </c>
      <c r="Q168" s="304"/>
      <c r="R168" s="305">
        <f>SUM(R169:R216)</f>
        <v>0</v>
      </c>
      <c r="S168" s="304"/>
      <c r="T168" s="313">
        <f>SUM(T169:T216)</f>
        <v>0</v>
      </c>
      <c r="AR168" s="299" t="s">
        <v>81</v>
      </c>
      <c r="AT168" s="308" t="s">
        <v>75</v>
      </c>
      <c r="AU168" s="308" t="s">
        <v>76</v>
      </c>
      <c r="AY168" s="299" t="s">
        <v>146</v>
      </c>
      <c r="BK168" s="309">
        <f>SUM(BK169:BK216)</f>
        <v>0</v>
      </c>
    </row>
    <row r="169" spans="1:65" s="225" customFormat="1" ht="33" customHeight="1">
      <c r="A169" s="222"/>
      <c r="B169" s="223"/>
      <c r="C169" s="314">
        <f>C167+1</f>
        <v>38</v>
      </c>
      <c r="D169" s="314" t="s">
        <v>148</v>
      </c>
      <c r="E169" s="315" t="s">
        <v>1904</v>
      </c>
      <c r="F169" s="316" t="s">
        <v>1905</v>
      </c>
      <c r="G169" s="317" t="s">
        <v>883</v>
      </c>
      <c r="H169" s="318">
        <v>1</v>
      </c>
      <c r="I169" s="79"/>
      <c r="J169" s="319">
        <f aca="true" t="shared" si="23" ref="J169:J200">ROUND(I169*H169,2)</f>
        <v>0</v>
      </c>
      <c r="K169" s="316" t="s">
        <v>1</v>
      </c>
      <c r="L169" s="223"/>
      <c r="M169" s="320" t="s">
        <v>1</v>
      </c>
      <c r="N169" s="321" t="s">
        <v>42</v>
      </c>
      <c r="O169" s="322">
        <v>0</v>
      </c>
      <c r="P169" s="322">
        <f aca="true" t="shared" si="24" ref="P169:P200">O169*H169</f>
        <v>0</v>
      </c>
      <c r="Q169" s="322">
        <v>0</v>
      </c>
      <c r="R169" s="322">
        <f aca="true" t="shared" si="25" ref="R169:R200">Q169*H169</f>
        <v>0</v>
      </c>
      <c r="S169" s="322">
        <v>0</v>
      </c>
      <c r="T169" s="323">
        <f aca="true" t="shared" si="26" ref="T169:T200">S169*H169</f>
        <v>0</v>
      </c>
      <c r="U169" s="222"/>
      <c r="V169" s="222"/>
      <c r="W169" s="222"/>
      <c r="X169" s="222"/>
      <c r="Y169" s="222"/>
      <c r="Z169" s="222"/>
      <c r="AA169" s="222"/>
      <c r="AB169" s="222"/>
      <c r="AC169" s="222"/>
      <c r="AD169" s="222"/>
      <c r="AE169" s="222"/>
      <c r="AR169" s="324" t="s">
        <v>153</v>
      </c>
      <c r="AT169" s="324" t="s">
        <v>148</v>
      </c>
      <c r="AU169" s="324" t="s">
        <v>81</v>
      </c>
      <c r="AY169" s="214" t="s">
        <v>146</v>
      </c>
      <c r="BE169" s="325">
        <f aca="true" t="shared" si="27" ref="BE169:BE200">IF(N169="základní",J169,0)</f>
        <v>0</v>
      </c>
      <c r="BF169" s="325">
        <f aca="true" t="shared" si="28" ref="BF169:BF200">IF(N169="snížená",J169,0)</f>
        <v>0</v>
      </c>
      <c r="BG169" s="325">
        <f aca="true" t="shared" si="29" ref="BG169:BG200">IF(N169="zákl. přenesená",J169,0)</f>
        <v>0</v>
      </c>
      <c r="BH169" s="325">
        <f aca="true" t="shared" si="30" ref="BH169:BH200">IF(N169="sníž. přenesená",J169,0)</f>
        <v>0</v>
      </c>
      <c r="BI169" s="325">
        <f aca="true" t="shared" si="31" ref="BI169:BI200">IF(N169="nulová",J169,0)</f>
        <v>0</v>
      </c>
      <c r="BJ169" s="214" t="s">
        <v>81</v>
      </c>
      <c r="BK169" s="325">
        <f aca="true" t="shared" si="32" ref="BK169:BK200">ROUND(I169*H169,2)</f>
        <v>0</v>
      </c>
      <c r="BL169" s="214" t="s">
        <v>153</v>
      </c>
      <c r="BM169" s="324" t="s">
        <v>1906</v>
      </c>
    </row>
    <row r="170" spans="1:65" s="225" customFormat="1" ht="37.9" customHeight="1">
      <c r="A170" s="222"/>
      <c r="B170" s="223"/>
      <c r="C170" s="314">
        <f t="shared" si="22"/>
        <v>39</v>
      </c>
      <c r="D170" s="314" t="s">
        <v>148</v>
      </c>
      <c r="E170" s="315" t="s">
        <v>1907</v>
      </c>
      <c r="F170" s="316" t="s">
        <v>1908</v>
      </c>
      <c r="G170" s="317" t="s">
        <v>1361</v>
      </c>
      <c r="H170" s="318">
        <v>1</v>
      </c>
      <c r="I170" s="79"/>
      <c r="J170" s="319">
        <f t="shared" si="23"/>
        <v>0</v>
      </c>
      <c r="K170" s="316" t="s">
        <v>1</v>
      </c>
      <c r="L170" s="223"/>
      <c r="M170" s="320" t="s">
        <v>1</v>
      </c>
      <c r="N170" s="321" t="s">
        <v>42</v>
      </c>
      <c r="O170" s="322">
        <v>0</v>
      </c>
      <c r="P170" s="322">
        <f t="shared" si="24"/>
        <v>0</v>
      </c>
      <c r="Q170" s="322">
        <v>0</v>
      </c>
      <c r="R170" s="322">
        <f t="shared" si="25"/>
        <v>0</v>
      </c>
      <c r="S170" s="322">
        <v>0</v>
      </c>
      <c r="T170" s="323">
        <f t="shared" si="26"/>
        <v>0</v>
      </c>
      <c r="U170" s="222"/>
      <c r="V170" s="222"/>
      <c r="W170" s="222"/>
      <c r="X170" s="222"/>
      <c r="Y170" s="222"/>
      <c r="Z170" s="222"/>
      <c r="AA170" s="222"/>
      <c r="AB170" s="222"/>
      <c r="AC170" s="222"/>
      <c r="AD170" s="222"/>
      <c r="AE170" s="222"/>
      <c r="AR170" s="324" t="s">
        <v>153</v>
      </c>
      <c r="AT170" s="324" t="s">
        <v>148</v>
      </c>
      <c r="AU170" s="324" t="s">
        <v>81</v>
      </c>
      <c r="AY170" s="214" t="s">
        <v>146</v>
      </c>
      <c r="BE170" s="325">
        <f t="shared" si="27"/>
        <v>0</v>
      </c>
      <c r="BF170" s="325">
        <f t="shared" si="28"/>
        <v>0</v>
      </c>
      <c r="BG170" s="325">
        <f t="shared" si="29"/>
        <v>0</v>
      </c>
      <c r="BH170" s="325">
        <f t="shared" si="30"/>
        <v>0</v>
      </c>
      <c r="BI170" s="325">
        <f t="shared" si="31"/>
        <v>0</v>
      </c>
      <c r="BJ170" s="214" t="s">
        <v>81</v>
      </c>
      <c r="BK170" s="325">
        <f t="shared" si="32"/>
        <v>0</v>
      </c>
      <c r="BL170" s="214" t="s">
        <v>153</v>
      </c>
      <c r="BM170" s="324" t="s">
        <v>1909</v>
      </c>
    </row>
    <row r="171" spans="1:65" s="225" customFormat="1" ht="24.2" customHeight="1">
      <c r="A171" s="222"/>
      <c r="B171" s="223"/>
      <c r="C171" s="314">
        <f t="shared" si="22"/>
        <v>40</v>
      </c>
      <c r="D171" s="314" t="s">
        <v>148</v>
      </c>
      <c r="E171" s="315" t="s">
        <v>1910</v>
      </c>
      <c r="F171" s="316" t="s">
        <v>1911</v>
      </c>
      <c r="G171" s="317" t="s">
        <v>158</v>
      </c>
      <c r="H171" s="318">
        <v>20</v>
      </c>
      <c r="I171" s="79"/>
      <c r="J171" s="319">
        <f t="shared" si="23"/>
        <v>0</v>
      </c>
      <c r="K171" s="316" t="s">
        <v>1</v>
      </c>
      <c r="L171" s="223"/>
      <c r="M171" s="320" t="s">
        <v>1</v>
      </c>
      <c r="N171" s="321" t="s">
        <v>42</v>
      </c>
      <c r="O171" s="322">
        <v>0</v>
      </c>
      <c r="P171" s="322">
        <f t="shared" si="24"/>
        <v>0</v>
      </c>
      <c r="Q171" s="322">
        <v>0</v>
      </c>
      <c r="R171" s="322">
        <f t="shared" si="25"/>
        <v>0</v>
      </c>
      <c r="S171" s="322">
        <v>0</v>
      </c>
      <c r="T171" s="323">
        <f t="shared" si="26"/>
        <v>0</v>
      </c>
      <c r="U171" s="222"/>
      <c r="V171" s="222"/>
      <c r="W171" s="222"/>
      <c r="X171" s="222"/>
      <c r="Y171" s="222"/>
      <c r="Z171" s="222"/>
      <c r="AA171" s="222"/>
      <c r="AB171" s="222"/>
      <c r="AC171" s="222"/>
      <c r="AD171" s="222"/>
      <c r="AE171" s="222"/>
      <c r="AR171" s="324" t="s">
        <v>153</v>
      </c>
      <c r="AT171" s="324" t="s">
        <v>148</v>
      </c>
      <c r="AU171" s="324" t="s">
        <v>81</v>
      </c>
      <c r="AY171" s="214" t="s">
        <v>146</v>
      </c>
      <c r="BE171" s="325">
        <f t="shared" si="27"/>
        <v>0</v>
      </c>
      <c r="BF171" s="325">
        <f t="shared" si="28"/>
        <v>0</v>
      </c>
      <c r="BG171" s="325">
        <f t="shared" si="29"/>
        <v>0</v>
      </c>
      <c r="BH171" s="325">
        <f t="shared" si="30"/>
        <v>0</v>
      </c>
      <c r="BI171" s="325">
        <f t="shared" si="31"/>
        <v>0</v>
      </c>
      <c r="BJ171" s="214" t="s">
        <v>81</v>
      </c>
      <c r="BK171" s="325">
        <f t="shared" si="32"/>
        <v>0</v>
      </c>
      <c r="BL171" s="214" t="s">
        <v>153</v>
      </c>
      <c r="BM171" s="324" t="s">
        <v>1912</v>
      </c>
    </row>
    <row r="172" spans="1:65" s="225" customFormat="1" ht="16.5" customHeight="1">
      <c r="A172" s="222"/>
      <c r="B172" s="223"/>
      <c r="C172" s="314">
        <f t="shared" si="22"/>
        <v>41</v>
      </c>
      <c r="D172" s="314" t="s">
        <v>148</v>
      </c>
      <c r="E172" s="315" t="s">
        <v>1913</v>
      </c>
      <c r="F172" s="316" t="s">
        <v>1914</v>
      </c>
      <c r="G172" s="317" t="s">
        <v>158</v>
      </c>
      <c r="H172" s="318">
        <v>2</v>
      </c>
      <c r="I172" s="79"/>
      <c r="J172" s="319">
        <f t="shared" si="23"/>
        <v>0</v>
      </c>
      <c r="K172" s="316" t="s">
        <v>1</v>
      </c>
      <c r="L172" s="223"/>
      <c r="M172" s="320" t="s">
        <v>1</v>
      </c>
      <c r="N172" s="321" t="s">
        <v>42</v>
      </c>
      <c r="O172" s="322">
        <v>0</v>
      </c>
      <c r="P172" s="322">
        <f t="shared" si="24"/>
        <v>0</v>
      </c>
      <c r="Q172" s="322">
        <v>0</v>
      </c>
      <c r="R172" s="322">
        <f t="shared" si="25"/>
        <v>0</v>
      </c>
      <c r="S172" s="322">
        <v>0</v>
      </c>
      <c r="T172" s="323">
        <f t="shared" si="26"/>
        <v>0</v>
      </c>
      <c r="U172" s="222"/>
      <c r="V172" s="222"/>
      <c r="W172" s="222"/>
      <c r="X172" s="222"/>
      <c r="Y172" s="222"/>
      <c r="Z172" s="222"/>
      <c r="AA172" s="222"/>
      <c r="AB172" s="222"/>
      <c r="AC172" s="222"/>
      <c r="AD172" s="222"/>
      <c r="AE172" s="222"/>
      <c r="AR172" s="324" t="s">
        <v>153</v>
      </c>
      <c r="AT172" s="324" t="s">
        <v>148</v>
      </c>
      <c r="AU172" s="324" t="s">
        <v>81</v>
      </c>
      <c r="AY172" s="214" t="s">
        <v>146</v>
      </c>
      <c r="BE172" s="325">
        <f t="shared" si="27"/>
        <v>0</v>
      </c>
      <c r="BF172" s="325">
        <f t="shared" si="28"/>
        <v>0</v>
      </c>
      <c r="BG172" s="325">
        <f t="shared" si="29"/>
        <v>0</v>
      </c>
      <c r="BH172" s="325">
        <f t="shared" si="30"/>
        <v>0</v>
      </c>
      <c r="BI172" s="325">
        <f t="shared" si="31"/>
        <v>0</v>
      </c>
      <c r="BJ172" s="214" t="s">
        <v>81</v>
      </c>
      <c r="BK172" s="325">
        <f t="shared" si="32"/>
        <v>0</v>
      </c>
      <c r="BL172" s="214" t="s">
        <v>153</v>
      </c>
      <c r="BM172" s="324" t="s">
        <v>1915</v>
      </c>
    </row>
    <row r="173" spans="1:65" s="225" customFormat="1" ht="16.5" customHeight="1">
      <c r="A173" s="222"/>
      <c r="B173" s="223"/>
      <c r="C173" s="314">
        <f t="shared" si="22"/>
        <v>42</v>
      </c>
      <c r="D173" s="314" t="s">
        <v>148</v>
      </c>
      <c r="E173" s="315" t="s">
        <v>1916</v>
      </c>
      <c r="F173" s="316" t="s">
        <v>1917</v>
      </c>
      <c r="G173" s="317" t="s">
        <v>158</v>
      </c>
      <c r="H173" s="318">
        <v>20</v>
      </c>
      <c r="I173" s="79"/>
      <c r="J173" s="319">
        <f t="shared" si="23"/>
        <v>0</v>
      </c>
      <c r="K173" s="316" t="s">
        <v>1</v>
      </c>
      <c r="L173" s="223"/>
      <c r="M173" s="320" t="s">
        <v>1</v>
      </c>
      <c r="N173" s="321" t="s">
        <v>42</v>
      </c>
      <c r="O173" s="322">
        <v>0</v>
      </c>
      <c r="P173" s="322">
        <f t="shared" si="24"/>
        <v>0</v>
      </c>
      <c r="Q173" s="322">
        <v>0</v>
      </c>
      <c r="R173" s="322">
        <f t="shared" si="25"/>
        <v>0</v>
      </c>
      <c r="S173" s="322">
        <v>0</v>
      </c>
      <c r="T173" s="323">
        <f t="shared" si="26"/>
        <v>0</v>
      </c>
      <c r="U173" s="222"/>
      <c r="V173" s="222"/>
      <c r="W173" s="222"/>
      <c r="X173" s="222"/>
      <c r="Y173" s="222"/>
      <c r="Z173" s="222"/>
      <c r="AA173" s="222"/>
      <c r="AB173" s="222"/>
      <c r="AC173" s="222"/>
      <c r="AD173" s="222"/>
      <c r="AE173" s="222"/>
      <c r="AR173" s="324" t="s">
        <v>153</v>
      </c>
      <c r="AT173" s="324" t="s">
        <v>148</v>
      </c>
      <c r="AU173" s="324" t="s">
        <v>81</v>
      </c>
      <c r="AY173" s="214" t="s">
        <v>146</v>
      </c>
      <c r="BE173" s="325">
        <f t="shared" si="27"/>
        <v>0</v>
      </c>
      <c r="BF173" s="325">
        <f t="shared" si="28"/>
        <v>0</v>
      </c>
      <c r="BG173" s="325">
        <f t="shared" si="29"/>
        <v>0</v>
      </c>
      <c r="BH173" s="325">
        <f t="shared" si="30"/>
        <v>0</v>
      </c>
      <c r="BI173" s="325">
        <f t="shared" si="31"/>
        <v>0</v>
      </c>
      <c r="BJ173" s="214" t="s">
        <v>81</v>
      </c>
      <c r="BK173" s="325">
        <f t="shared" si="32"/>
        <v>0</v>
      </c>
      <c r="BL173" s="214" t="s">
        <v>153</v>
      </c>
      <c r="BM173" s="324" t="s">
        <v>1918</v>
      </c>
    </row>
    <row r="174" spans="1:65" s="225" customFormat="1" ht="24.2" customHeight="1">
      <c r="A174" s="222"/>
      <c r="B174" s="223"/>
      <c r="C174" s="314">
        <f t="shared" si="22"/>
        <v>43</v>
      </c>
      <c r="D174" s="314" t="s">
        <v>148</v>
      </c>
      <c r="E174" s="315" t="s">
        <v>1919</v>
      </c>
      <c r="F174" s="316" t="s">
        <v>1920</v>
      </c>
      <c r="G174" s="317" t="s">
        <v>158</v>
      </c>
      <c r="H174" s="318">
        <v>160</v>
      </c>
      <c r="I174" s="79"/>
      <c r="J174" s="319">
        <f t="shared" si="23"/>
        <v>0</v>
      </c>
      <c r="K174" s="316" t="s">
        <v>1</v>
      </c>
      <c r="L174" s="223"/>
      <c r="M174" s="320" t="s">
        <v>1</v>
      </c>
      <c r="N174" s="321" t="s">
        <v>42</v>
      </c>
      <c r="O174" s="322">
        <v>0</v>
      </c>
      <c r="P174" s="322">
        <f t="shared" si="24"/>
        <v>0</v>
      </c>
      <c r="Q174" s="322">
        <v>0</v>
      </c>
      <c r="R174" s="322">
        <f t="shared" si="25"/>
        <v>0</v>
      </c>
      <c r="S174" s="322">
        <v>0</v>
      </c>
      <c r="T174" s="323">
        <f t="shared" si="26"/>
        <v>0</v>
      </c>
      <c r="U174" s="222"/>
      <c r="V174" s="222"/>
      <c r="W174" s="222"/>
      <c r="X174" s="222"/>
      <c r="Y174" s="222"/>
      <c r="Z174" s="222"/>
      <c r="AA174" s="222"/>
      <c r="AB174" s="222"/>
      <c r="AC174" s="222"/>
      <c r="AD174" s="222"/>
      <c r="AE174" s="222"/>
      <c r="AR174" s="324" t="s">
        <v>153</v>
      </c>
      <c r="AT174" s="324" t="s">
        <v>148</v>
      </c>
      <c r="AU174" s="324" t="s">
        <v>81</v>
      </c>
      <c r="AY174" s="214" t="s">
        <v>146</v>
      </c>
      <c r="BE174" s="325">
        <f t="shared" si="27"/>
        <v>0</v>
      </c>
      <c r="BF174" s="325">
        <f t="shared" si="28"/>
        <v>0</v>
      </c>
      <c r="BG174" s="325">
        <f t="shared" si="29"/>
        <v>0</v>
      </c>
      <c r="BH174" s="325">
        <f t="shared" si="30"/>
        <v>0</v>
      </c>
      <c r="BI174" s="325">
        <f t="shared" si="31"/>
        <v>0</v>
      </c>
      <c r="BJ174" s="214" t="s">
        <v>81</v>
      </c>
      <c r="BK174" s="325">
        <f t="shared" si="32"/>
        <v>0</v>
      </c>
      <c r="BL174" s="214" t="s">
        <v>153</v>
      </c>
      <c r="BM174" s="324" t="s">
        <v>1921</v>
      </c>
    </row>
    <row r="175" spans="1:65" s="225" customFormat="1" ht="24.2" customHeight="1">
      <c r="A175" s="222"/>
      <c r="B175" s="223"/>
      <c r="C175" s="314">
        <f t="shared" si="22"/>
        <v>44</v>
      </c>
      <c r="D175" s="314" t="s">
        <v>148</v>
      </c>
      <c r="E175" s="315" t="s">
        <v>1922</v>
      </c>
      <c r="F175" s="316" t="s">
        <v>1923</v>
      </c>
      <c r="G175" s="317" t="s">
        <v>158</v>
      </c>
      <c r="H175" s="318">
        <v>15</v>
      </c>
      <c r="I175" s="79"/>
      <c r="J175" s="319">
        <f t="shared" si="23"/>
        <v>0</v>
      </c>
      <c r="K175" s="316" t="s">
        <v>1</v>
      </c>
      <c r="L175" s="223"/>
      <c r="M175" s="320" t="s">
        <v>1</v>
      </c>
      <c r="N175" s="321" t="s">
        <v>42</v>
      </c>
      <c r="O175" s="322">
        <v>0</v>
      </c>
      <c r="P175" s="322">
        <f t="shared" si="24"/>
        <v>0</v>
      </c>
      <c r="Q175" s="322">
        <v>0</v>
      </c>
      <c r="R175" s="322">
        <f t="shared" si="25"/>
        <v>0</v>
      </c>
      <c r="S175" s="322">
        <v>0</v>
      </c>
      <c r="T175" s="323">
        <f t="shared" si="26"/>
        <v>0</v>
      </c>
      <c r="U175" s="222"/>
      <c r="V175" s="222"/>
      <c r="W175" s="222"/>
      <c r="X175" s="222"/>
      <c r="Y175" s="222"/>
      <c r="Z175" s="222"/>
      <c r="AA175" s="222"/>
      <c r="AB175" s="222"/>
      <c r="AC175" s="222"/>
      <c r="AD175" s="222"/>
      <c r="AE175" s="222"/>
      <c r="AR175" s="324" t="s">
        <v>153</v>
      </c>
      <c r="AT175" s="324" t="s">
        <v>148</v>
      </c>
      <c r="AU175" s="324" t="s">
        <v>81</v>
      </c>
      <c r="AY175" s="214" t="s">
        <v>146</v>
      </c>
      <c r="BE175" s="325">
        <f t="shared" si="27"/>
        <v>0</v>
      </c>
      <c r="BF175" s="325">
        <f t="shared" si="28"/>
        <v>0</v>
      </c>
      <c r="BG175" s="325">
        <f t="shared" si="29"/>
        <v>0</v>
      </c>
      <c r="BH175" s="325">
        <f t="shared" si="30"/>
        <v>0</v>
      </c>
      <c r="BI175" s="325">
        <f t="shared" si="31"/>
        <v>0</v>
      </c>
      <c r="BJ175" s="214" t="s">
        <v>81</v>
      </c>
      <c r="BK175" s="325">
        <f t="shared" si="32"/>
        <v>0</v>
      </c>
      <c r="BL175" s="214" t="s">
        <v>153</v>
      </c>
      <c r="BM175" s="324" t="s">
        <v>1924</v>
      </c>
    </row>
    <row r="176" spans="1:65" s="225" customFormat="1" ht="24.2" customHeight="1">
      <c r="A176" s="222"/>
      <c r="B176" s="223"/>
      <c r="C176" s="314">
        <f t="shared" si="22"/>
        <v>45</v>
      </c>
      <c r="D176" s="314" t="s">
        <v>148</v>
      </c>
      <c r="E176" s="315" t="s">
        <v>1925</v>
      </c>
      <c r="F176" s="316" t="s">
        <v>1926</v>
      </c>
      <c r="G176" s="317" t="s">
        <v>158</v>
      </c>
      <c r="H176" s="318">
        <v>10</v>
      </c>
      <c r="I176" s="79"/>
      <c r="J176" s="319">
        <f t="shared" si="23"/>
        <v>0</v>
      </c>
      <c r="K176" s="316" t="s">
        <v>1</v>
      </c>
      <c r="L176" s="223"/>
      <c r="M176" s="320" t="s">
        <v>1</v>
      </c>
      <c r="N176" s="321" t="s">
        <v>42</v>
      </c>
      <c r="O176" s="322">
        <v>0</v>
      </c>
      <c r="P176" s="322">
        <f t="shared" si="24"/>
        <v>0</v>
      </c>
      <c r="Q176" s="322">
        <v>0</v>
      </c>
      <c r="R176" s="322">
        <f t="shared" si="25"/>
        <v>0</v>
      </c>
      <c r="S176" s="322">
        <v>0</v>
      </c>
      <c r="T176" s="323">
        <f t="shared" si="26"/>
        <v>0</v>
      </c>
      <c r="U176" s="222"/>
      <c r="V176" s="222"/>
      <c r="W176" s="222"/>
      <c r="X176" s="222"/>
      <c r="Y176" s="222"/>
      <c r="Z176" s="222"/>
      <c r="AA176" s="222"/>
      <c r="AB176" s="222"/>
      <c r="AC176" s="222"/>
      <c r="AD176" s="222"/>
      <c r="AE176" s="222"/>
      <c r="AR176" s="324" t="s">
        <v>153</v>
      </c>
      <c r="AT176" s="324" t="s">
        <v>148</v>
      </c>
      <c r="AU176" s="324" t="s">
        <v>81</v>
      </c>
      <c r="AY176" s="214" t="s">
        <v>146</v>
      </c>
      <c r="BE176" s="325">
        <f t="shared" si="27"/>
        <v>0</v>
      </c>
      <c r="BF176" s="325">
        <f t="shared" si="28"/>
        <v>0</v>
      </c>
      <c r="BG176" s="325">
        <f t="shared" si="29"/>
        <v>0</v>
      </c>
      <c r="BH176" s="325">
        <f t="shared" si="30"/>
        <v>0</v>
      </c>
      <c r="BI176" s="325">
        <f t="shared" si="31"/>
        <v>0</v>
      </c>
      <c r="BJ176" s="214" t="s">
        <v>81</v>
      </c>
      <c r="BK176" s="325">
        <f t="shared" si="32"/>
        <v>0</v>
      </c>
      <c r="BL176" s="214" t="s">
        <v>153</v>
      </c>
      <c r="BM176" s="324" t="s">
        <v>1927</v>
      </c>
    </row>
    <row r="177" spans="1:65" s="225" customFormat="1" ht="24.2" customHeight="1">
      <c r="A177" s="222"/>
      <c r="B177" s="223"/>
      <c r="C177" s="314">
        <f t="shared" si="22"/>
        <v>46</v>
      </c>
      <c r="D177" s="314" t="s">
        <v>148</v>
      </c>
      <c r="E177" s="315" t="s">
        <v>1928</v>
      </c>
      <c r="F177" s="316" t="s">
        <v>1929</v>
      </c>
      <c r="G177" s="317" t="s">
        <v>158</v>
      </c>
      <c r="H177" s="318">
        <v>20</v>
      </c>
      <c r="I177" s="79"/>
      <c r="J177" s="319">
        <f t="shared" si="23"/>
        <v>0</v>
      </c>
      <c r="K177" s="316" t="s">
        <v>1</v>
      </c>
      <c r="L177" s="223"/>
      <c r="M177" s="320" t="s">
        <v>1</v>
      </c>
      <c r="N177" s="321" t="s">
        <v>42</v>
      </c>
      <c r="O177" s="322">
        <v>0</v>
      </c>
      <c r="P177" s="322">
        <f t="shared" si="24"/>
        <v>0</v>
      </c>
      <c r="Q177" s="322">
        <v>0</v>
      </c>
      <c r="R177" s="322">
        <f t="shared" si="25"/>
        <v>0</v>
      </c>
      <c r="S177" s="322">
        <v>0</v>
      </c>
      <c r="T177" s="323">
        <f t="shared" si="26"/>
        <v>0</v>
      </c>
      <c r="U177" s="222"/>
      <c r="V177" s="222"/>
      <c r="W177" s="222"/>
      <c r="X177" s="222"/>
      <c r="Y177" s="222"/>
      <c r="Z177" s="222"/>
      <c r="AA177" s="222"/>
      <c r="AB177" s="222"/>
      <c r="AC177" s="222"/>
      <c r="AD177" s="222"/>
      <c r="AE177" s="222"/>
      <c r="AR177" s="324" t="s">
        <v>153</v>
      </c>
      <c r="AT177" s="324" t="s">
        <v>148</v>
      </c>
      <c r="AU177" s="324" t="s">
        <v>81</v>
      </c>
      <c r="AY177" s="214" t="s">
        <v>146</v>
      </c>
      <c r="BE177" s="325">
        <f t="shared" si="27"/>
        <v>0</v>
      </c>
      <c r="BF177" s="325">
        <f t="shared" si="28"/>
        <v>0</v>
      </c>
      <c r="BG177" s="325">
        <f t="shared" si="29"/>
        <v>0</v>
      </c>
      <c r="BH177" s="325">
        <f t="shared" si="30"/>
        <v>0</v>
      </c>
      <c r="BI177" s="325">
        <f t="shared" si="31"/>
        <v>0</v>
      </c>
      <c r="BJ177" s="214" t="s">
        <v>81</v>
      </c>
      <c r="BK177" s="325">
        <f t="shared" si="32"/>
        <v>0</v>
      </c>
      <c r="BL177" s="214" t="s">
        <v>153</v>
      </c>
      <c r="BM177" s="324" t="s">
        <v>1930</v>
      </c>
    </row>
    <row r="178" spans="1:65" s="225" customFormat="1" ht="37.9" customHeight="1">
      <c r="A178" s="222"/>
      <c r="B178" s="223"/>
      <c r="C178" s="314">
        <f t="shared" si="22"/>
        <v>47</v>
      </c>
      <c r="D178" s="314" t="s">
        <v>148</v>
      </c>
      <c r="E178" s="315" t="s">
        <v>1931</v>
      </c>
      <c r="F178" s="316" t="s">
        <v>1932</v>
      </c>
      <c r="G178" s="317" t="s">
        <v>158</v>
      </c>
      <c r="H178" s="318">
        <v>40</v>
      </c>
      <c r="I178" s="79"/>
      <c r="J178" s="319">
        <f t="shared" si="23"/>
        <v>0</v>
      </c>
      <c r="K178" s="316" t="s">
        <v>1</v>
      </c>
      <c r="L178" s="223"/>
      <c r="M178" s="320" t="s">
        <v>1</v>
      </c>
      <c r="N178" s="321" t="s">
        <v>42</v>
      </c>
      <c r="O178" s="322">
        <v>0</v>
      </c>
      <c r="P178" s="322">
        <f t="shared" si="24"/>
        <v>0</v>
      </c>
      <c r="Q178" s="322">
        <v>0</v>
      </c>
      <c r="R178" s="322">
        <f t="shared" si="25"/>
        <v>0</v>
      </c>
      <c r="S178" s="322">
        <v>0</v>
      </c>
      <c r="T178" s="323">
        <f t="shared" si="26"/>
        <v>0</v>
      </c>
      <c r="U178" s="222"/>
      <c r="V178" s="222"/>
      <c r="W178" s="222"/>
      <c r="X178" s="222"/>
      <c r="Y178" s="222"/>
      <c r="Z178" s="222"/>
      <c r="AA178" s="222"/>
      <c r="AB178" s="222"/>
      <c r="AC178" s="222"/>
      <c r="AD178" s="222"/>
      <c r="AE178" s="222"/>
      <c r="AR178" s="324" t="s">
        <v>153</v>
      </c>
      <c r="AT178" s="324" t="s">
        <v>148</v>
      </c>
      <c r="AU178" s="324" t="s">
        <v>81</v>
      </c>
      <c r="AY178" s="214" t="s">
        <v>146</v>
      </c>
      <c r="BE178" s="325">
        <f t="shared" si="27"/>
        <v>0</v>
      </c>
      <c r="BF178" s="325">
        <f t="shared" si="28"/>
        <v>0</v>
      </c>
      <c r="BG178" s="325">
        <f t="shared" si="29"/>
        <v>0</v>
      </c>
      <c r="BH178" s="325">
        <f t="shared" si="30"/>
        <v>0</v>
      </c>
      <c r="BI178" s="325">
        <f t="shared" si="31"/>
        <v>0</v>
      </c>
      <c r="BJ178" s="214" t="s">
        <v>81</v>
      </c>
      <c r="BK178" s="325">
        <f t="shared" si="32"/>
        <v>0</v>
      </c>
      <c r="BL178" s="214" t="s">
        <v>153</v>
      </c>
      <c r="BM178" s="324" t="s">
        <v>1933</v>
      </c>
    </row>
    <row r="179" spans="1:65" s="225" customFormat="1" ht="37.9" customHeight="1">
      <c r="A179" s="222"/>
      <c r="B179" s="223"/>
      <c r="C179" s="314">
        <f t="shared" si="22"/>
        <v>48</v>
      </c>
      <c r="D179" s="314" t="s">
        <v>148</v>
      </c>
      <c r="E179" s="315" t="s">
        <v>1934</v>
      </c>
      <c r="F179" s="316" t="s">
        <v>1935</v>
      </c>
      <c r="G179" s="317" t="s">
        <v>158</v>
      </c>
      <c r="H179" s="318">
        <v>20</v>
      </c>
      <c r="I179" s="79"/>
      <c r="J179" s="319">
        <f t="shared" si="23"/>
        <v>0</v>
      </c>
      <c r="K179" s="316" t="s">
        <v>1</v>
      </c>
      <c r="L179" s="223"/>
      <c r="M179" s="320" t="s">
        <v>1</v>
      </c>
      <c r="N179" s="321" t="s">
        <v>42</v>
      </c>
      <c r="O179" s="322">
        <v>0</v>
      </c>
      <c r="P179" s="322">
        <f t="shared" si="24"/>
        <v>0</v>
      </c>
      <c r="Q179" s="322">
        <v>0</v>
      </c>
      <c r="R179" s="322">
        <f t="shared" si="25"/>
        <v>0</v>
      </c>
      <c r="S179" s="322">
        <v>0</v>
      </c>
      <c r="T179" s="323">
        <f t="shared" si="26"/>
        <v>0</v>
      </c>
      <c r="U179" s="222"/>
      <c r="V179" s="222"/>
      <c r="W179" s="222"/>
      <c r="X179" s="222"/>
      <c r="Y179" s="222"/>
      <c r="Z179" s="222"/>
      <c r="AA179" s="222"/>
      <c r="AB179" s="222"/>
      <c r="AC179" s="222"/>
      <c r="AD179" s="222"/>
      <c r="AE179" s="222"/>
      <c r="AR179" s="324" t="s">
        <v>153</v>
      </c>
      <c r="AT179" s="324" t="s">
        <v>148</v>
      </c>
      <c r="AU179" s="324" t="s">
        <v>81</v>
      </c>
      <c r="AY179" s="214" t="s">
        <v>146</v>
      </c>
      <c r="BE179" s="325">
        <f t="shared" si="27"/>
        <v>0</v>
      </c>
      <c r="BF179" s="325">
        <f t="shared" si="28"/>
        <v>0</v>
      </c>
      <c r="BG179" s="325">
        <f t="shared" si="29"/>
        <v>0</v>
      </c>
      <c r="BH179" s="325">
        <f t="shared" si="30"/>
        <v>0</v>
      </c>
      <c r="BI179" s="325">
        <f t="shared" si="31"/>
        <v>0</v>
      </c>
      <c r="BJ179" s="214" t="s">
        <v>81</v>
      </c>
      <c r="BK179" s="325">
        <f t="shared" si="32"/>
        <v>0</v>
      </c>
      <c r="BL179" s="214" t="s">
        <v>153</v>
      </c>
      <c r="BM179" s="324" t="s">
        <v>1936</v>
      </c>
    </row>
    <row r="180" spans="1:65" s="225" customFormat="1" ht="37.9" customHeight="1">
      <c r="A180" s="222"/>
      <c r="B180" s="223"/>
      <c r="C180" s="314">
        <f t="shared" si="22"/>
        <v>49</v>
      </c>
      <c r="D180" s="314" t="s">
        <v>148</v>
      </c>
      <c r="E180" s="315" t="s">
        <v>1937</v>
      </c>
      <c r="F180" s="316" t="s">
        <v>1938</v>
      </c>
      <c r="G180" s="317" t="s">
        <v>158</v>
      </c>
      <c r="H180" s="318">
        <v>20</v>
      </c>
      <c r="I180" s="79"/>
      <c r="J180" s="319">
        <f t="shared" si="23"/>
        <v>0</v>
      </c>
      <c r="K180" s="316" t="s">
        <v>1</v>
      </c>
      <c r="L180" s="223"/>
      <c r="M180" s="320" t="s">
        <v>1</v>
      </c>
      <c r="N180" s="321" t="s">
        <v>42</v>
      </c>
      <c r="O180" s="322">
        <v>0</v>
      </c>
      <c r="P180" s="322">
        <f t="shared" si="24"/>
        <v>0</v>
      </c>
      <c r="Q180" s="322">
        <v>0</v>
      </c>
      <c r="R180" s="322">
        <f t="shared" si="25"/>
        <v>0</v>
      </c>
      <c r="S180" s="322">
        <v>0</v>
      </c>
      <c r="T180" s="323">
        <f t="shared" si="26"/>
        <v>0</v>
      </c>
      <c r="U180" s="222"/>
      <c r="V180" s="222"/>
      <c r="W180" s="222"/>
      <c r="X180" s="222"/>
      <c r="Y180" s="222"/>
      <c r="Z180" s="222"/>
      <c r="AA180" s="222"/>
      <c r="AB180" s="222"/>
      <c r="AC180" s="222"/>
      <c r="AD180" s="222"/>
      <c r="AE180" s="222"/>
      <c r="AR180" s="324" t="s">
        <v>153</v>
      </c>
      <c r="AT180" s="324" t="s">
        <v>148</v>
      </c>
      <c r="AU180" s="324" t="s">
        <v>81</v>
      </c>
      <c r="AY180" s="214" t="s">
        <v>146</v>
      </c>
      <c r="BE180" s="325">
        <f t="shared" si="27"/>
        <v>0</v>
      </c>
      <c r="BF180" s="325">
        <f t="shared" si="28"/>
        <v>0</v>
      </c>
      <c r="BG180" s="325">
        <f t="shared" si="29"/>
        <v>0</v>
      </c>
      <c r="BH180" s="325">
        <f t="shared" si="30"/>
        <v>0</v>
      </c>
      <c r="BI180" s="325">
        <f t="shared" si="31"/>
        <v>0</v>
      </c>
      <c r="BJ180" s="214" t="s">
        <v>81</v>
      </c>
      <c r="BK180" s="325">
        <f t="shared" si="32"/>
        <v>0</v>
      </c>
      <c r="BL180" s="214" t="s">
        <v>153</v>
      </c>
      <c r="BM180" s="324" t="s">
        <v>1939</v>
      </c>
    </row>
    <row r="181" spans="1:65" s="225" customFormat="1" ht="24.2" customHeight="1">
      <c r="A181" s="222"/>
      <c r="B181" s="223"/>
      <c r="C181" s="314">
        <f t="shared" si="22"/>
        <v>50</v>
      </c>
      <c r="D181" s="314" t="s">
        <v>148</v>
      </c>
      <c r="E181" s="315" t="s">
        <v>1940</v>
      </c>
      <c r="F181" s="316" t="s">
        <v>1941</v>
      </c>
      <c r="G181" s="317" t="s">
        <v>158</v>
      </c>
      <c r="H181" s="318">
        <v>35</v>
      </c>
      <c r="I181" s="79"/>
      <c r="J181" s="319">
        <f t="shared" si="23"/>
        <v>0</v>
      </c>
      <c r="K181" s="316" t="s">
        <v>1</v>
      </c>
      <c r="L181" s="223"/>
      <c r="M181" s="320" t="s">
        <v>1</v>
      </c>
      <c r="N181" s="321" t="s">
        <v>42</v>
      </c>
      <c r="O181" s="322">
        <v>0</v>
      </c>
      <c r="P181" s="322">
        <f t="shared" si="24"/>
        <v>0</v>
      </c>
      <c r="Q181" s="322">
        <v>0</v>
      </c>
      <c r="R181" s="322">
        <f t="shared" si="25"/>
        <v>0</v>
      </c>
      <c r="S181" s="322">
        <v>0</v>
      </c>
      <c r="T181" s="323">
        <f t="shared" si="26"/>
        <v>0</v>
      </c>
      <c r="U181" s="222"/>
      <c r="V181" s="222"/>
      <c r="W181" s="222"/>
      <c r="X181" s="222"/>
      <c r="Y181" s="222"/>
      <c r="Z181" s="222"/>
      <c r="AA181" s="222"/>
      <c r="AB181" s="222"/>
      <c r="AC181" s="222"/>
      <c r="AD181" s="222"/>
      <c r="AE181" s="222"/>
      <c r="AR181" s="324" t="s">
        <v>153</v>
      </c>
      <c r="AT181" s="324" t="s">
        <v>148</v>
      </c>
      <c r="AU181" s="324" t="s">
        <v>81</v>
      </c>
      <c r="AY181" s="214" t="s">
        <v>146</v>
      </c>
      <c r="BE181" s="325">
        <f t="shared" si="27"/>
        <v>0</v>
      </c>
      <c r="BF181" s="325">
        <f t="shared" si="28"/>
        <v>0</v>
      </c>
      <c r="BG181" s="325">
        <f t="shared" si="29"/>
        <v>0</v>
      </c>
      <c r="BH181" s="325">
        <f t="shared" si="30"/>
        <v>0</v>
      </c>
      <c r="BI181" s="325">
        <f t="shared" si="31"/>
        <v>0</v>
      </c>
      <c r="BJ181" s="214" t="s">
        <v>81</v>
      </c>
      <c r="BK181" s="325">
        <f t="shared" si="32"/>
        <v>0</v>
      </c>
      <c r="BL181" s="214" t="s">
        <v>153</v>
      </c>
      <c r="BM181" s="324" t="s">
        <v>1942</v>
      </c>
    </row>
    <row r="182" spans="1:65" s="225" customFormat="1" ht="37.9" customHeight="1">
      <c r="A182" s="222"/>
      <c r="B182" s="223"/>
      <c r="C182" s="314">
        <f t="shared" si="22"/>
        <v>51</v>
      </c>
      <c r="D182" s="314" t="s">
        <v>148</v>
      </c>
      <c r="E182" s="315" t="s">
        <v>1943</v>
      </c>
      <c r="F182" s="316" t="s">
        <v>1944</v>
      </c>
      <c r="G182" s="317" t="s">
        <v>158</v>
      </c>
      <c r="H182" s="318">
        <v>115</v>
      </c>
      <c r="I182" s="79"/>
      <c r="J182" s="319">
        <f t="shared" si="23"/>
        <v>0</v>
      </c>
      <c r="K182" s="316" t="s">
        <v>1</v>
      </c>
      <c r="L182" s="223"/>
      <c r="M182" s="320" t="s">
        <v>1</v>
      </c>
      <c r="N182" s="321" t="s">
        <v>42</v>
      </c>
      <c r="O182" s="322">
        <v>0</v>
      </c>
      <c r="P182" s="322">
        <f t="shared" si="24"/>
        <v>0</v>
      </c>
      <c r="Q182" s="322">
        <v>0</v>
      </c>
      <c r="R182" s="322">
        <f t="shared" si="25"/>
        <v>0</v>
      </c>
      <c r="S182" s="322">
        <v>0</v>
      </c>
      <c r="T182" s="323">
        <f t="shared" si="26"/>
        <v>0</v>
      </c>
      <c r="U182" s="222"/>
      <c r="V182" s="222"/>
      <c r="W182" s="222"/>
      <c r="X182" s="222"/>
      <c r="Y182" s="222"/>
      <c r="Z182" s="222"/>
      <c r="AA182" s="222"/>
      <c r="AB182" s="222"/>
      <c r="AC182" s="222"/>
      <c r="AD182" s="222"/>
      <c r="AE182" s="222"/>
      <c r="AR182" s="324" t="s">
        <v>153</v>
      </c>
      <c r="AT182" s="324" t="s">
        <v>148</v>
      </c>
      <c r="AU182" s="324" t="s">
        <v>81</v>
      </c>
      <c r="AY182" s="214" t="s">
        <v>146</v>
      </c>
      <c r="BE182" s="325">
        <f t="shared" si="27"/>
        <v>0</v>
      </c>
      <c r="BF182" s="325">
        <f t="shared" si="28"/>
        <v>0</v>
      </c>
      <c r="BG182" s="325">
        <f t="shared" si="29"/>
        <v>0</v>
      </c>
      <c r="BH182" s="325">
        <f t="shared" si="30"/>
        <v>0</v>
      </c>
      <c r="BI182" s="325">
        <f t="shared" si="31"/>
        <v>0</v>
      </c>
      <c r="BJ182" s="214" t="s">
        <v>81</v>
      </c>
      <c r="BK182" s="325">
        <f t="shared" si="32"/>
        <v>0</v>
      </c>
      <c r="BL182" s="214" t="s">
        <v>153</v>
      </c>
      <c r="BM182" s="324" t="s">
        <v>1945</v>
      </c>
    </row>
    <row r="183" spans="1:65" s="225" customFormat="1" ht="37.9" customHeight="1">
      <c r="A183" s="222"/>
      <c r="B183" s="223"/>
      <c r="C183" s="314">
        <f t="shared" si="22"/>
        <v>52</v>
      </c>
      <c r="D183" s="314" t="s">
        <v>148</v>
      </c>
      <c r="E183" s="315" t="s">
        <v>1946</v>
      </c>
      <c r="F183" s="316" t="s">
        <v>1947</v>
      </c>
      <c r="G183" s="317" t="s">
        <v>158</v>
      </c>
      <c r="H183" s="318">
        <v>25</v>
      </c>
      <c r="I183" s="79"/>
      <c r="J183" s="319">
        <f t="shared" si="23"/>
        <v>0</v>
      </c>
      <c r="K183" s="316" t="s">
        <v>1</v>
      </c>
      <c r="L183" s="223"/>
      <c r="M183" s="320" t="s">
        <v>1</v>
      </c>
      <c r="N183" s="321" t="s">
        <v>42</v>
      </c>
      <c r="O183" s="322">
        <v>0</v>
      </c>
      <c r="P183" s="322">
        <f t="shared" si="24"/>
        <v>0</v>
      </c>
      <c r="Q183" s="322">
        <v>0</v>
      </c>
      <c r="R183" s="322">
        <f t="shared" si="25"/>
        <v>0</v>
      </c>
      <c r="S183" s="322">
        <v>0</v>
      </c>
      <c r="T183" s="323">
        <f t="shared" si="26"/>
        <v>0</v>
      </c>
      <c r="U183" s="222"/>
      <c r="V183" s="222"/>
      <c r="W183" s="222"/>
      <c r="X183" s="222"/>
      <c r="Y183" s="222"/>
      <c r="Z183" s="222"/>
      <c r="AA183" s="222"/>
      <c r="AB183" s="222"/>
      <c r="AC183" s="222"/>
      <c r="AD183" s="222"/>
      <c r="AE183" s="222"/>
      <c r="AR183" s="324" t="s">
        <v>153</v>
      </c>
      <c r="AT183" s="324" t="s">
        <v>148</v>
      </c>
      <c r="AU183" s="324" t="s">
        <v>81</v>
      </c>
      <c r="AY183" s="214" t="s">
        <v>146</v>
      </c>
      <c r="BE183" s="325">
        <f t="shared" si="27"/>
        <v>0</v>
      </c>
      <c r="BF183" s="325">
        <f t="shared" si="28"/>
        <v>0</v>
      </c>
      <c r="BG183" s="325">
        <f t="shared" si="29"/>
        <v>0</v>
      </c>
      <c r="BH183" s="325">
        <f t="shared" si="30"/>
        <v>0</v>
      </c>
      <c r="BI183" s="325">
        <f t="shared" si="31"/>
        <v>0</v>
      </c>
      <c r="BJ183" s="214" t="s">
        <v>81</v>
      </c>
      <c r="BK183" s="325">
        <f t="shared" si="32"/>
        <v>0</v>
      </c>
      <c r="BL183" s="214" t="s">
        <v>153</v>
      </c>
      <c r="BM183" s="324" t="s">
        <v>1948</v>
      </c>
    </row>
    <row r="184" spans="1:65" s="225" customFormat="1" ht="37.9" customHeight="1">
      <c r="A184" s="222"/>
      <c r="B184" s="223"/>
      <c r="C184" s="314">
        <f t="shared" si="22"/>
        <v>53</v>
      </c>
      <c r="D184" s="314" t="s">
        <v>148</v>
      </c>
      <c r="E184" s="315" t="s">
        <v>1949</v>
      </c>
      <c r="F184" s="316" t="s">
        <v>1950</v>
      </c>
      <c r="G184" s="317" t="s">
        <v>158</v>
      </c>
      <c r="H184" s="318">
        <v>10</v>
      </c>
      <c r="I184" s="79"/>
      <c r="J184" s="319">
        <f t="shared" si="23"/>
        <v>0</v>
      </c>
      <c r="K184" s="316" t="s">
        <v>1</v>
      </c>
      <c r="L184" s="223"/>
      <c r="M184" s="320" t="s">
        <v>1</v>
      </c>
      <c r="N184" s="321" t="s">
        <v>42</v>
      </c>
      <c r="O184" s="322">
        <v>0</v>
      </c>
      <c r="P184" s="322">
        <f t="shared" si="24"/>
        <v>0</v>
      </c>
      <c r="Q184" s="322">
        <v>0</v>
      </c>
      <c r="R184" s="322">
        <f t="shared" si="25"/>
        <v>0</v>
      </c>
      <c r="S184" s="322">
        <v>0</v>
      </c>
      <c r="T184" s="323">
        <f t="shared" si="26"/>
        <v>0</v>
      </c>
      <c r="U184" s="222"/>
      <c r="V184" s="222"/>
      <c r="W184" s="222"/>
      <c r="X184" s="222"/>
      <c r="Y184" s="222"/>
      <c r="Z184" s="222"/>
      <c r="AA184" s="222"/>
      <c r="AB184" s="222"/>
      <c r="AC184" s="222"/>
      <c r="AD184" s="222"/>
      <c r="AE184" s="222"/>
      <c r="AR184" s="324" t="s">
        <v>153</v>
      </c>
      <c r="AT184" s="324" t="s">
        <v>148</v>
      </c>
      <c r="AU184" s="324" t="s">
        <v>81</v>
      </c>
      <c r="AY184" s="214" t="s">
        <v>146</v>
      </c>
      <c r="BE184" s="325">
        <f t="shared" si="27"/>
        <v>0</v>
      </c>
      <c r="BF184" s="325">
        <f t="shared" si="28"/>
        <v>0</v>
      </c>
      <c r="BG184" s="325">
        <f t="shared" si="29"/>
        <v>0</v>
      </c>
      <c r="BH184" s="325">
        <f t="shared" si="30"/>
        <v>0</v>
      </c>
      <c r="BI184" s="325">
        <f t="shared" si="31"/>
        <v>0</v>
      </c>
      <c r="BJ184" s="214" t="s">
        <v>81</v>
      </c>
      <c r="BK184" s="325">
        <f t="shared" si="32"/>
        <v>0</v>
      </c>
      <c r="BL184" s="214" t="s">
        <v>153</v>
      </c>
      <c r="BM184" s="324" t="s">
        <v>1951</v>
      </c>
    </row>
    <row r="185" spans="1:65" s="225" customFormat="1" ht="37.9" customHeight="1">
      <c r="A185" s="222"/>
      <c r="B185" s="223"/>
      <c r="C185" s="314">
        <f t="shared" si="22"/>
        <v>54</v>
      </c>
      <c r="D185" s="314" t="s">
        <v>148</v>
      </c>
      <c r="E185" s="315" t="s">
        <v>1952</v>
      </c>
      <c r="F185" s="316" t="s">
        <v>1953</v>
      </c>
      <c r="G185" s="317" t="s">
        <v>158</v>
      </c>
      <c r="H185" s="318">
        <v>20</v>
      </c>
      <c r="I185" s="79"/>
      <c r="J185" s="319">
        <f t="shared" si="23"/>
        <v>0</v>
      </c>
      <c r="K185" s="316" t="s">
        <v>1</v>
      </c>
      <c r="L185" s="223"/>
      <c r="M185" s="320" t="s">
        <v>1</v>
      </c>
      <c r="N185" s="321" t="s">
        <v>42</v>
      </c>
      <c r="O185" s="322">
        <v>0</v>
      </c>
      <c r="P185" s="322">
        <f t="shared" si="24"/>
        <v>0</v>
      </c>
      <c r="Q185" s="322">
        <v>0</v>
      </c>
      <c r="R185" s="322">
        <f t="shared" si="25"/>
        <v>0</v>
      </c>
      <c r="S185" s="322">
        <v>0</v>
      </c>
      <c r="T185" s="323">
        <f t="shared" si="26"/>
        <v>0</v>
      </c>
      <c r="U185" s="222"/>
      <c r="V185" s="222"/>
      <c r="W185" s="222"/>
      <c r="X185" s="222"/>
      <c r="Y185" s="222"/>
      <c r="Z185" s="222"/>
      <c r="AA185" s="222"/>
      <c r="AB185" s="222"/>
      <c r="AC185" s="222"/>
      <c r="AD185" s="222"/>
      <c r="AE185" s="222"/>
      <c r="AR185" s="324" t="s">
        <v>153</v>
      </c>
      <c r="AT185" s="324" t="s">
        <v>148</v>
      </c>
      <c r="AU185" s="324" t="s">
        <v>81</v>
      </c>
      <c r="AY185" s="214" t="s">
        <v>146</v>
      </c>
      <c r="BE185" s="325">
        <f t="shared" si="27"/>
        <v>0</v>
      </c>
      <c r="BF185" s="325">
        <f t="shared" si="28"/>
        <v>0</v>
      </c>
      <c r="BG185" s="325">
        <f t="shared" si="29"/>
        <v>0</v>
      </c>
      <c r="BH185" s="325">
        <f t="shared" si="30"/>
        <v>0</v>
      </c>
      <c r="BI185" s="325">
        <f t="shared" si="31"/>
        <v>0</v>
      </c>
      <c r="BJ185" s="214" t="s">
        <v>81</v>
      </c>
      <c r="BK185" s="325">
        <f t="shared" si="32"/>
        <v>0</v>
      </c>
      <c r="BL185" s="214" t="s">
        <v>153</v>
      </c>
      <c r="BM185" s="324" t="s">
        <v>1954</v>
      </c>
    </row>
    <row r="186" spans="1:65" s="225" customFormat="1" ht="33" customHeight="1">
      <c r="A186" s="222"/>
      <c r="B186" s="223"/>
      <c r="C186" s="314">
        <f t="shared" si="22"/>
        <v>55</v>
      </c>
      <c r="D186" s="314" t="s">
        <v>148</v>
      </c>
      <c r="E186" s="315" t="s">
        <v>1955</v>
      </c>
      <c r="F186" s="316" t="s">
        <v>1956</v>
      </c>
      <c r="G186" s="317" t="s">
        <v>158</v>
      </c>
      <c r="H186" s="318">
        <v>65</v>
      </c>
      <c r="I186" s="79"/>
      <c r="J186" s="319">
        <f t="shared" si="23"/>
        <v>0</v>
      </c>
      <c r="K186" s="316" t="s">
        <v>1</v>
      </c>
      <c r="L186" s="223"/>
      <c r="M186" s="320" t="s">
        <v>1</v>
      </c>
      <c r="N186" s="321" t="s">
        <v>42</v>
      </c>
      <c r="O186" s="322">
        <v>0</v>
      </c>
      <c r="P186" s="322">
        <f t="shared" si="24"/>
        <v>0</v>
      </c>
      <c r="Q186" s="322">
        <v>0</v>
      </c>
      <c r="R186" s="322">
        <f t="shared" si="25"/>
        <v>0</v>
      </c>
      <c r="S186" s="322">
        <v>0</v>
      </c>
      <c r="T186" s="323">
        <f t="shared" si="26"/>
        <v>0</v>
      </c>
      <c r="U186" s="222"/>
      <c r="V186" s="222"/>
      <c r="W186" s="222"/>
      <c r="X186" s="222"/>
      <c r="Y186" s="222"/>
      <c r="Z186" s="222"/>
      <c r="AA186" s="222"/>
      <c r="AB186" s="222"/>
      <c r="AC186" s="222"/>
      <c r="AD186" s="222"/>
      <c r="AE186" s="222"/>
      <c r="AR186" s="324" t="s">
        <v>153</v>
      </c>
      <c r="AT186" s="324" t="s">
        <v>148</v>
      </c>
      <c r="AU186" s="324" t="s">
        <v>81</v>
      </c>
      <c r="AY186" s="214" t="s">
        <v>146</v>
      </c>
      <c r="BE186" s="325">
        <f t="shared" si="27"/>
        <v>0</v>
      </c>
      <c r="BF186" s="325">
        <f t="shared" si="28"/>
        <v>0</v>
      </c>
      <c r="BG186" s="325">
        <f t="shared" si="29"/>
        <v>0</v>
      </c>
      <c r="BH186" s="325">
        <f t="shared" si="30"/>
        <v>0</v>
      </c>
      <c r="BI186" s="325">
        <f t="shared" si="31"/>
        <v>0</v>
      </c>
      <c r="BJ186" s="214" t="s">
        <v>81</v>
      </c>
      <c r="BK186" s="325">
        <f t="shared" si="32"/>
        <v>0</v>
      </c>
      <c r="BL186" s="214" t="s">
        <v>153</v>
      </c>
      <c r="BM186" s="324" t="s">
        <v>1957</v>
      </c>
    </row>
    <row r="187" spans="1:65" s="225" customFormat="1" ht="33" customHeight="1">
      <c r="A187" s="222"/>
      <c r="B187" s="223"/>
      <c r="C187" s="314">
        <f t="shared" si="22"/>
        <v>56</v>
      </c>
      <c r="D187" s="314" t="s">
        <v>148</v>
      </c>
      <c r="E187" s="315" t="s">
        <v>1958</v>
      </c>
      <c r="F187" s="316" t="s">
        <v>1959</v>
      </c>
      <c r="G187" s="317" t="s">
        <v>158</v>
      </c>
      <c r="H187" s="318">
        <v>15</v>
      </c>
      <c r="I187" s="79"/>
      <c r="J187" s="319">
        <f t="shared" si="23"/>
        <v>0</v>
      </c>
      <c r="K187" s="316" t="s">
        <v>1</v>
      </c>
      <c r="L187" s="223"/>
      <c r="M187" s="320" t="s">
        <v>1</v>
      </c>
      <c r="N187" s="321" t="s">
        <v>42</v>
      </c>
      <c r="O187" s="322">
        <v>0</v>
      </c>
      <c r="P187" s="322">
        <f t="shared" si="24"/>
        <v>0</v>
      </c>
      <c r="Q187" s="322">
        <v>0</v>
      </c>
      <c r="R187" s="322">
        <f t="shared" si="25"/>
        <v>0</v>
      </c>
      <c r="S187" s="322">
        <v>0</v>
      </c>
      <c r="T187" s="323">
        <f t="shared" si="26"/>
        <v>0</v>
      </c>
      <c r="U187" s="222"/>
      <c r="V187" s="222"/>
      <c r="W187" s="222"/>
      <c r="X187" s="222"/>
      <c r="Y187" s="222"/>
      <c r="Z187" s="222"/>
      <c r="AA187" s="222"/>
      <c r="AB187" s="222"/>
      <c r="AC187" s="222"/>
      <c r="AD187" s="222"/>
      <c r="AE187" s="222"/>
      <c r="AR187" s="324" t="s">
        <v>153</v>
      </c>
      <c r="AT187" s="324" t="s">
        <v>148</v>
      </c>
      <c r="AU187" s="324" t="s">
        <v>81</v>
      </c>
      <c r="AY187" s="214" t="s">
        <v>146</v>
      </c>
      <c r="BE187" s="325">
        <f t="shared" si="27"/>
        <v>0</v>
      </c>
      <c r="BF187" s="325">
        <f t="shared" si="28"/>
        <v>0</v>
      </c>
      <c r="BG187" s="325">
        <f t="shared" si="29"/>
        <v>0</v>
      </c>
      <c r="BH187" s="325">
        <f t="shared" si="30"/>
        <v>0</v>
      </c>
      <c r="BI187" s="325">
        <f t="shared" si="31"/>
        <v>0</v>
      </c>
      <c r="BJ187" s="214" t="s">
        <v>81</v>
      </c>
      <c r="BK187" s="325">
        <f t="shared" si="32"/>
        <v>0</v>
      </c>
      <c r="BL187" s="214" t="s">
        <v>153</v>
      </c>
      <c r="BM187" s="324" t="s">
        <v>1960</v>
      </c>
    </row>
    <row r="188" spans="1:65" s="225" customFormat="1" ht="33" customHeight="1">
      <c r="A188" s="222"/>
      <c r="B188" s="223"/>
      <c r="C188" s="314">
        <f t="shared" si="22"/>
        <v>57</v>
      </c>
      <c r="D188" s="314" t="s">
        <v>148</v>
      </c>
      <c r="E188" s="315" t="s">
        <v>1961</v>
      </c>
      <c r="F188" s="316" t="s">
        <v>1962</v>
      </c>
      <c r="G188" s="317" t="s">
        <v>158</v>
      </c>
      <c r="H188" s="318">
        <v>60</v>
      </c>
      <c r="I188" s="79"/>
      <c r="J188" s="319">
        <f t="shared" si="23"/>
        <v>0</v>
      </c>
      <c r="K188" s="316" t="s">
        <v>1</v>
      </c>
      <c r="L188" s="223"/>
      <c r="M188" s="320" t="s">
        <v>1</v>
      </c>
      <c r="N188" s="321" t="s">
        <v>42</v>
      </c>
      <c r="O188" s="322">
        <v>0</v>
      </c>
      <c r="P188" s="322">
        <f t="shared" si="24"/>
        <v>0</v>
      </c>
      <c r="Q188" s="322">
        <v>0</v>
      </c>
      <c r="R188" s="322">
        <f t="shared" si="25"/>
        <v>0</v>
      </c>
      <c r="S188" s="322">
        <v>0</v>
      </c>
      <c r="T188" s="323">
        <f t="shared" si="26"/>
        <v>0</v>
      </c>
      <c r="U188" s="222"/>
      <c r="V188" s="222"/>
      <c r="W188" s="222"/>
      <c r="X188" s="222"/>
      <c r="Y188" s="222"/>
      <c r="Z188" s="222"/>
      <c r="AA188" s="222"/>
      <c r="AB188" s="222"/>
      <c r="AC188" s="222"/>
      <c r="AD188" s="222"/>
      <c r="AE188" s="222"/>
      <c r="AR188" s="324" t="s">
        <v>153</v>
      </c>
      <c r="AT188" s="324" t="s">
        <v>148</v>
      </c>
      <c r="AU188" s="324" t="s">
        <v>81</v>
      </c>
      <c r="AY188" s="214" t="s">
        <v>146</v>
      </c>
      <c r="BE188" s="325">
        <f t="shared" si="27"/>
        <v>0</v>
      </c>
      <c r="BF188" s="325">
        <f t="shared" si="28"/>
        <v>0</v>
      </c>
      <c r="BG188" s="325">
        <f t="shared" si="29"/>
        <v>0</v>
      </c>
      <c r="BH188" s="325">
        <f t="shared" si="30"/>
        <v>0</v>
      </c>
      <c r="BI188" s="325">
        <f t="shared" si="31"/>
        <v>0</v>
      </c>
      <c r="BJ188" s="214" t="s">
        <v>81</v>
      </c>
      <c r="BK188" s="325">
        <f t="shared" si="32"/>
        <v>0</v>
      </c>
      <c r="BL188" s="214" t="s">
        <v>153</v>
      </c>
      <c r="BM188" s="324" t="s">
        <v>1963</v>
      </c>
    </row>
    <row r="189" spans="1:65" s="225" customFormat="1" ht="33" customHeight="1">
      <c r="A189" s="222"/>
      <c r="B189" s="223"/>
      <c r="C189" s="314">
        <f t="shared" si="22"/>
        <v>58</v>
      </c>
      <c r="D189" s="314" t="s">
        <v>148</v>
      </c>
      <c r="E189" s="315" t="s">
        <v>1964</v>
      </c>
      <c r="F189" s="316" t="s">
        <v>1965</v>
      </c>
      <c r="G189" s="317" t="s">
        <v>158</v>
      </c>
      <c r="H189" s="318">
        <v>20</v>
      </c>
      <c r="I189" s="79"/>
      <c r="J189" s="319">
        <f t="shared" si="23"/>
        <v>0</v>
      </c>
      <c r="K189" s="316" t="s">
        <v>1</v>
      </c>
      <c r="L189" s="223"/>
      <c r="M189" s="320" t="s">
        <v>1</v>
      </c>
      <c r="N189" s="321" t="s">
        <v>42</v>
      </c>
      <c r="O189" s="322">
        <v>0</v>
      </c>
      <c r="P189" s="322">
        <f t="shared" si="24"/>
        <v>0</v>
      </c>
      <c r="Q189" s="322">
        <v>0</v>
      </c>
      <c r="R189" s="322">
        <f t="shared" si="25"/>
        <v>0</v>
      </c>
      <c r="S189" s="322">
        <v>0</v>
      </c>
      <c r="T189" s="323">
        <f t="shared" si="26"/>
        <v>0</v>
      </c>
      <c r="U189" s="222"/>
      <c r="V189" s="222"/>
      <c r="W189" s="222"/>
      <c r="X189" s="222"/>
      <c r="Y189" s="222"/>
      <c r="Z189" s="222"/>
      <c r="AA189" s="222"/>
      <c r="AB189" s="222"/>
      <c r="AC189" s="222"/>
      <c r="AD189" s="222"/>
      <c r="AE189" s="222"/>
      <c r="AR189" s="324" t="s">
        <v>153</v>
      </c>
      <c r="AT189" s="324" t="s">
        <v>148</v>
      </c>
      <c r="AU189" s="324" t="s">
        <v>81</v>
      </c>
      <c r="AY189" s="214" t="s">
        <v>146</v>
      </c>
      <c r="BE189" s="325">
        <f t="shared" si="27"/>
        <v>0</v>
      </c>
      <c r="BF189" s="325">
        <f t="shared" si="28"/>
        <v>0</v>
      </c>
      <c r="BG189" s="325">
        <f t="shared" si="29"/>
        <v>0</v>
      </c>
      <c r="BH189" s="325">
        <f t="shared" si="30"/>
        <v>0</v>
      </c>
      <c r="BI189" s="325">
        <f t="shared" si="31"/>
        <v>0</v>
      </c>
      <c r="BJ189" s="214" t="s">
        <v>81</v>
      </c>
      <c r="BK189" s="325">
        <f t="shared" si="32"/>
        <v>0</v>
      </c>
      <c r="BL189" s="214" t="s">
        <v>153</v>
      </c>
      <c r="BM189" s="324" t="s">
        <v>1966</v>
      </c>
    </row>
    <row r="190" spans="1:65" s="225" customFormat="1" ht="24.2" customHeight="1">
      <c r="A190" s="222"/>
      <c r="B190" s="223"/>
      <c r="C190" s="314">
        <f t="shared" si="22"/>
        <v>59</v>
      </c>
      <c r="D190" s="314" t="s">
        <v>148</v>
      </c>
      <c r="E190" s="315" t="s">
        <v>1967</v>
      </c>
      <c r="F190" s="316" t="s">
        <v>1968</v>
      </c>
      <c r="G190" s="317" t="s">
        <v>301</v>
      </c>
      <c r="H190" s="318">
        <v>1</v>
      </c>
      <c r="I190" s="79"/>
      <c r="J190" s="319">
        <f t="shared" si="23"/>
        <v>0</v>
      </c>
      <c r="K190" s="316" t="s">
        <v>1</v>
      </c>
      <c r="L190" s="223"/>
      <c r="M190" s="320" t="s">
        <v>1</v>
      </c>
      <c r="N190" s="321" t="s">
        <v>42</v>
      </c>
      <c r="O190" s="322">
        <v>0</v>
      </c>
      <c r="P190" s="322">
        <f t="shared" si="24"/>
        <v>0</v>
      </c>
      <c r="Q190" s="322">
        <v>0</v>
      </c>
      <c r="R190" s="322">
        <f t="shared" si="25"/>
        <v>0</v>
      </c>
      <c r="S190" s="322">
        <v>0</v>
      </c>
      <c r="T190" s="323">
        <f t="shared" si="26"/>
        <v>0</v>
      </c>
      <c r="U190" s="222"/>
      <c r="V190" s="222"/>
      <c r="W190" s="222"/>
      <c r="X190" s="222"/>
      <c r="Y190" s="222"/>
      <c r="Z190" s="222"/>
      <c r="AA190" s="222"/>
      <c r="AB190" s="222"/>
      <c r="AC190" s="222"/>
      <c r="AD190" s="222"/>
      <c r="AE190" s="222"/>
      <c r="AR190" s="324" t="s">
        <v>153</v>
      </c>
      <c r="AT190" s="324" t="s">
        <v>148</v>
      </c>
      <c r="AU190" s="324" t="s">
        <v>81</v>
      </c>
      <c r="AY190" s="214" t="s">
        <v>146</v>
      </c>
      <c r="BE190" s="325">
        <f t="shared" si="27"/>
        <v>0</v>
      </c>
      <c r="BF190" s="325">
        <f t="shared" si="28"/>
        <v>0</v>
      </c>
      <c r="BG190" s="325">
        <f t="shared" si="29"/>
        <v>0</v>
      </c>
      <c r="BH190" s="325">
        <f t="shared" si="30"/>
        <v>0</v>
      </c>
      <c r="BI190" s="325">
        <f t="shared" si="31"/>
        <v>0</v>
      </c>
      <c r="BJ190" s="214" t="s">
        <v>81</v>
      </c>
      <c r="BK190" s="325">
        <f t="shared" si="32"/>
        <v>0</v>
      </c>
      <c r="BL190" s="214" t="s">
        <v>153</v>
      </c>
      <c r="BM190" s="324" t="s">
        <v>1969</v>
      </c>
    </row>
    <row r="191" spans="1:65" s="225" customFormat="1" ht="24.2" customHeight="1">
      <c r="A191" s="222"/>
      <c r="B191" s="223"/>
      <c r="C191" s="314">
        <f t="shared" si="22"/>
        <v>60</v>
      </c>
      <c r="D191" s="314" t="s">
        <v>148</v>
      </c>
      <c r="E191" s="315" t="s">
        <v>1970</v>
      </c>
      <c r="F191" s="316" t="s">
        <v>1971</v>
      </c>
      <c r="G191" s="317" t="s">
        <v>301</v>
      </c>
      <c r="H191" s="318">
        <v>1</v>
      </c>
      <c r="I191" s="79"/>
      <c r="J191" s="319">
        <f t="shared" si="23"/>
        <v>0</v>
      </c>
      <c r="K191" s="316" t="s">
        <v>1</v>
      </c>
      <c r="L191" s="223"/>
      <c r="M191" s="320" t="s">
        <v>1</v>
      </c>
      <c r="N191" s="321" t="s">
        <v>42</v>
      </c>
      <c r="O191" s="322">
        <v>0</v>
      </c>
      <c r="P191" s="322">
        <f t="shared" si="24"/>
        <v>0</v>
      </c>
      <c r="Q191" s="322">
        <v>0</v>
      </c>
      <c r="R191" s="322">
        <f t="shared" si="25"/>
        <v>0</v>
      </c>
      <c r="S191" s="322">
        <v>0</v>
      </c>
      <c r="T191" s="323">
        <f t="shared" si="26"/>
        <v>0</v>
      </c>
      <c r="U191" s="222"/>
      <c r="V191" s="222"/>
      <c r="W191" s="222"/>
      <c r="X191" s="222"/>
      <c r="Y191" s="222"/>
      <c r="Z191" s="222"/>
      <c r="AA191" s="222"/>
      <c r="AB191" s="222"/>
      <c r="AC191" s="222"/>
      <c r="AD191" s="222"/>
      <c r="AE191" s="222"/>
      <c r="AR191" s="324" t="s">
        <v>153</v>
      </c>
      <c r="AT191" s="324" t="s">
        <v>148</v>
      </c>
      <c r="AU191" s="324" t="s">
        <v>81</v>
      </c>
      <c r="AY191" s="214" t="s">
        <v>146</v>
      </c>
      <c r="BE191" s="325">
        <f t="shared" si="27"/>
        <v>0</v>
      </c>
      <c r="BF191" s="325">
        <f t="shared" si="28"/>
        <v>0</v>
      </c>
      <c r="BG191" s="325">
        <f t="shared" si="29"/>
        <v>0</v>
      </c>
      <c r="BH191" s="325">
        <f t="shared" si="30"/>
        <v>0</v>
      </c>
      <c r="BI191" s="325">
        <f t="shared" si="31"/>
        <v>0</v>
      </c>
      <c r="BJ191" s="214" t="s">
        <v>81</v>
      </c>
      <c r="BK191" s="325">
        <f t="shared" si="32"/>
        <v>0</v>
      </c>
      <c r="BL191" s="214" t="s">
        <v>153</v>
      </c>
      <c r="BM191" s="324" t="s">
        <v>1972</v>
      </c>
    </row>
    <row r="192" spans="1:65" s="225" customFormat="1" ht="24.2" customHeight="1">
      <c r="A192" s="222"/>
      <c r="B192" s="223"/>
      <c r="C192" s="314">
        <f t="shared" si="22"/>
        <v>61</v>
      </c>
      <c r="D192" s="314" t="s">
        <v>148</v>
      </c>
      <c r="E192" s="315" t="s">
        <v>1973</v>
      </c>
      <c r="F192" s="316" t="s">
        <v>1974</v>
      </c>
      <c r="G192" s="317" t="s">
        <v>301</v>
      </c>
      <c r="H192" s="318">
        <v>1</v>
      </c>
      <c r="I192" s="79"/>
      <c r="J192" s="319">
        <f t="shared" si="23"/>
        <v>0</v>
      </c>
      <c r="K192" s="316" t="s">
        <v>1</v>
      </c>
      <c r="L192" s="223"/>
      <c r="M192" s="320" t="s">
        <v>1</v>
      </c>
      <c r="N192" s="321" t="s">
        <v>42</v>
      </c>
      <c r="O192" s="322">
        <v>0</v>
      </c>
      <c r="P192" s="322">
        <f t="shared" si="24"/>
        <v>0</v>
      </c>
      <c r="Q192" s="322">
        <v>0</v>
      </c>
      <c r="R192" s="322">
        <f t="shared" si="25"/>
        <v>0</v>
      </c>
      <c r="S192" s="322">
        <v>0</v>
      </c>
      <c r="T192" s="323">
        <f t="shared" si="26"/>
        <v>0</v>
      </c>
      <c r="U192" s="222"/>
      <c r="V192" s="222"/>
      <c r="W192" s="222"/>
      <c r="X192" s="222"/>
      <c r="Y192" s="222"/>
      <c r="Z192" s="222"/>
      <c r="AA192" s="222"/>
      <c r="AB192" s="222"/>
      <c r="AC192" s="222"/>
      <c r="AD192" s="222"/>
      <c r="AE192" s="222"/>
      <c r="AR192" s="324" t="s">
        <v>153</v>
      </c>
      <c r="AT192" s="324" t="s">
        <v>148</v>
      </c>
      <c r="AU192" s="324" t="s">
        <v>81</v>
      </c>
      <c r="AY192" s="214" t="s">
        <v>146</v>
      </c>
      <c r="BE192" s="325">
        <f t="shared" si="27"/>
        <v>0</v>
      </c>
      <c r="BF192" s="325">
        <f t="shared" si="28"/>
        <v>0</v>
      </c>
      <c r="BG192" s="325">
        <f t="shared" si="29"/>
        <v>0</v>
      </c>
      <c r="BH192" s="325">
        <f t="shared" si="30"/>
        <v>0</v>
      </c>
      <c r="BI192" s="325">
        <f t="shared" si="31"/>
        <v>0</v>
      </c>
      <c r="BJ192" s="214" t="s">
        <v>81</v>
      </c>
      <c r="BK192" s="325">
        <f t="shared" si="32"/>
        <v>0</v>
      </c>
      <c r="BL192" s="214" t="s">
        <v>153</v>
      </c>
      <c r="BM192" s="324" t="s">
        <v>1975</v>
      </c>
    </row>
    <row r="193" spans="1:65" s="225" customFormat="1" ht="37.9" customHeight="1">
      <c r="A193" s="222"/>
      <c r="B193" s="223"/>
      <c r="C193" s="314">
        <f t="shared" si="22"/>
        <v>62</v>
      </c>
      <c r="D193" s="314" t="s">
        <v>148</v>
      </c>
      <c r="E193" s="315" t="s">
        <v>1976</v>
      </c>
      <c r="F193" s="316" t="s">
        <v>1977</v>
      </c>
      <c r="G193" s="317" t="s">
        <v>883</v>
      </c>
      <c r="H193" s="318">
        <v>1</v>
      </c>
      <c r="I193" s="79"/>
      <c r="J193" s="319">
        <f t="shared" si="23"/>
        <v>0</v>
      </c>
      <c r="K193" s="316" t="s">
        <v>1</v>
      </c>
      <c r="L193" s="223"/>
      <c r="M193" s="320" t="s">
        <v>1</v>
      </c>
      <c r="N193" s="321" t="s">
        <v>42</v>
      </c>
      <c r="O193" s="322">
        <v>0</v>
      </c>
      <c r="P193" s="322">
        <f t="shared" si="24"/>
        <v>0</v>
      </c>
      <c r="Q193" s="322">
        <v>0</v>
      </c>
      <c r="R193" s="322">
        <f t="shared" si="25"/>
        <v>0</v>
      </c>
      <c r="S193" s="322">
        <v>0</v>
      </c>
      <c r="T193" s="323">
        <f t="shared" si="26"/>
        <v>0</v>
      </c>
      <c r="U193" s="222"/>
      <c r="V193" s="222"/>
      <c r="W193" s="222"/>
      <c r="X193" s="222"/>
      <c r="Y193" s="222"/>
      <c r="Z193" s="222"/>
      <c r="AA193" s="222"/>
      <c r="AB193" s="222"/>
      <c r="AC193" s="222"/>
      <c r="AD193" s="222"/>
      <c r="AE193" s="222"/>
      <c r="AR193" s="324" t="s">
        <v>153</v>
      </c>
      <c r="AT193" s="324" t="s">
        <v>148</v>
      </c>
      <c r="AU193" s="324" t="s">
        <v>81</v>
      </c>
      <c r="AY193" s="214" t="s">
        <v>146</v>
      </c>
      <c r="BE193" s="325">
        <f t="shared" si="27"/>
        <v>0</v>
      </c>
      <c r="BF193" s="325">
        <f t="shared" si="28"/>
        <v>0</v>
      </c>
      <c r="BG193" s="325">
        <f t="shared" si="29"/>
        <v>0</v>
      </c>
      <c r="BH193" s="325">
        <f t="shared" si="30"/>
        <v>0</v>
      </c>
      <c r="BI193" s="325">
        <f t="shared" si="31"/>
        <v>0</v>
      </c>
      <c r="BJ193" s="214" t="s">
        <v>81</v>
      </c>
      <c r="BK193" s="325">
        <f t="shared" si="32"/>
        <v>0</v>
      </c>
      <c r="BL193" s="214" t="s">
        <v>153</v>
      </c>
      <c r="BM193" s="324" t="s">
        <v>1978</v>
      </c>
    </row>
    <row r="194" spans="1:65" s="225" customFormat="1" ht="24.2" customHeight="1">
      <c r="A194" s="222"/>
      <c r="B194" s="223"/>
      <c r="C194" s="314">
        <f t="shared" si="22"/>
        <v>63</v>
      </c>
      <c r="D194" s="314" t="s">
        <v>148</v>
      </c>
      <c r="E194" s="315" t="s">
        <v>1979</v>
      </c>
      <c r="F194" s="316" t="s">
        <v>1980</v>
      </c>
      <c r="G194" s="317" t="s">
        <v>301</v>
      </c>
      <c r="H194" s="318">
        <v>1</v>
      </c>
      <c r="I194" s="79"/>
      <c r="J194" s="319">
        <f t="shared" si="23"/>
        <v>0</v>
      </c>
      <c r="K194" s="316" t="s">
        <v>1</v>
      </c>
      <c r="L194" s="223"/>
      <c r="M194" s="320" t="s">
        <v>1</v>
      </c>
      <c r="N194" s="321" t="s">
        <v>42</v>
      </c>
      <c r="O194" s="322">
        <v>0</v>
      </c>
      <c r="P194" s="322">
        <f t="shared" si="24"/>
        <v>0</v>
      </c>
      <c r="Q194" s="322">
        <v>0</v>
      </c>
      <c r="R194" s="322">
        <f t="shared" si="25"/>
        <v>0</v>
      </c>
      <c r="S194" s="322">
        <v>0</v>
      </c>
      <c r="T194" s="323">
        <f t="shared" si="26"/>
        <v>0</v>
      </c>
      <c r="U194" s="222"/>
      <c r="V194" s="222"/>
      <c r="W194" s="222"/>
      <c r="X194" s="222"/>
      <c r="Y194" s="222"/>
      <c r="Z194" s="222"/>
      <c r="AA194" s="222"/>
      <c r="AB194" s="222"/>
      <c r="AC194" s="222"/>
      <c r="AD194" s="222"/>
      <c r="AE194" s="222"/>
      <c r="AR194" s="324" t="s">
        <v>153</v>
      </c>
      <c r="AT194" s="324" t="s">
        <v>148</v>
      </c>
      <c r="AU194" s="324" t="s">
        <v>81</v>
      </c>
      <c r="AY194" s="214" t="s">
        <v>146</v>
      </c>
      <c r="BE194" s="325">
        <f t="shared" si="27"/>
        <v>0</v>
      </c>
      <c r="BF194" s="325">
        <f t="shared" si="28"/>
        <v>0</v>
      </c>
      <c r="BG194" s="325">
        <f t="shared" si="29"/>
        <v>0</v>
      </c>
      <c r="BH194" s="325">
        <f t="shared" si="30"/>
        <v>0</v>
      </c>
      <c r="BI194" s="325">
        <f t="shared" si="31"/>
        <v>0</v>
      </c>
      <c r="BJ194" s="214" t="s">
        <v>81</v>
      </c>
      <c r="BK194" s="325">
        <f t="shared" si="32"/>
        <v>0</v>
      </c>
      <c r="BL194" s="214" t="s">
        <v>153</v>
      </c>
      <c r="BM194" s="324" t="s">
        <v>1981</v>
      </c>
    </row>
    <row r="195" spans="1:65" s="225" customFormat="1" ht="24.2" customHeight="1">
      <c r="A195" s="222"/>
      <c r="B195" s="223"/>
      <c r="C195" s="314">
        <f t="shared" si="22"/>
        <v>64</v>
      </c>
      <c r="D195" s="314" t="s">
        <v>148</v>
      </c>
      <c r="E195" s="315" t="s">
        <v>1982</v>
      </c>
      <c r="F195" s="316" t="s">
        <v>1983</v>
      </c>
      <c r="G195" s="317" t="s">
        <v>301</v>
      </c>
      <c r="H195" s="318">
        <v>1</v>
      </c>
      <c r="I195" s="79"/>
      <c r="J195" s="319">
        <f t="shared" si="23"/>
        <v>0</v>
      </c>
      <c r="K195" s="316" t="s">
        <v>1</v>
      </c>
      <c r="L195" s="223"/>
      <c r="M195" s="320" t="s">
        <v>1</v>
      </c>
      <c r="N195" s="321" t="s">
        <v>42</v>
      </c>
      <c r="O195" s="322">
        <v>0</v>
      </c>
      <c r="P195" s="322">
        <f t="shared" si="24"/>
        <v>0</v>
      </c>
      <c r="Q195" s="322">
        <v>0</v>
      </c>
      <c r="R195" s="322">
        <f t="shared" si="25"/>
        <v>0</v>
      </c>
      <c r="S195" s="322">
        <v>0</v>
      </c>
      <c r="T195" s="323">
        <f t="shared" si="26"/>
        <v>0</v>
      </c>
      <c r="U195" s="222"/>
      <c r="V195" s="222"/>
      <c r="W195" s="222"/>
      <c r="X195" s="222"/>
      <c r="Y195" s="222"/>
      <c r="Z195" s="222"/>
      <c r="AA195" s="222"/>
      <c r="AB195" s="222"/>
      <c r="AC195" s="222"/>
      <c r="AD195" s="222"/>
      <c r="AE195" s="222"/>
      <c r="AR195" s="324" t="s">
        <v>153</v>
      </c>
      <c r="AT195" s="324" t="s">
        <v>148</v>
      </c>
      <c r="AU195" s="324" t="s">
        <v>81</v>
      </c>
      <c r="AY195" s="214" t="s">
        <v>146</v>
      </c>
      <c r="BE195" s="325">
        <f t="shared" si="27"/>
        <v>0</v>
      </c>
      <c r="BF195" s="325">
        <f t="shared" si="28"/>
        <v>0</v>
      </c>
      <c r="BG195" s="325">
        <f t="shared" si="29"/>
        <v>0</v>
      </c>
      <c r="BH195" s="325">
        <f t="shared" si="30"/>
        <v>0</v>
      </c>
      <c r="BI195" s="325">
        <f t="shared" si="31"/>
        <v>0</v>
      </c>
      <c r="BJ195" s="214" t="s">
        <v>81</v>
      </c>
      <c r="BK195" s="325">
        <f t="shared" si="32"/>
        <v>0</v>
      </c>
      <c r="BL195" s="214" t="s">
        <v>153</v>
      </c>
      <c r="BM195" s="324" t="s">
        <v>1984</v>
      </c>
    </row>
    <row r="196" spans="1:65" s="225" customFormat="1" ht="16.5" customHeight="1">
      <c r="A196" s="222"/>
      <c r="B196" s="223"/>
      <c r="C196" s="314">
        <f t="shared" si="22"/>
        <v>65</v>
      </c>
      <c r="D196" s="314" t="s">
        <v>148</v>
      </c>
      <c r="E196" s="315" t="s">
        <v>1985</v>
      </c>
      <c r="F196" s="316" t="s">
        <v>1986</v>
      </c>
      <c r="G196" s="317" t="s">
        <v>301</v>
      </c>
      <c r="H196" s="318">
        <v>1</v>
      </c>
      <c r="I196" s="79"/>
      <c r="J196" s="319">
        <f t="shared" si="23"/>
        <v>0</v>
      </c>
      <c r="K196" s="316" t="s">
        <v>1</v>
      </c>
      <c r="L196" s="223"/>
      <c r="M196" s="320" t="s">
        <v>1</v>
      </c>
      <c r="N196" s="321" t="s">
        <v>42</v>
      </c>
      <c r="O196" s="322">
        <v>0</v>
      </c>
      <c r="P196" s="322">
        <f t="shared" si="24"/>
        <v>0</v>
      </c>
      <c r="Q196" s="322">
        <v>0</v>
      </c>
      <c r="R196" s="322">
        <f t="shared" si="25"/>
        <v>0</v>
      </c>
      <c r="S196" s="322">
        <v>0</v>
      </c>
      <c r="T196" s="323">
        <f t="shared" si="26"/>
        <v>0</v>
      </c>
      <c r="U196" s="222"/>
      <c r="V196" s="222"/>
      <c r="W196" s="222"/>
      <c r="X196" s="222"/>
      <c r="Y196" s="222"/>
      <c r="Z196" s="222"/>
      <c r="AA196" s="222"/>
      <c r="AB196" s="222"/>
      <c r="AC196" s="222"/>
      <c r="AD196" s="222"/>
      <c r="AE196" s="222"/>
      <c r="AR196" s="324" t="s">
        <v>153</v>
      </c>
      <c r="AT196" s="324" t="s">
        <v>148</v>
      </c>
      <c r="AU196" s="324" t="s">
        <v>81</v>
      </c>
      <c r="AY196" s="214" t="s">
        <v>146</v>
      </c>
      <c r="BE196" s="325">
        <f t="shared" si="27"/>
        <v>0</v>
      </c>
      <c r="BF196" s="325">
        <f t="shared" si="28"/>
        <v>0</v>
      </c>
      <c r="BG196" s="325">
        <f t="shared" si="29"/>
        <v>0</v>
      </c>
      <c r="BH196" s="325">
        <f t="shared" si="30"/>
        <v>0</v>
      </c>
      <c r="BI196" s="325">
        <f t="shared" si="31"/>
        <v>0</v>
      </c>
      <c r="BJ196" s="214" t="s">
        <v>81</v>
      </c>
      <c r="BK196" s="325">
        <f t="shared" si="32"/>
        <v>0</v>
      </c>
      <c r="BL196" s="214" t="s">
        <v>153</v>
      </c>
      <c r="BM196" s="324" t="s">
        <v>1987</v>
      </c>
    </row>
    <row r="197" spans="1:65" s="225" customFormat="1" ht="16.5" customHeight="1">
      <c r="A197" s="222"/>
      <c r="B197" s="223"/>
      <c r="C197" s="314">
        <f t="shared" si="22"/>
        <v>66</v>
      </c>
      <c r="D197" s="314" t="s">
        <v>148</v>
      </c>
      <c r="E197" s="315" t="s">
        <v>1988</v>
      </c>
      <c r="F197" s="316" t="s">
        <v>1989</v>
      </c>
      <c r="G197" s="317" t="s">
        <v>301</v>
      </c>
      <c r="H197" s="318">
        <v>2</v>
      </c>
      <c r="I197" s="79"/>
      <c r="J197" s="319">
        <f t="shared" si="23"/>
        <v>0</v>
      </c>
      <c r="K197" s="316" t="s">
        <v>1</v>
      </c>
      <c r="L197" s="223"/>
      <c r="M197" s="320" t="s">
        <v>1</v>
      </c>
      <c r="N197" s="321" t="s">
        <v>42</v>
      </c>
      <c r="O197" s="322">
        <v>0</v>
      </c>
      <c r="P197" s="322">
        <f t="shared" si="24"/>
        <v>0</v>
      </c>
      <c r="Q197" s="322">
        <v>0</v>
      </c>
      <c r="R197" s="322">
        <f t="shared" si="25"/>
        <v>0</v>
      </c>
      <c r="S197" s="322">
        <v>0</v>
      </c>
      <c r="T197" s="323">
        <f t="shared" si="26"/>
        <v>0</v>
      </c>
      <c r="U197" s="222"/>
      <c r="V197" s="222"/>
      <c r="W197" s="222"/>
      <c r="X197" s="222"/>
      <c r="Y197" s="222"/>
      <c r="Z197" s="222"/>
      <c r="AA197" s="222"/>
      <c r="AB197" s="222"/>
      <c r="AC197" s="222"/>
      <c r="AD197" s="222"/>
      <c r="AE197" s="222"/>
      <c r="AR197" s="324" t="s">
        <v>153</v>
      </c>
      <c r="AT197" s="324" t="s">
        <v>148</v>
      </c>
      <c r="AU197" s="324" t="s">
        <v>81</v>
      </c>
      <c r="AY197" s="214" t="s">
        <v>146</v>
      </c>
      <c r="BE197" s="325">
        <f t="shared" si="27"/>
        <v>0</v>
      </c>
      <c r="BF197" s="325">
        <f t="shared" si="28"/>
        <v>0</v>
      </c>
      <c r="BG197" s="325">
        <f t="shared" si="29"/>
        <v>0</v>
      </c>
      <c r="BH197" s="325">
        <f t="shared" si="30"/>
        <v>0</v>
      </c>
      <c r="BI197" s="325">
        <f t="shared" si="31"/>
        <v>0</v>
      </c>
      <c r="BJ197" s="214" t="s">
        <v>81</v>
      </c>
      <c r="BK197" s="325">
        <f t="shared" si="32"/>
        <v>0</v>
      </c>
      <c r="BL197" s="214" t="s">
        <v>153</v>
      </c>
      <c r="BM197" s="324" t="s">
        <v>1990</v>
      </c>
    </row>
    <row r="198" spans="1:65" s="225" customFormat="1" ht="16.5" customHeight="1">
      <c r="A198" s="222"/>
      <c r="B198" s="223"/>
      <c r="C198" s="314">
        <f t="shared" si="22"/>
        <v>67</v>
      </c>
      <c r="D198" s="314" t="s">
        <v>148</v>
      </c>
      <c r="E198" s="315" t="s">
        <v>1991</v>
      </c>
      <c r="F198" s="316" t="s">
        <v>1992</v>
      </c>
      <c r="G198" s="317" t="s">
        <v>301</v>
      </c>
      <c r="H198" s="318">
        <v>2</v>
      </c>
      <c r="I198" s="79"/>
      <c r="J198" s="319">
        <f t="shared" si="23"/>
        <v>0</v>
      </c>
      <c r="K198" s="316" t="s">
        <v>1</v>
      </c>
      <c r="L198" s="223"/>
      <c r="M198" s="320" t="s">
        <v>1</v>
      </c>
      <c r="N198" s="321" t="s">
        <v>42</v>
      </c>
      <c r="O198" s="322">
        <v>0</v>
      </c>
      <c r="P198" s="322">
        <f t="shared" si="24"/>
        <v>0</v>
      </c>
      <c r="Q198" s="322">
        <v>0</v>
      </c>
      <c r="R198" s="322">
        <f t="shared" si="25"/>
        <v>0</v>
      </c>
      <c r="S198" s="322">
        <v>0</v>
      </c>
      <c r="T198" s="323">
        <f t="shared" si="26"/>
        <v>0</v>
      </c>
      <c r="U198" s="222"/>
      <c r="V198" s="222"/>
      <c r="W198" s="222"/>
      <c r="X198" s="222"/>
      <c r="Y198" s="222"/>
      <c r="Z198" s="222"/>
      <c r="AA198" s="222"/>
      <c r="AB198" s="222"/>
      <c r="AC198" s="222"/>
      <c r="AD198" s="222"/>
      <c r="AE198" s="222"/>
      <c r="AR198" s="324" t="s">
        <v>153</v>
      </c>
      <c r="AT198" s="324" t="s">
        <v>148</v>
      </c>
      <c r="AU198" s="324" t="s">
        <v>81</v>
      </c>
      <c r="AY198" s="214" t="s">
        <v>146</v>
      </c>
      <c r="BE198" s="325">
        <f t="shared" si="27"/>
        <v>0</v>
      </c>
      <c r="BF198" s="325">
        <f t="shared" si="28"/>
        <v>0</v>
      </c>
      <c r="BG198" s="325">
        <f t="shared" si="29"/>
        <v>0</v>
      </c>
      <c r="BH198" s="325">
        <f t="shared" si="30"/>
        <v>0</v>
      </c>
      <c r="BI198" s="325">
        <f t="shared" si="31"/>
        <v>0</v>
      </c>
      <c r="BJ198" s="214" t="s">
        <v>81</v>
      </c>
      <c r="BK198" s="325">
        <f t="shared" si="32"/>
        <v>0</v>
      </c>
      <c r="BL198" s="214" t="s">
        <v>153</v>
      </c>
      <c r="BM198" s="324" t="s">
        <v>1993</v>
      </c>
    </row>
    <row r="199" spans="1:65" s="225" customFormat="1" ht="21.75" customHeight="1">
      <c r="A199" s="222"/>
      <c r="B199" s="223"/>
      <c r="C199" s="314">
        <f t="shared" si="22"/>
        <v>68</v>
      </c>
      <c r="D199" s="314" t="s">
        <v>148</v>
      </c>
      <c r="E199" s="315" t="s">
        <v>1994</v>
      </c>
      <c r="F199" s="316" t="s">
        <v>1995</v>
      </c>
      <c r="G199" s="317" t="s">
        <v>301</v>
      </c>
      <c r="H199" s="318">
        <v>1</v>
      </c>
      <c r="I199" s="79"/>
      <c r="J199" s="319">
        <f t="shared" si="23"/>
        <v>0</v>
      </c>
      <c r="K199" s="316" t="s">
        <v>1</v>
      </c>
      <c r="L199" s="223"/>
      <c r="M199" s="320" t="s">
        <v>1</v>
      </c>
      <c r="N199" s="321" t="s">
        <v>42</v>
      </c>
      <c r="O199" s="322">
        <v>0</v>
      </c>
      <c r="P199" s="322">
        <f t="shared" si="24"/>
        <v>0</v>
      </c>
      <c r="Q199" s="322">
        <v>0</v>
      </c>
      <c r="R199" s="322">
        <f t="shared" si="25"/>
        <v>0</v>
      </c>
      <c r="S199" s="322">
        <v>0</v>
      </c>
      <c r="T199" s="323">
        <f t="shared" si="26"/>
        <v>0</v>
      </c>
      <c r="U199" s="222"/>
      <c r="V199" s="222"/>
      <c r="W199" s="222"/>
      <c r="X199" s="222"/>
      <c r="Y199" s="222"/>
      <c r="Z199" s="222"/>
      <c r="AA199" s="222"/>
      <c r="AB199" s="222"/>
      <c r="AC199" s="222"/>
      <c r="AD199" s="222"/>
      <c r="AE199" s="222"/>
      <c r="AR199" s="324" t="s">
        <v>153</v>
      </c>
      <c r="AT199" s="324" t="s">
        <v>148</v>
      </c>
      <c r="AU199" s="324" t="s">
        <v>81</v>
      </c>
      <c r="AY199" s="214" t="s">
        <v>146</v>
      </c>
      <c r="BE199" s="325">
        <f t="shared" si="27"/>
        <v>0</v>
      </c>
      <c r="BF199" s="325">
        <f t="shared" si="28"/>
        <v>0</v>
      </c>
      <c r="BG199" s="325">
        <f t="shared" si="29"/>
        <v>0</v>
      </c>
      <c r="BH199" s="325">
        <f t="shared" si="30"/>
        <v>0</v>
      </c>
      <c r="BI199" s="325">
        <f t="shared" si="31"/>
        <v>0</v>
      </c>
      <c r="BJ199" s="214" t="s">
        <v>81</v>
      </c>
      <c r="BK199" s="325">
        <f t="shared" si="32"/>
        <v>0</v>
      </c>
      <c r="BL199" s="214" t="s">
        <v>153</v>
      </c>
      <c r="BM199" s="324" t="s">
        <v>1996</v>
      </c>
    </row>
    <row r="200" spans="1:65" s="225" customFormat="1" ht="21.75" customHeight="1">
      <c r="A200" s="222"/>
      <c r="B200" s="223"/>
      <c r="C200" s="314">
        <f t="shared" si="22"/>
        <v>69</v>
      </c>
      <c r="D200" s="314" t="s">
        <v>148</v>
      </c>
      <c r="E200" s="315" t="s">
        <v>1997</v>
      </c>
      <c r="F200" s="316" t="s">
        <v>1998</v>
      </c>
      <c r="G200" s="317" t="s">
        <v>301</v>
      </c>
      <c r="H200" s="318">
        <v>1</v>
      </c>
      <c r="I200" s="79"/>
      <c r="J200" s="319">
        <f t="shared" si="23"/>
        <v>0</v>
      </c>
      <c r="K200" s="316" t="s">
        <v>1</v>
      </c>
      <c r="L200" s="223"/>
      <c r="M200" s="320" t="s">
        <v>1</v>
      </c>
      <c r="N200" s="321" t="s">
        <v>42</v>
      </c>
      <c r="O200" s="322">
        <v>0</v>
      </c>
      <c r="P200" s="322">
        <f t="shared" si="24"/>
        <v>0</v>
      </c>
      <c r="Q200" s="322">
        <v>0</v>
      </c>
      <c r="R200" s="322">
        <f t="shared" si="25"/>
        <v>0</v>
      </c>
      <c r="S200" s="322">
        <v>0</v>
      </c>
      <c r="T200" s="323">
        <f t="shared" si="26"/>
        <v>0</v>
      </c>
      <c r="U200" s="222"/>
      <c r="V200" s="222"/>
      <c r="W200" s="222"/>
      <c r="X200" s="222"/>
      <c r="Y200" s="222"/>
      <c r="Z200" s="222"/>
      <c r="AA200" s="222"/>
      <c r="AB200" s="222"/>
      <c r="AC200" s="222"/>
      <c r="AD200" s="222"/>
      <c r="AE200" s="222"/>
      <c r="AR200" s="324" t="s">
        <v>153</v>
      </c>
      <c r="AT200" s="324" t="s">
        <v>148</v>
      </c>
      <c r="AU200" s="324" t="s">
        <v>81</v>
      </c>
      <c r="AY200" s="214" t="s">
        <v>146</v>
      </c>
      <c r="BE200" s="325">
        <f t="shared" si="27"/>
        <v>0</v>
      </c>
      <c r="BF200" s="325">
        <f t="shared" si="28"/>
        <v>0</v>
      </c>
      <c r="BG200" s="325">
        <f t="shared" si="29"/>
        <v>0</v>
      </c>
      <c r="BH200" s="325">
        <f t="shared" si="30"/>
        <v>0</v>
      </c>
      <c r="BI200" s="325">
        <f t="shared" si="31"/>
        <v>0</v>
      </c>
      <c r="BJ200" s="214" t="s">
        <v>81</v>
      </c>
      <c r="BK200" s="325">
        <f t="shared" si="32"/>
        <v>0</v>
      </c>
      <c r="BL200" s="214" t="s">
        <v>153</v>
      </c>
      <c r="BM200" s="324" t="s">
        <v>1999</v>
      </c>
    </row>
    <row r="201" spans="1:65" s="225" customFormat="1" ht="16.5" customHeight="1">
      <c r="A201" s="222"/>
      <c r="B201" s="223"/>
      <c r="C201" s="314">
        <f t="shared" si="22"/>
        <v>70</v>
      </c>
      <c r="D201" s="314" t="s">
        <v>148</v>
      </c>
      <c r="E201" s="315" t="s">
        <v>2000</v>
      </c>
      <c r="F201" s="316" t="s">
        <v>2001</v>
      </c>
      <c r="G201" s="317" t="s">
        <v>301</v>
      </c>
      <c r="H201" s="318">
        <v>27</v>
      </c>
      <c r="I201" s="79"/>
      <c r="J201" s="319">
        <f aca="true" t="shared" si="33" ref="J201:J216">ROUND(I201*H201,2)</f>
        <v>0</v>
      </c>
      <c r="K201" s="316" t="s">
        <v>1</v>
      </c>
      <c r="L201" s="223"/>
      <c r="M201" s="320" t="s">
        <v>1</v>
      </c>
      <c r="N201" s="321" t="s">
        <v>42</v>
      </c>
      <c r="O201" s="322">
        <v>0</v>
      </c>
      <c r="P201" s="322">
        <f aca="true" t="shared" si="34" ref="P201:P216">O201*H201</f>
        <v>0</v>
      </c>
      <c r="Q201" s="322">
        <v>0</v>
      </c>
      <c r="R201" s="322">
        <f aca="true" t="shared" si="35" ref="R201:R216">Q201*H201</f>
        <v>0</v>
      </c>
      <c r="S201" s="322">
        <v>0</v>
      </c>
      <c r="T201" s="323">
        <f aca="true" t="shared" si="36" ref="T201:T216">S201*H201</f>
        <v>0</v>
      </c>
      <c r="U201" s="222"/>
      <c r="V201" s="222"/>
      <c r="W201" s="222"/>
      <c r="X201" s="222"/>
      <c r="Y201" s="222"/>
      <c r="Z201" s="222"/>
      <c r="AA201" s="222"/>
      <c r="AB201" s="222"/>
      <c r="AC201" s="222"/>
      <c r="AD201" s="222"/>
      <c r="AE201" s="222"/>
      <c r="AR201" s="324" t="s">
        <v>153</v>
      </c>
      <c r="AT201" s="324" t="s">
        <v>148</v>
      </c>
      <c r="AU201" s="324" t="s">
        <v>81</v>
      </c>
      <c r="AY201" s="214" t="s">
        <v>146</v>
      </c>
      <c r="BE201" s="325">
        <f aca="true" t="shared" si="37" ref="BE201:BE216">IF(N201="základní",J201,0)</f>
        <v>0</v>
      </c>
      <c r="BF201" s="325">
        <f aca="true" t="shared" si="38" ref="BF201:BF216">IF(N201="snížená",J201,0)</f>
        <v>0</v>
      </c>
      <c r="BG201" s="325">
        <f aca="true" t="shared" si="39" ref="BG201:BG216">IF(N201="zákl. přenesená",J201,0)</f>
        <v>0</v>
      </c>
      <c r="BH201" s="325">
        <f aca="true" t="shared" si="40" ref="BH201:BH216">IF(N201="sníž. přenesená",J201,0)</f>
        <v>0</v>
      </c>
      <c r="BI201" s="325">
        <f aca="true" t="shared" si="41" ref="BI201:BI216">IF(N201="nulová",J201,0)</f>
        <v>0</v>
      </c>
      <c r="BJ201" s="214" t="s">
        <v>81</v>
      </c>
      <c r="BK201" s="325">
        <f aca="true" t="shared" si="42" ref="BK201:BK216">ROUND(I201*H201,2)</f>
        <v>0</v>
      </c>
      <c r="BL201" s="214" t="s">
        <v>153</v>
      </c>
      <c r="BM201" s="324" t="s">
        <v>2002</v>
      </c>
    </row>
    <row r="202" spans="1:65" s="225" customFormat="1" ht="16.5" customHeight="1">
      <c r="A202" s="222"/>
      <c r="B202" s="223"/>
      <c r="C202" s="314">
        <f t="shared" si="22"/>
        <v>71</v>
      </c>
      <c r="D202" s="314" t="s">
        <v>148</v>
      </c>
      <c r="E202" s="315" t="s">
        <v>2003</v>
      </c>
      <c r="F202" s="316" t="s">
        <v>2004</v>
      </c>
      <c r="G202" s="317" t="s">
        <v>301</v>
      </c>
      <c r="H202" s="318">
        <v>4</v>
      </c>
      <c r="I202" s="79"/>
      <c r="J202" s="319">
        <f t="shared" si="33"/>
        <v>0</v>
      </c>
      <c r="K202" s="316" t="s">
        <v>1</v>
      </c>
      <c r="L202" s="223"/>
      <c r="M202" s="320" t="s">
        <v>1</v>
      </c>
      <c r="N202" s="321" t="s">
        <v>42</v>
      </c>
      <c r="O202" s="322">
        <v>0</v>
      </c>
      <c r="P202" s="322">
        <f t="shared" si="34"/>
        <v>0</v>
      </c>
      <c r="Q202" s="322">
        <v>0</v>
      </c>
      <c r="R202" s="322">
        <f t="shared" si="35"/>
        <v>0</v>
      </c>
      <c r="S202" s="322">
        <v>0</v>
      </c>
      <c r="T202" s="323">
        <f t="shared" si="36"/>
        <v>0</v>
      </c>
      <c r="U202" s="222"/>
      <c r="V202" s="222"/>
      <c r="W202" s="222"/>
      <c r="X202" s="222"/>
      <c r="Y202" s="222"/>
      <c r="Z202" s="222"/>
      <c r="AA202" s="222"/>
      <c r="AB202" s="222"/>
      <c r="AC202" s="222"/>
      <c r="AD202" s="222"/>
      <c r="AE202" s="222"/>
      <c r="AR202" s="324" t="s">
        <v>153</v>
      </c>
      <c r="AT202" s="324" t="s">
        <v>148</v>
      </c>
      <c r="AU202" s="324" t="s">
        <v>81</v>
      </c>
      <c r="AY202" s="214" t="s">
        <v>146</v>
      </c>
      <c r="BE202" s="325">
        <f t="shared" si="37"/>
        <v>0</v>
      </c>
      <c r="BF202" s="325">
        <f t="shared" si="38"/>
        <v>0</v>
      </c>
      <c r="BG202" s="325">
        <f t="shared" si="39"/>
        <v>0</v>
      </c>
      <c r="BH202" s="325">
        <f t="shared" si="40"/>
        <v>0</v>
      </c>
      <c r="BI202" s="325">
        <f t="shared" si="41"/>
        <v>0</v>
      </c>
      <c r="BJ202" s="214" t="s">
        <v>81</v>
      </c>
      <c r="BK202" s="325">
        <f t="shared" si="42"/>
        <v>0</v>
      </c>
      <c r="BL202" s="214" t="s">
        <v>153</v>
      </c>
      <c r="BM202" s="324" t="s">
        <v>2005</v>
      </c>
    </row>
    <row r="203" spans="1:65" s="225" customFormat="1" ht="24.2" customHeight="1">
      <c r="A203" s="222"/>
      <c r="B203" s="223"/>
      <c r="C203" s="314">
        <f t="shared" si="22"/>
        <v>72</v>
      </c>
      <c r="D203" s="314" t="s">
        <v>148</v>
      </c>
      <c r="E203" s="315" t="s">
        <v>2006</v>
      </c>
      <c r="F203" s="316" t="s">
        <v>2007</v>
      </c>
      <c r="G203" s="317" t="s">
        <v>1361</v>
      </c>
      <c r="H203" s="318">
        <v>13</v>
      </c>
      <c r="I203" s="79"/>
      <c r="J203" s="319">
        <f t="shared" si="33"/>
        <v>0</v>
      </c>
      <c r="K203" s="316" t="s">
        <v>1</v>
      </c>
      <c r="L203" s="223"/>
      <c r="M203" s="320" t="s">
        <v>1</v>
      </c>
      <c r="N203" s="321" t="s">
        <v>42</v>
      </c>
      <c r="O203" s="322">
        <v>0</v>
      </c>
      <c r="P203" s="322">
        <f t="shared" si="34"/>
        <v>0</v>
      </c>
      <c r="Q203" s="322">
        <v>0</v>
      </c>
      <c r="R203" s="322">
        <f t="shared" si="35"/>
        <v>0</v>
      </c>
      <c r="S203" s="322">
        <v>0</v>
      </c>
      <c r="T203" s="323">
        <f t="shared" si="36"/>
        <v>0</v>
      </c>
      <c r="U203" s="222"/>
      <c r="V203" s="222"/>
      <c r="W203" s="222"/>
      <c r="X203" s="222"/>
      <c r="Y203" s="222"/>
      <c r="Z203" s="222"/>
      <c r="AA203" s="222"/>
      <c r="AB203" s="222"/>
      <c r="AC203" s="222"/>
      <c r="AD203" s="222"/>
      <c r="AE203" s="222"/>
      <c r="AR203" s="324" t="s">
        <v>153</v>
      </c>
      <c r="AT203" s="324" t="s">
        <v>148</v>
      </c>
      <c r="AU203" s="324" t="s">
        <v>81</v>
      </c>
      <c r="AY203" s="214" t="s">
        <v>146</v>
      </c>
      <c r="BE203" s="325">
        <f t="shared" si="37"/>
        <v>0</v>
      </c>
      <c r="BF203" s="325">
        <f t="shared" si="38"/>
        <v>0</v>
      </c>
      <c r="BG203" s="325">
        <f t="shared" si="39"/>
        <v>0</v>
      </c>
      <c r="BH203" s="325">
        <f t="shared" si="40"/>
        <v>0</v>
      </c>
      <c r="BI203" s="325">
        <f t="shared" si="41"/>
        <v>0</v>
      </c>
      <c r="BJ203" s="214" t="s">
        <v>81</v>
      </c>
      <c r="BK203" s="325">
        <f t="shared" si="42"/>
        <v>0</v>
      </c>
      <c r="BL203" s="214" t="s">
        <v>153</v>
      </c>
      <c r="BM203" s="324" t="s">
        <v>2008</v>
      </c>
    </row>
    <row r="204" spans="1:65" s="225" customFormat="1" ht="24.2" customHeight="1">
      <c r="A204" s="222"/>
      <c r="B204" s="223"/>
      <c r="C204" s="314">
        <f t="shared" si="22"/>
        <v>73</v>
      </c>
      <c r="D204" s="314" t="s">
        <v>148</v>
      </c>
      <c r="E204" s="315" t="s">
        <v>2009</v>
      </c>
      <c r="F204" s="316" t="s">
        <v>2007</v>
      </c>
      <c r="G204" s="317" t="s">
        <v>2010</v>
      </c>
      <c r="H204" s="318">
        <v>18</v>
      </c>
      <c r="I204" s="79"/>
      <c r="J204" s="319">
        <f t="shared" si="33"/>
        <v>0</v>
      </c>
      <c r="K204" s="316" t="s">
        <v>1</v>
      </c>
      <c r="L204" s="223"/>
      <c r="M204" s="320" t="s">
        <v>1</v>
      </c>
      <c r="N204" s="321" t="s">
        <v>42</v>
      </c>
      <c r="O204" s="322">
        <v>0</v>
      </c>
      <c r="P204" s="322">
        <f t="shared" si="34"/>
        <v>0</v>
      </c>
      <c r="Q204" s="322">
        <v>0</v>
      </c>
      <c r="R204" s="322">
        <f t="shared" si="35"/>
        <v>0</v>
      </c>
      <c r="S204" s="322">
        <v>0</v>
      </c>
      <c r="T204" s="323">
        <f t="shared" si="36"/>
        <v>0</v>
      </c>
      <c r="U204" s="222"/>
      <c r="V204" s="222"/>
      <c r="W204" s="222"/>
      <c r="X204" s="222"/>
      <c r="Y204" s="222"/>
      <c r="Z204" s="222"/>
      <c r="AA204" s="222"/>
      <c r="AB204" s="222"/>
      <c r="AC204" s="222"/>
      <c r="AD204" s="222"/>
      <c r="AE204" s="222"/>
      <c r="AR204" s="324" t="s">
        <v>153</v>
      </c>
      <c r="AT204" s="324" t="s">
        <v>148</v>
      </c>
      <c r="AU204" s="324" t="s">
        <v>81</v>
      </c>
      <c r="AY204" s="214" t="s">
        <v>146</v>
      </c>
      <c r="BE204" s="325">
        <f t="shared" si="37"/>
        <v>0</v>
      </c>
      <c r="BF204" s="325">
        <f t="shared" si="38"/>
        <v>0</v>
      </c>
      <c r="BG204" s="325">
        <f t="shared" si="39"/>
        <v>0</v>
      </c>
      <c r="BH204" s="325">
        <f t="shared" si="40"/>
        <v>0</v>
      </c>
      <c r="BI204" s="325">
        <f t="shared" si="41"/>
        <v>0</v>
      </c>
      <c r="BJ204" s="214" t="s">
        <v>81</v>
      </c>
      <c r="BK204" s="325">
        <f t="shared" si="42"/>
        <v>0</v>
      </c>
      <c r="BL204" s="214" t="s">
        <v>153</v>
      </c>
      <c r="BM204" s="324" t="s">
        <v>2011</v>
      </c>
    </row>
    <row r="205" spans="1:65" s="225" customFormat="1" ht="16.5" customHeight="1">
      <c r="A205" s="222"/>
      <c r="B205" s="223"/>
      <c r="C205" s="314">
        <f t="shared" si="22"/>
        <v>74</v>
      </c>
      <c r="D205" s="314" t="s">
        <v>148</v>
      </c>
      <c r="E205" s="315" t="s">
        <v>2012</v>
      </c>
      <c r="F205" s="316" t="s">
        <v>2013</v>
      </c>
      <c r="G205" s="317" t="s">
        <v>301</v>
      </c>
      <c r="H205" s="318">
        <v>2</v>
      </c>
      <c r="I205" s="79"/>
      <c r="J205" s="319">
        <f t="shared" si="33"/>
        <v>0</v>
      </c>
      <c r="K205" s="316" t="s">
        <v>1</v>
      </c>
      <c r="L205" s="223"/>
      <c r="M205" s="320" t="s">
        <v>1</v>
      </c>
      <c r="N205" s="321" t="s">
        <v>42</v>
      </c>
      <c r="O205" s="322">
        <v>0</v>
      </c>
      <c r="P205" s="322">
        <f t="shared" si="34"/>
        <v>0</v>
      </c>
      <c r="Q205" s="322">
        <v>0</v>
      </c>
      <c r="R205" s="322">
        <f t="shared" si="35"/>
        <v>0</v>
      </c>
      <c r="S205" s="322">
        <v>0</v>
      </c>
      <c r="T205" s="323">
        <f t="shared" si="36"/>
        <v>0</v>
      </c>
      <c r="U205" s="222"/>
      <c r="V205" s="222"/>
      <c r="W205" s="222"/>
      <c r="X205" s="222"/>
      <c r="Y205" s="222"/>
      <c r="Z205" s="222"/>
      <c r="AA205" s="222"/>
      <c r="AB205" s="222"/>
      <c r="AC205" s="222"/>
      <c r="AD205" s="222"/>
      <c r="AE205" s="222"/>
      <c r="AR205" s="324" t="s">
        <v>153</v>
      </c>
      <c r="AT205" s="324" t="s">
        <v>148</v>
      </c>
      <c r="AU205" s="324" t="s">
        <v>81</v>
      </c>
      <c r="AY205" s="214" t="s">
        <v>146</v>
      </c>
      <c r="BE205" s="325">
        <f t="shared" si="37"/>
        <v>0</v>
      </c>
      <c r="BF205" s="325">
        <f t="shared" si="38"/>
        <v>0</v>
      </c>
      <c r="BG205" s="325">
        <f t="shared" si="39"/>
        <v>0</v>
      </c>
      <c r="BH205" s="325">
        <f t="shared" si="40"/>
        <v>0</v>
      </c>
      <c r="BI205" s="325">
        <f t="shared" si="41"/>
        <v>0</v>
      </c>
      <c r="BJ205" s="214" t="s">
        <v>81</v>
      </c>
      <c r="BK205" s="325">
        <f t="shared" si="42"/>
        <v>0</v>
      </c>
      <c r="BL205" s="214" t="s">
        <v>153</v>
      </c>
      <c r="BM205" s="324" t="s">
        <v>2014</v>
      </c>
    </row>
    <row r="206" spans="1:65" s="225" customFormat="1" ht="16.5" customHeight="1">
      <c r="A206" s="222"/>
      <c r="B206" s="223"/>
      <c r="C206" s="314">
        <f aca="true" t="shared" si="43" ref="C206:C217">C205+1</f>
        <v>75</v>
      </c>
      <c r="D206" s="314" t="s">
        <v>148</v>
      </c>
      <c r="E206" s="315" t="s">
        <v>2015</v>
      </c>
      <c r="F206" s="316" t="s">
        <v>2016</v>
      </c>
      <c r="G206" s="317" t="s">
        <v>301</v>
      </c>
      <c r="H206" s="318">
        <v>1</v>
      </c>
      <c r="I206" s="79"/>
      <c r="J206" s="319">
        <f t="shared" si="33"/>
        <v>0</v>
      </c>
      <c r="K206" s="316" t="s">
        <v>1</v>
      </c>
      <c r="L206" s="223"/>
      <c r="M206" s="320" t="s">
        <v>1</v>
      </c>
      <c r="N206" s="321" t="s">
        <v>42</v>
      </c>
      <c r="O206" s="322">
        <v>0</v>
      </c>
      <c r="P206" s="322">
        <f t="shared" si="34"/>
        <v>0</v>
      </c>
      <c r="Q206" s="322">
        <v>0</v>
      </c>
      <c r="R206" s="322">
        <f t="shared" si="35"/>
        <v>0</v>
      </c>
      <c r="S206" s="322">
        <v>0</v>
      </c>
      <c r="T206" s="323">
        <f t="shared" si="36"/>
        <v>0</v>
      </c>
      <c r="U206" s="222"/>
      <c r="V206" s="222"/>
      <c r="W206" s="222"/>
      <c r="X206" s="222"/>
      <c r="Y206" s="222"/>
      <c r="Z206" s="222"/>
      <c r="AA206" s="222"/>
      <c r="AB206" s="222"/>
      <c r="AC206" s="222"/>
      <c r="AD206" s="222"/>
      <c r="AE206" s="222"/>
      <c r="AR206" s="324" t="s">
        <v>153</v>
      </c>
      <c r="AT206" s="324" t="s">
        <v>148</v>
      </c>
      <c r="AU206" s="324" t="s">
        <v>81</v>
      </c>
      <c r="AY206" s="214" t="s">
        <v>146</v>
      </c>
      <c r="BE206" s="325">
        <f t="shared" si="37"/>
        <v>0</v>
      </c>
      <c r="BF206" s="325">
        <f t="shared" si="38"/>
        <v>0</v>
      </c>
      <c r="BG206" s="325">
        <f t="shared" si="39"/>
        <v>0</v>
      </c>
      <c r="BH206" s="325">
        <f t="shared" si="40"/>
        <v>0</v>
      </c>
      <c r="BI206" s="325">
        <f t="shared" si="41"/>
        <v>0</v>
      </c>
      <c r="BJ206" s="214" t="s">
        <v>81</v>
      </c>
      <c r="BK206" s="325">
        <f t="shared" si="42"/>
        <v>0</v>
      </c>
      <c r="BL206" s="214" t="s">
        <v>153</v>
      </c>
      <c r="BM206" s="324" t="s">
        <v>2017</v>
      </c>
    </row>
    <row r="207" spans="1:65" s="225" customFormat="1" ht="16.5" customHeight="1">
      <c r="A207" s="222"/>
      <c r="B207" s="223"/>
      <c r="C207" s="314">
        <f t="shared" si="43"/>
        <v>76</v>
      </c>
      <c r="D207" s="314" t="s">
        <v>148</v>
      </c>
      <c r="E207" s="315" t="s">
        <v>2018</v>
      </c>
      <c r="F207" s="316" t="s">
        <v>2019</v>
      </c>
      <c r="G207" s="317" t="s">
        <v>301</v>
      </c>
      <c r="H207" s="318">
        <v>1</v>
      </c>
      <c r="I207" s="79"/>
      <c r="J207" s="319">
        <f t="shared" si="33"/>
        <v>0</v>
      </c>
      <c r="K207" s="316" t="s">
        <v>1</v>
      </c>
      <c r="L207" s="223"/>
      <c r="M207" s="320" t="s">
        <v>1</v>
      </c>
      <c r="N207" s="321" t="s">
        <v>42</v>
      </c>
      <c r="O207" s="322">
        <v>0</v>
      </c>
      <c r="P207" s="322">
        <f t="shared" si="34"/>
        <v>0</v>
      </c>
      <c r="Q207" s="322">
        <v>0</v>
      </c>
      <c r="R207" s="322">
        <f t="shared" si="35"/>
        <v>0</v>
      </c>
      <c r="S207" s="322">
        <v>0</v>
      </c>
      <c r="T207" s="323">
        <f t="shared" si="36"/>
        <v>0</v>
      </c>
      <c r="U207" s="222"/>
      <c r="V207" s="222"/>
      <c r="W207" s="222"/>
      <c r="X207" s="222"/>
      <c r="Y207" s="222"/>
      <c r="Z207" s="222"/>
      <c r="AA207" s="222"/>
      <c r="AB207" s="222"/>
      <c r="AC207" s="222"/>
      <c r="AD207" s="222"/>
      <c r="AE207" s="222"/>
      <c r="AR207" s="324" t="s">
        <v>153</v>
      </c>
      <c r="AT207" s="324" t="s">
        <v>148</v>
      </c>
      <c r="AU207" s="324" t="s">
        <v>81</v>
      </c>
      <c r="AY207" s="214" t="s">
        <v>146</v>
      </c>
      <c r="BE207" s="325">
        <f t="shared" si="37"/>
        <v>0</v>
      </c>
      <c r="BF207" s="325">
        <f t="shared" si="38"/>
        <v>0</v>
      </c>
      <c r="BG207" s="325">
        <f t="shared" si="39"/>
        <v>0</v>
      </c>
      <c r="BH207" s="325">
        <f t="shared" si="40"/>
        <v>0</v>
      </c>
      <c r="BI207" s="325">
        <f t="shared" si="41"/>
        <v>0</v>
      </c>
      <c r="BJ207" s="214" t="s">
        <v>81</v>
      </c>
      <c r="BK207" s="325">
        <f t="shared" si="42"/>
        <v>0</v>
      </c>
      <c r="BL207" s="214" t="s">
        <v>153</v>
      </c>
      <c r="BM207" s="324" t="s">
        <v>2020</v>
      </c>
    </row>
    <row r="208" spans="1:65" s="225" customFormat="1" ht="24.2" customHeight="1">
      <c r="A208" s="222"/>
      <c r="B208" s="223"/>
      <c r="C208" s="314">
        <f t="shared" si="43"/>
        <v>77</v>
      </c>
      <c r="D208" s="314" t="s">
        <v>148</v>
      </c>
      <c r="E208" s="315" t="s">
        <v>2021</v>
      </c>
      <c r="F208" s="316" t="s">
        <v>2022</v>
      </c>
      <c r="G208" s="317" t="s">
        <v>301</v>
      </c>
      <c r="H208" s="318">
        <v>1</v>
      </c>
      <c r="I208" s="79"/>
      <c r="J208" s="319">
        <f t="shared" si="33"/>
        <v>0</v>
      </c>
      <c r="K208" s="316" t="s">
        <v>1</v>
      </c>
      <c r="L208" s="223"/>
      <c r="M208" s="320" t="s">
        <v>1</v>
      </c>
      <c r="N208" s="321" t="s">
        <v>42</v>
      </c>
      <c r="O208" s="322">
        <v>0</v>
      </c>
      <c r="P208" s="322">
        <f t="shared" si="34"/>
        <v>0</v>
      </c>
      <c r="Q208" s="322">
        <v>0</v>
      </c>
      <c r="R208" s="322">
        <f t="shared" si="35"/>
        <v>0</v>
      </c>
      <c r="S208" s="322">
        <v>0</v>
      </c>
      <c r="T208" s="323">
        <f t="shared" si="36"/>
        <v>0</v>
      </c>
      <c r="U208" s="222"/>
      <c r="V208" s="222"/>
      <c r="W208" s="222"/>
      <c r="X208" s="222"/>
      <c r="Y208" s="222"/>
      <c r="Z208" s="222"/>
      <c r="AA208" s="222"/>
      <c r="AB208" s="222"/>
      <c r="AC208" s="222"/>
      <c r="AD208" s="222"/>
      <c r="AE208" s="222"/>
      <c r="AR208" s="324" t="s">
        <v>153</v>
      </c>
      <c r="AT208" s="324" t="s">
        <v>148</v>
      </c>
      <c r="AU208" s="324" t="s">
        <v>81</v>
      </c>
      <c r="AY208" s="214" t="s">
        <v>146</v>
      </c>
      <c r="BE208" s="325">
        <f t="shared" si="37"/>
        <v>0</v>
      </c>
      <c r="BF208" s="325">
        <f t="shared" si="38"/>
        <v>0</v>
      </c>
      <c r="BG208" s="325">
        <f t="shared" si="39"/>
        <v>0</v>
      </c>
      <c r="BH208" s="325">
        <f t="shared" si="40"/>
        <v>0</v>
      </c>
      <c r="BI208" s="325">
        <f t="shared" si="41"/>
        <v>0</v>
      </c>
      <c r="BJ208" s="214" t="s">
        <v>81</v>
      </c>
      <c r="BK208" s="325">
        <f t="shared" si="42"/>
        <v>0</v>
      </c>
      <c r="BL208" s="214" t="s">
        <v>153</v>
      </c>
      <c r="BM208" s="324" t="s">
        <v>2023</v>
      </c>
    </row>
    <row r="209" spans="1:65" s="225" customFormat="1" ht="24.2" customHeight="1">
      <c r="A209" s="222"/>
      <c r="B209" s="223"/>
      <c r="C209" s="314">
        <f t="shared" si="43"/>
        <v>78</v>
      </c>
      <c r="D209" s="314" t="s">
        <v>148</v>
      </c>
      <c r="E209" s="315" t="s">
        <v>2024</v>
      </c>
      <c r="F209" s="316" t="s">
        <v>2025</v>
      </c>
      <c r="G209" s="317" t="s">
        <v>301</v>
      </c>
      <c r="H209" s="318">
        <v>1</v>
      </c>
      <c r="I209" s="79"/>
      <c r="J209" s="319">
        <f t="shared" si="33"/>
        <v>0</v>
      </c>
      <c r="K209" s="316" t="s">
        <v>1</v>
      </c>
      <c r="L209" s="223"/>
      <c r="M209" s="320" t="s">
        <v>1</v>
      </c>
      <c r="N209" s="321" t="s">
        <v>42</v>
      </c>
      <c r="O209" s="322">
        <v>0</v>
      </c>
      <c r="P209" s="322">
        <f t="shared" si="34"/>
        <v>0</v>
      </c>
      <c r="Q209" s="322">
        <v>0</v>
      </c>
      <c r="R209" s="322">
        <f t="shared" si="35"/>
        <v>0</v>
      </c>
      <c r="S209" s="322">
        <v>0</v>
      </c>
      <c r="T209" s="323">
        <f t="shared" si="36"/>
        <v>0</v>
      </c>
      <c r="U209" s="222"/>
      <c r="V209" s="222"/>
      <c r="W209" s="222"/>
      <c r="X209" s="222"/>
      <c r="Y209" s="222"/>
      <c r="Z209" s="222"/>
      <c r="AA209" s="222"/>
      <c r="AB209" s="222"/>
      <c r="AC209" s="222"/>
      <c r="AD209" s="222"/>
      <c r="AE209" s="222"/>
      <c r="AR209" s="324" t="s">
        <v>153</v>
      </c>
      <c r="AT209" s="324" t="s">
        <v>148</v>
      </c>
      <c r="AU209" s="324" t="s">
        <v>81</v>
      </c>
      <c r="AY209" s="214" t="s">
        <v>146</v>
      </c>
      <c r="BE209" s="325">
        <f t="shared" si="37"/>
        <v>0</v>
      </c>
      <c r="BF209" s="325">
        <f t="shared" si="38"/>
        <v>0</v>
      </c>
      <c r="BG209" s="325">
        <f t="shared" si="39"/>
        <v>0</v>
      </c>
      <c r="BH209" s="325">
        <f t="shared" si="40"/>
        <v>0</v>
      </c>
      <c r="BI209" s="325">
        <f t="shared" si="41"/>
        <v>0</v>
      </c>
      <c r="BJ209" s="214" t="s">
        <v>81</v>
      </c>
      <c r="BK209" s="325">
        <f t="shared" si="42"/>
        <v>0</v>
      </c>
      <c r="BL209" s="214" t="s">
        <v>153</v>
      </c>
      <c r="BM209" s="324" t="s">
        <v>2026</v>
      </c>
    </row>
    <row r="210" spans="1:65" s="225" customFormat="1" ht="24.2" customHeight="1">
      <c r="A210" s="222"/>
      <c r="B210" s="223"/>
      <c r="C210" s="314">
        <f t="shared" si="43"/>
        <v>79</v>
      </c>
      <c r="D210" s="314" t="s">
        <v>148</v>
      </c>
      <c r="E210" s="315" t="s">
        <v>2027</v>
      </c>
      <c r="F210" s="316" t="s">
        <v>2028</v>
      </c>
      <c r="G210" s="317" t="s">
        <v>301</v>
      </c>
      <c r="H210" s="318">
        <v>1</v>
      </c>
      <c r="I210" s="79"/>
      <c r="J210" s="319">
        <f t="shared" si="33"/>
        <v>0</v>
      </c>
      <c r="K210" s="316" t="s">
        <v>1</v>
      </c>
      <c r="L210" s="223"/>
      <c r="M210" s="320" t="s">
        <v>1</v>
      </c>
      <c r="N210" s="321" t="s">
        <v>42</v>
      </c>
      <c r="O210" s="322">
        <v>0</v>
      </c>
      <c r="P210" s="322">
        <f t="shared" si="34"/>
        <v>0</v>
      </c>
      <c r="Q210" s="322">
        <v>0</v>
      </c>
      <c r="R210" s="322">
        <f t="shared" si="35"/>
        <v>0</v>
      </c>
      <c r="S210" s="322">
        <v>0</v>
      </c>
      <c r="T210" s="323">
        <f t="shared" si="36"/>
        <v>0</v>
      </c>
      <c r="U210" s="222"/>
      <c r="V210" s="222"/>
      <c r="W210" s="222"/>
      <c r="X210" s="222"/>
      <c r="Y210" s="222"/>
      <c r="Z210" s="222"/>
      <c r="AA210" s="222"/>
      <c r="AB210" s="222"/>
      <c r="AC210" s="222"/>
      <c r="AD210" s="222"/>
      <c r="AE210" s="222"/>
      <c r="AR210" s="324" t="s">
        <v>153</v>
      </c>
      <c r="AT210" s="324" t="s">
        <v>148</v>
      </c>
      <c r="AU210" s="324" t="s">
        <v>81</v>
      </c>
      <c r="AY210" s="214" t="s">
        <v>146</v>
      </c>
      <c r="BE210" s="325">
        <f t="shared" si="37"/>
        <v>0</v>
      </c>
      <c r="BF210" s="325">
        <f t="shared" si="38"/>
        <v>0</v>
      </c>
      <c r="BG210" s="325">
        <f t="shared" si="39"/>
        <v>0</v>
      </c>
      <c r="BH210" s="325">
        <f t="shared" si="40"/>
        <v>0</v>
      </c>
      <c r="BI210" s="325">
        <f t="shared" si="41"/>
        <v>0</v>
      </c>
      <c r="BJ210" s="214" t="s">
        <v>81</v>
      </c>
      <c r="BK210" s="325">
        <f t="shared" si="42"/>
        <v>0</v>
      </c>
      <c r="BL210" s="214" t="s">
        <v>153</v>
      </c>
      <c r="BM210" s="324" t="s">
        <v>2029</v>
      </c>
    </row>
    <row r="211" spans="1:65" s="225" customFormat="1" ht="16.5" customHeight="1">
      <c r="A211" s="222"/>
      <c r="B211" s="223"/>
      <c r="C211" s="314">
        <f t="shared" si="43"/>
        <v>80</v>
      </c>
      <c r="D211" s="314" t="s">
        <v>148</v>
      </c>
      <c r="E211" s="315" t="s">
        <v>2030</v>
      </c>
      <c r="F211" s="316" t="s">
        <v>2031</v>
      </c>
      <c r="G211" s="317" t="s">
        <v>301</v>
      </c>
      <c r="H211" s="318">
        <v>1</v>
      </c>
      <c r="I211" s="79"/>
      <c r="J211" s="319">
        <f t="shared" si="33"/>
        <v>0</v>
      </c>
      <c r="K211" s="316" t="s">
        <v>1</v>
      </c>
      <c r="L211" s="223"/>
      <c r="M211" s="320" t="s">
        <v>1</v>
      </c>
      <c r="N211" s="321" t="s">
        <v>42</v>
      </c>
      <c r="O211" s="322">
        <v>0</v>
      </c>
      <c r="P211" s="322">
        <f t="shared" si="34"/>
        <v>0</v>
      </c>
      <c r="Q211" s="322">
        <v>0</v>
      </c>
      <c r="R211" s="322">
        <f t="shared" si="35"/>
        <v>0</v>
      </c>
      <c r="S211" s="322">
        <v>0</v>
      </c>
      <c r="T211" s="323">
        <f t="shared" si="36"/>
        <v>0</v>
      </c>
      <c r="U211" s="222"/>
      <c r="V211" s="222"/>
      <c r="W211" s="222"/>
      <c r="X211" s="222"/>
      <c r="Y211" s="222"/>
      <c r="Z211" s="222"/>
      <c r="AA211" s="222"/>
      <c r="AB211" s="222"/>
      <c r="AC211" s="222"/>
      <c r="AD211" s="222"/>
      <c r="AE211" s="222"/>
      <c r="AR211" s="324" t="s">
        <v>153</v>
      </c>
      <c r="AT211" s="324" t="s">
        <v>148</v>
      </c>
      <c r="AU211" s="324" t="s">
        <v>81</v>
      </c>
      <c r="AY211" s="214" t="s">
        <v>146</v>
      </c>
      <c r="BE211" s="325">
        <f t="shared" si="37"/>
        <v>0</v>
      </c>
      <c r="BF211" s="325">
        <f t="shared" si="38"/>
        <v>0</v>
      </c>
      <c r="BG211" s="325">
        <f t="shared" si="39"/>
        <v>0</v>
      </c>
      <c r="BH211" s="325">
        <f t="shared" si="40"/>
        <v>0</v>
      </c>
      <c r="BI211" s="325">
        <f t="shared" si="41"/>
        <v>0</v>
      </c>
      <c r="BJ211" s="214" t="s">
        <v>81</v>
      </c>
      <c r="BK211" s="325">
        <f t="shared" si="42"/>
        <v>0</v>
      </c>
      <c r="BL211" s="214" t="s">
        <v>153</v>
      </c>
      <c r="BM211" s="324" t="s">
        <v>2032</v>
      </c>
    </row>
    <row r="212" spans="1:65" s="225" customFormat="1" ht="49.15" customHeight="1">
      <c r="A212" s="222"/>
      <c r="B212" s="223"/>
      <c r="C212" s="314">
        <f t="shared" si="43"/>
        <v>81</v>
      </c>
      <c r="D212" s="314" t="s">
        <v>148</v>
      </c>
      <c r="E212" s="315" t="s">
        <v>2033</v>
      </c>
      <c r="F212" s="316" t="s">
        <v>2034</v>
      </c>
      <c r="G212" s="317" t="s">
        <v>864</v>
      </c>
      <c r="H212" s="318">
        <v>1</v>
      </c>
      <c r="I212" s="79"/>
      <c r="J212" s="319">
        <f t="shared" si="33"/>
        <v>0</v>
      </c>
      <c r="K212" s="316" t="s">
        <v>1</v>
      </c>
      <c r="L212" s="223"/>
      <c r="M212" s="320" t="s">
        <v>1</v>
      </c>
      <c r="N212" s="321" t="s">
        <v>42</v>
      </c>
      <c r="O212" s="322">
        <v>0</v>
      </c>
      <c r="P212" s="322">
        <f t="shared" si="34"/>
        <v>0</v>
      </c>
      <c r="Q212" s="322">
        <v>0</v>
      </c>
      <c r="R212" s="322">
        <f t="shared" si="35"/>
        <v>0</v>
      </c>
      <c r="S212" s="322">
        <v>0</v>
      </c>
      <c r="T212" s="323">
        <f t="shared" si="36"/>
        <v>0</v>
      </c>
      <c r="U212" s="222"/>
      <c r="V212" s="222"/>
      <c r="W212" s="222"/>
      <c r="X212" s="222"/>
      <c r="Y212" s="222"/>
      <c r="Z212" s="222"/>
      <c r="AA212" s="222"/>
      <c r="AB212" s="222"/>
      <c r="AC212" s="222"/>
      <c r="AD212" s="222"/>
      <c r="AE212" s="222"/>
      <c r="AR212" s="324" t="s">
        <v>153</v>
      </c>
      <c r="AT212" s="324" t="s">
        <v>148</v>
      </c>
      <c r="AU212" s="324" t="s">
        <v>81</v>
      </c>
      <c r="AY212" s="214" t="s">
        <v>146</v>
      </c>
      <c r="BE212" s="325">
        <f t="shared" si="37"/>
        <v>0</v>
      </c>
      <c r="BF212" s="325">
        <f t="shared" si="38"/>
        <v>0</v>
      </c>
      <c r="BG212" s="325">
        <f t="shared" si="39"/>
        <v>0</v>
      </c>
      <c r="BH212" s="325">
        <f t="shared" si="40"/>
        <v>0</v>
      </c>
      <c r="BI212" s="325">
        <f t="shared" si="41"/>
        <v>0</v>
      </c>
      <c r="BJ212" s="214" t="s">
        <v>81</v>
      </c>
      <c r="BK212" s="325">
        <f t="shared" si="42"/>
        <v>0</v>
      </c>
      <c r="BL212" s="214" t="s">
        <v>153</v>
      </c>
      <c r="BM212" s="324" t="s">
        <v>2035</v>
      </c>
    </row>
    <row r="213" spans="1:65" s="225" customFormat="1" ht="49.15" customHeight="1">
      <c r="A213" s="222"/>
      <c r="B213" s="223"/>
      <c r="C213" s="314">
        <f t="shared" si="43"/>
        <v>82</v>
      </c>
      <c r="D213" s="314" t="s">
        <v>148</v>
      </c>
      <c r="E213" s="315" t="s">
        <v>2036</v>
      </c>
      <c r="F213" s="316" t="s">
        <v>2037</v>
      </c>
      <c r="G213" s="317" t="s">
        <v>864</v>
      </c>
      <c r="H213" s="318">
        <v>1</v>
      </c>
      <c r="I213" s="79"/>
      <c r="J213" s="319">
        <f t="shared" si="33"/>
        <v>0</v>
      </c>
      <c r="K213" s="316" t="s">
        <v>1</v>
      </c>
      <c r="L213" s="223"/>
      <c r="M213" s="320" t="s">
        <v>1</v>
      </c>
      <c r="N213" s="321" t="s">
        <v>42</v>
      </c>
      <c r="O213" s="322">
        <v>0</v>
      </c>
      <c r="P213" s="322">
        <f t="shared" si="34"/>
        <v>0</v>
      </c>
      <c r="Q213" s="322">
        <v>0</v>
      </c>
      <c r="R213" s="322">
        <f t="shared" si="35"/>
        <v>0</v>
      </c>
      <c r="S213" s="322">
        <v>0</v>
      </c>
      <c r="T213" s="323">
        <f t="shared" si="36"/>
        <v>0</v>
      </c>
      <c r="U213" s="222"/>
      <c r="V213" s="222"/>
      <c r="W213" s="222"/>
      <c r="X213" s="222"/>
      <c r="Y213" s="222"/>
      <c r="Z213" s="222"/>
      <c r="AA213" s="222"/>
      <c r="AB213" s="222"/>
      <c r="AC213" s="222"/>
      <c r="AD213" s="222"/>
      <c r="AE213" s="222"/>
      <c r="AR213" s="324" t="s">
        <v>153</v>
      </c>
      <c r="AT213" s="324" t="s">
        <v>148</v>
      </c>
      <c r="AU213" s="324" t="s">
        <v>81</v>
      </c>
      <c r="AY213" s="214" t="s">
        <v>146</v>
      </c>
      <c r="BE213" s="325">
        <f t="shared" si="37"/>
        <v>0</v>
      </c>
      <c r="BF213" s="325">
        <f t="shared" si="38"/>
        <v>0</v>
      </c>
      <c r="BG213" s="325">
        <f t="shared" si="39"/>
        <v>0</v>
      </c>
      <c r="BH213" s="325">
        <f t="shared" si="40"/>
        <v>0</v>
      </c>
      <c r="BI213" s="325">
        <f t="shared" si="41"/>
        <v>0</v>
      </c>
      <c r="BJ213" s="214" t="s">
        <v>81</v>
      </c>
      <c r="BK213" s="325">
        <f t="shared" si="42"/>
        <v>0</v>
      </c>
      <c r="BL213" s="214" t="s">
        <v>153</v>
      </c>
      <c r="BM213" s="324" t="s">
        <v>2038</v>
      </c>
    </row>
    <row r="214" spans="1:65" s="225" customFormat="1" ht="24.2" customHeight="1">
      <c r="A214" s="222"/>
      <c r="B214" s="223"/>
      <c r="C214" s="314">
        <f t="shared" si="43"/>
        <v>83</v>
      </c>
      <c r="D214" s="314" t="s">
        <v>148</v>
      </c>
      <c r="E214" s="315" t="s">
        <v>2039</v>
      </c>
      <c r="F214" s="316" t="s">
        <v>2040</v>
      </c>
      <c r="G214" s="317" t="s">
        <v>158</v>
      </c>
      <c r="H214" s="318">
        <v>30</v>
      </c>
      <c r="I214" s="79"/>
      <c r="J214" s="319">
        <f t="shared" si="33"/>
        <v>0</v>
      </c>
      <c r="K214" s="316" t="s">
        <v>1</v>
      </c>
      <c r="L214" s="223"/>
      <c r="M214" s="320" t="s">
        <v>1</v>
      </c>
      <c r="N214" s="321" t="s">
        <v>42</v>
      </c>
      <c r="O214" s="322">
        <v>0</v>
      </c>
      <c r="P214" s="322">
        <f t="shared" si="34"/>
        <v>0</v>
      </c>
      <c r="Q214" s="322">
        <v>0</v>
      </c>
      <c r="R214" s="322">
        <f t="shared" si="35"/>
        <v>0</v>
      </c>
      <c r="S214" s="322">
        <v>0</v>
      </c>
      <c r="T214" s="323">
        <f t="shared" si="36"/>
        <v>0</v>
      </c>
      <c r="U214" s="222"/>
      <c r="V214" s="222"/>
      <c r="W214" s="222"/>
      <c r="X214" s="222"/>
      <c r="Y214" s="222"/>
      <c r="Z214" s="222"/>
      <c r="AA214" s="222"/>
      <c r="AB214" s="222"/>
      <c r="AC214" s="222"/>
      <c r="AD214" s="222"/>
      <c r="AE214" s="222"/>
      <c r="AR214" s="324" t="s">
        <v>153</v>
      </c>
      <c r="AT214" s="324" t="s">
        <v>148</v>
      </c>
      <c r="AU214" s="324" t="s">
        <v>81</v>
      </c>
      <c r="AY214" s="214" t="s">
        <v>146</v>
      </c>
      <c r="BE214" s="325">
        <f t="shared" si="37"/>
        <v>0</v>
      </c>
      <c r="BF214" s="325">
        <f t="shared" si="38"/>
        <v>0</v>
      </c>
      <c r="BG214" s="325">
        <f t="shared" si="39"/>
        <v>0</v>
      </c>
      <c r="BH214" s="325">
        <f t="shared" si="40"/>
        <v>0</v>
      </c>
      <c r="BI214" s="325">
        <f t="shared" si="41"/>
        <v>0</v>
      </c>
      <c r="BJ214" s="214" t="s">
        <v>81</v>
      </c>
      <c r="BK214" s="325">
        <f t="shared" si="42"/>
        <v>0</v>
      </c>
      <c r="BL214" s="214" t="s">
        <v>153</v>
      </c>
      <c r="BM214" s="324" t="s">
        <v>2041</v>
      </c>
    </row>
    <row r="215" spans="1:65" s="225" customFormat="1" ht="16.5" customHeight="1">
      <c r="A215" s="222"/>
      <c r="B215" s="223"/>
      <c r="C215" s="314">
        <f t="shared" si="43"/>
        <v>84</v>
      </c>
      <c r="D215" s="314" t="s">
        <v>148</v>
      </c>
      <c r="E215" s="315" t="s">
        <v>2042</v>
      </c>
      <c r="F215" s="316" t="s">
        <v>2043</v>
      </c>
      <c r="G215" s="317" t="s">
        <v>158</v>
      </c>
      <c r="H215" s="318">
        <v>320</v>
      </c>
      <c r="I215" s="79"/>
      <c r="J215" s="319">
        <f t="shared" si="33"/>
        <v>0</v>
      </c>
      <c r="K215" s="316" t="s">
        <v>1</v>
      </c>
      <c r="L215" s="223"/>
      <c r="M215" s="320" t="s">
        <v>1</v>
      </c>
      <c r="N215" s="321" t="s">
        <v>42</v>
      </c>
      <c r="O215" s="322">
        <v>0</v>
      </c>
      <c r="P215" s="322">
        <f t="shared" si="34"/>
        <v>0</v>
      </c>
      <c r="Q215" s="322">
        <v>0</v>
      </c>
      <c r="R215" s="322">
        <f t="shared" si="35"/>
        <v>0</v>
      </c>
      <c r="S215" s="322">
        <v>0</v>
      </c>
      <c r="T215" s="323">
        <f t="shared" si="36"/>
        <v>0</v>
      </c>
      <c r="U215" s="222"/>
      <c r="V215" s="222"/>
      <c r="W215" s="222"/>
      <c r="X215" s="222"/>
      <c r="Y215" s="222"/>
      <c r="Z215" s="222"/>
      <c r="AA215" s="222"/>
      <c r="AB215" s="222"/>
      <c r="AC215" s="222"/>
      <c r="AD215" s="222"/>
      <c r="AE215" s="222"/>
      <c r="AR215" s="324" t="s">
        <v>153</v>
      </c>
      <c r="AT215" s="324" t="s">
        <v>148</v>
      </c>
      <c r="AU215" s="324" t="s">
        <v>81</v>
      </c>
      <c r="AY215" s="214" t="s">
        <v>146</v>
      </c>
      <c r="BE215" s="325">
        <f t="shared" si="37"/>
        <v>0</v>
      </c>
      <c r="BF215" s="325">
        <f t="shared" si="38"/>
        <v>0</v>
      </c>
      <c r="BG215" s="325">
        <f t="shared" si="39"/>
        <v>0</v>
      </c>
      <c r="BH215" s="325">
        <f t="shared" si="40"/>
        <v>0</v>
      </c>
      <c r="BI215" s="325">
        <f t="shared" si="41"/>
        <v>0</v>
      </c>
      <c r="BJ215" s="214" t="s">
        <v>81</v>
      </c>
      <c r="BK215" s="325">
        <f t="shared" si="42"/>
        <v>0</v>
      </c>
      <c r="BL215" s="214" t="s">
        <v>153</v>
      </c>
      <c r="BM215" s="324" t="s">
        <v>2044</v>
      </c>
    </row>
    <row r="216" spans="1:65" s="225" customFormat="1" ht="16.5" customHeight="1">
      <c r="A216" s="222"/>
      <c r="B216" s="223"/>
      <c r="C216" s="314">
        <f t="shared" si="43"/>
        <v>85</v>
      </c>
      <c r="D216" s="314" t="s">
        <v>148</v>
      </c>
      <c r="E216" s="315" t="s">
        <v>2045</v>
      </c>
      <c r="F216" s="316" t="s">
        <v>2046</v>
      </c>
      <c r="G216" s="317" t="s">
        <v>158</v>
      </c>
      <c r="H216" s="318">
        <v>320</v>
      </c>
      <c r="I216" s="79"/>
      <c r="J216" s="319">
        <f t="shared" si="33"/>
        <v>0</v>
      </c>
      <c r="K216" s="316" t="s">
        <v>1</v>
      </c>
      <c r="L216" s="223"/>
      <c r="M216" s="320" t="s">
        <v>1</v>
      </c>
      <c r="N216" s="321" t="s">
        <v>42</v>
      </c>
      <c r="O216" s="322">
        <v>0</v>
      </c>
      <c r="P216" s="322">
        <f t="shared" si="34"/>
        <v>0</v>
      </c>
      <c r="Q216" s="322">
        <v>0</v>
      </c>
      <c r="R216" s="322">
        <f t="shared" si="35"/>
        <v>0</v>
      </c>
      <c r="S216" s="322">
        <v>0</v>
      </c>
      <c r="T216" s="323">
        <f t="shared" si="36"/>
        <v>0</v>
      </c>
      <c r="U216" s="222"/>
      <c r="V216" s="222"/>
      <c r="W216" s="222"/>
      <c r="X216" s="222"/>
      <c r="Y216" s="222"/>
      <c r="Z216" s="222"/>
      <c r="AA216" s="222"/>
      <c r="AB216" s="222"/>
      <c r="AC216" s="222"/>
      <c r="AD216" s="222"/>
      <c r="AE216" s="222"/>
      <c r="AR216" s="324" t="s">
        <v>153</v>
      </c>
      <c r="AT216" s="324" t="s">
        <v>148</v>
      </c>
      <c r="AU216" s="324" t="s">
        <v>81</v>
      </c>
      <c r="AY216" s="214" t="s">
        <v>146</v>
      </c>
      <c r="BE216" s="325">
        <f t="shared" si="37"/>
        <v>0</v>
      </c>
      <c r="BF216" s="325">
        <f t="shared" si="38"/>
        <v>0</v>
      </c>
      <c r="BG216" s="325">
        <f t="shared" si="39"/>
        <v>0</v>
      </c>
      <c r="BH216" s="325">
        <f t="shared" si="40"/>
        <v>0</v>
      </c>
      <c r="BI216" s="325">
        <f t="shared" si="41"/>
        <v>0</v>
      </c>
      <c r="BJ216" s="214" t="s">
        <v>81</v>
      </c>
      <c r="BK216" s="325">
        <f t="shared" si="42"/>
        <v>0</v>
      </c>
      <c r="BL216" s="214" t="s">
        <v>153</v>
      </c>
      <c r="BM216" s="324" t="s">
        <v>2047</v>
      </c>
    </row>
    <row r="217" spans="1:65" s="225" customFormat="1" ht="16.5" customHeight="1">
      <c r="A217" s="222"/>
      <c r="B217" s="223"/>
      <c r="C217" s="314">
        <f t="shared" si="43"/>
        <v>86</v>
      </c>
      <c r="D217" s="314" t="s">
        <v>148</v>
      </c>
      <c r="E217" s="315" t="s">
        <v>2048</v>
      </c>
      <c r="F217" s="316" t="s">
        <v>3835</v>
      </c>
      <c r="G217" s="317" t="s">
        <v>883</v>
      </c>
      <c r="H217" s="318">
        <v>1</v>
      </c>
      <c r="I217" s="79"/>
      <c r="J217" s="319">
        <f aca="true" t="shared" si="44" ref="J217">ROUND(I217*H217,2)</f>
        <v>0</v>
      </c>
      <c r="K217" s="316" t="s">
        <v>1</v>
      </c>
      <c r="L217" s="223"/>
      <c r="M217" s="320" t="s">
        <v>1</v>
      </c>
      <c r="N217" s="321" t="s">
        <v>42</v>
      </c>
      <c r="O217" s="322">
        <v>0</v>
      </c>
      <c r="P217" s="322">
        <f aca="true" t="shared" si="45" ref="P217">O217*H217</f>
        <v>0</v>
      </c>
      <c r="Q217" s="322">
        <v>0</v>
      </c>
      <c r="R217" s="322">
        <f aca="true" t="shared" si="46" ref="R217">Q217*H217</f>
        <v>0</v>
      </c>
      <c r="S217" s="322">
        <v>0</v>
      </c>
      <c r="T217" s="323">
        <f aca="true" t="shared" si="47" ref="T217">S217*H217</f>
        <v>0</v>
      </c>
      <c r="U217" s="222"/>
      <c r="V217" s="222"/>
      <c r="W217" s="222"/>
      <c r="X217" s="222"/>
      <c r="Y217" s="222"/>
      <c r="Z217" s="222"/>
      <c r="AA217" s="222"/>
      <c r="AB217" s="222"/>
      <c r="AC217" s="222"/>
      <c r="AD217" s="222"/>
      <c r="AE217" s="222"/>
      <c r="AR217" s="324" t="s">
        <v>153</v>
      </c>
      <c r="AT217" s="324" t="s">
        <v>148</v>
      </c>
      <c r="AU217" s="324" t="s">
        <v>81</v>
      </c>
      <c r="AY217" s="214" t="s">
        <v>146</v>
      </c>
      <c r="BE217" s="325">
        <f aca="true" t="shared" si="48" ref="BE217">IF(N217="základní",J217,0)</f>
        <v>0</v>
      </c>
      <c r="BF217" s="325">
        <f aca="true" t="shared" si="49" ref="BF217">IF(N217="snížená",J217,0)</f>
        <v>0</v>
      </c>
      <c r="BG217" s="325">
        <f aca="true" t="shared" si="50" ref="BG217">IF(N217="zákl. přenesená",J217,0)</f>
        <v>0</v>
      </c>
      <c r="BH217" s="325">
        <f aca="true" t="shared" si="51" ref="BH217">IF(N217="sníž. přenesená",J217,0)</f>
        <v>0</v>
      </c>
      <c r="BI217" s="325">
        <f aca="true" t="shared" si="52" ref="BI217">IF(N217="nulová",J217,0)</f>
        <v>0</v>
      </c>
      <c r="BJ217" s="214" t="s">
        <v>81</v>
      </c>
      <c r="BK217" s="325">
        <f aca="true" t="shared" si="53" ref="BK217">ROUND(I217*H217,2)</f>
        <v>0</v>
      </c>
      <c r="BL217" s="214" t="s">
        <v>153</v>
      </c>
      <c r="BM217" s="324" t="s">
        <v>2049</v>
      </c>
    </row>
    <row r="218" spans="2:63" s="297" customFormat="1" ht="25.9" customHeight="1">
      <c r="B218" s="298"/>
      <c r="D218" s="299" t="s">
        <v>75</v>
      </c>
      <c r="E218" s="300" t="s">
        <v>185</v>
      </c>
      <c r="F218" s="300" t="s">
        <v>2050</v>
      </c>
      <c r="I218" s="501"/>
      <c r="J218" s="301">
        <f>SUM(J219:J228)</f>
        <v>0</v>
      </c>
      <c r="L218" s="298"/>
      <c r="M218" s="303"/>
      <c r="N218" s="304"/>
      <c r="O218" s="304"/>
      <c r="P218" s="305">
        <f>SUM(P219:P228)</f>
        <v>0</v>
      </c>
      <c r="Q218" s="304"/>
      <c r="R218" s="305">
        <f>SUM(R219:R228)</f>
        <v>0</v>
      </c>
      <c r="S218" s="304"/>
      <c r="T218" s="313">
        <f>SUM(T219:T228)</f>
        <v>0</v>
      </c>
      <c r="AR218" s="299" t="s">
        <v>81</v>
      </c>
      <c r="AT218" s="308" t="s">
        <v>75</v>
      </c>
      <c r="AU218" s="308" t="s">
        <v>76</v>
      </c>
      <c r="AY218" s="299" t="s">
        <v>146</v>
      </c>
      <c r="BK218" s="309">
        <f>SUM(BK219:BK228)</f>
        <v>0</v>
      </c>
    </row>
    <row r="219" spans="1:65" s="225" customFormat="1" ht="116.25" customHeight="1">
      <c r="A219" s="222"/>
      <c r="B219" s="223"/>
      <c r="C219" s="314">
        <f>C217+1</f>
        <v>87</v>
      </c>
      <c r="D219" s="314" t="s">
        <v>148</v>
      </c>
      <c r="E219" s="315" t="s">
        <v>2051</v>
      </c>
      <c r="F219" s="316" t="s">
        <v>2628</v>
      </c>
      <c r="G219" s="317" t="s">
        <v>864</v>
      </c>
      <c r="H219" s="318">
        <v>5</v>
      </c>
      <c r="I219" s="79"/>
      <c r="J219" s="319">
        <f aca="true" t="shared" si="54" ref="J219:J228">ROUND(I219*H219,2)</f>
        <v>0</v>
      </c>
      <c r="K219" s="316" t="s">
        <v>1</v>
      </c>
      <c r="L219" s="223"/>
      <c r="M219" s="320" t="s">
        <v>1</v>
      </c>
      <c r="N219" s="321" t="s">
        <v>42</v>
      </c>
      <c r="O219" s="322">
        <v>0</v>
      </c>
      <c r="P219" s="322">
        <f aca="true" t="shared" si="55" ref="P219:P228">O219*H219</f>
        <v>0</v>
      </c>
      <c r="Q219" s="322">
        <v>0</v>
      </c>
      <c r="R219" s="322">
        <f aca="true" t="shared" si="56" ref="R219:R228">Q219*H219</f>
        <v>0</v>
      </c>
      <c r="S219" s="322">
        <v>0</v>
      </c>
      <c r="T219" s="323">
        <f aca="true" t="shared" si="57" ref="T219:T228">S219*H219</f>
        <v>0</v>
      </c>
      <c r="U219" s="222"/>
      <c r="V219" s="222"/>
      <c r="W219" s="222"/>
      <c r="X219" s="222"/>
      <c r="Y219" s="222"/>
      <c r="Z219" s="222"/>
      <c r="AA219" s="222"/>
      <c r="AB219" s="222"/>
      <c r="AC219" s="222"/>
      <c r="AD219" s="222"/>
      <c r="AE219" s="222"/>
      <c r="AR219" s="324" t="s">
        <v>153</v>
      </c>
      <c r="AT219" s="324" t="s">
        <v>148</v>
      </c>
      <c r="AU219" s="324" t="s">
        <v>81</v>
      </c>
      <c r="AY219" s="214" t="s">
        <v>146</v>
      </c>
      <c r="BE219" s="325">
        <f aca="true" t="shared" si="58" ref="BE219:BE228">IF(N219="základní",J219,0)</f>
        <v>0</v>
      </c>
      <c r="BF219" s="325">
        <f aca="true" t="shared" si="59" ref="BF219:BF228">IF(N219="snížená",J219,0)</f>
        <v>0</v>
      </c>
      <c r="BG219" s="325">
        <f aca="true" t="shared" si="60" ref="BG219:BG228">IF(N219="zákl. přenesená",J219,0)</f>
        <v>0</v>
      </c>
      <c r="BH219" s="325">
        <f aca="true" t="shared" si="61" ref="BH219:BH228">IF(N219="sníž. přenesená",J219,0)</f>
        <v>0</v>
      </c>
      <c r="BI219" s="325">
        <f aca="true" t="shared" si="62" ref="BI219:BI228">IF(N219="nulová",J219,0)</f>
        <v>0</v>
      </c>
      <c r="BJ219" s="214" t="s">
        <v>81</v>
      </c>
      <c r="BK219" s="325">
        <f aca="true" t="shared" si="63" ref="BK219:BK228">ROUND(I219*H219,2)</f>
        <v>0</v>
      </c>
      <c r="BL219" s="214" t="s">
        <v>153</v>
      </c>
      <c r="BM219" s="324" t="s">
        <v>2052</v>
      </c>
    </row>
    <row r="220" spans="1:65" s="225" customFormat="1" ht="49.15" customHeight="1">
      <c r="A220" s="222"/>
      <c r="B220" s="223"/>
      <c r="C220" s="314">
        <f aca="true" t="shared" si="64" ref="C220:C228">C219+1</f>
        <v>88</v>
      </c>
      <c r="D220" s="314" t="s">
        <v>148</v>
      </c>
      <c r="E220" s="315" t="s">
        <v>2053</v>
      </c>
      <c r="F220" s="316" t="s">
        <v>2054</v>
      </c>
      <c r="G220" s="317" t="s">
        <v>864</v>
      </c>
      <c r="H220" s="318">
        <v>4</v>
      </c>
      <c r="I220" s="79"/>
      <c r="J220" s="319">
        <f t="shared" si="54"/>
        <v>0</v>
      </c>
      <c r="K220" s="316" t="s">
        <v>1</v>
      </c>
      <c r="L220" s="223"/>
      <c r="M220" s="320" t="s">
        <v>1</v>
      </c>
      <c r="N220" s="321" t="s">
        <v>42</v>
      </c>
      <c r="O220" s="322">
        <v>0</v>
      </c>
      <c r="P220" s="322">
        <f t="shared" si="55"/>
        <v>0</v>
      </c>
      <c r="Q220" s="322">
        <v>0</v>
      </c>
      <c r="R220" s="322">
        <f t="shared" si="56"/>
        <v>0</v>
      </c>
      <c r="S220" s="322">
        <v>0</v>
      </c>
      <c r="T220" s="323">
        <f t="shared" si="57"/>
        <v>0</v>
      </c>
      <c r="U220" s="222"/>
      <c r="V220" s="222"/>
      <c r="W220" s="222"/>
      <c r="X220" s="222"/>
      <c r="Y220" s="222"/>
      <c r="Z220" s="222"/>
      <c r="AA220" s="222"/>
      <c r="AB220" s="222"/>
      <c r="AC220" s="222"/>
      <c r="AD220" s="222"/>
      <c r="AE220" s="222"/>
      <c r="AR220" s="324" t="s">
        <v>153</v>
      </c>
      <c r="AT220" s="324" t="s">
        <v>148</v>
      </c>
      <c r="AU220" s="324" t="s">
        <v>81</v>
      </c>
      <c r="AY220" s="214" t="s">
        <v>146</v>
      </c>
      <c r="BE220" s="325">
        <f t="shared" si="58"/>
        <v>0</v>
      </c>
      <c r="BF220" s="325">
        <f t="shared" si="59"/>
        <v>0</v>
      </c>
      <c r="BG220" s="325">
        <f t="shared" si="60"/>
        <v>0</v>
      </c>
      <c r="BH220" s="325">
        <f t="shared" si="61"/>
        <v>0</v>
      </c>
      <c r="BI220" s="325">
        <f t="shared" si="62"/>
        <v>0</v>
      </c>
      <c r="BJ220" s="214" t="s">
        <v>81</v>
      </c>
      <c r="BK220" s="325">
        <f t="shared" si="63"/>
        <v>0</v>
      </c>
      <c r="BL220" s="214" t="s">
        <v>153</v>
      </c>
      <c r="BM220" s="324" t="s">
        <v>2055</v>
      </c>
    </row>
    <row r="221" spans="1:65" s="225" customFormat="1" ht="91.5" customHeight="1">
      <c r="A221" s="222"/>
      <c r="B221" s="223"/>
      <c r="C221" s="314">
        <f t="shared" si="64"/>
        <v>89</v>
      </c>
      <c r="D221" s="314" t="s">
        <v>148</v>
      </c>
      <c r="E221" s="315" t="s">
        <v>2056</v>
      </c>
      <c r="F221" s="316" t="s">
        <v>2629</v>
      </c>
      <c r="G221" s="317" t="s">
        <v>864</v>
      </c>
      <c r="H221" s="318">
        <v>8</v>
      </c>
      <c r="I221" s="79"/>
      <c r="J221" s="319">
        <f t="shared" si="54"/>
        <v>0</v>
      </c>
      <c r="K221" s="316" t="s">
        <v>1</v>
      </c>
      <c r="L221" s="223"/>
      <c r="M221" s="320" t="s">
        <v>1</v>
      </c>
      <c r="N221" s="321" t="s">
        <v>42</v>
      </c>
      <c r="O221" s="322">
        <v>0</v>
      </c>
      <c r="P221" s="322">
        <f t="shared" si="55"/>
        <v>0</v>
      </c>
      <c r="Q221" s="322">
        <v>0</v>
      </c>
      <c r="R221" s="322">
        <f t="shared" si="56"/>
        <v>0</v>
      </c>
      <c r="S221" s="322">
        <v>0</v>
      </c>
      <c r="T221" s="323">
        <f t="shared" si="57"/>
        <v>0</v>
      </c>
      <c r="U221" s="222"/>
      <c r="V221" s="222"/>
      <c r="W221" s="222"/>
      <c r="X221" s="222"/>
      <c r="Y221" s="222"/>
      <c r="Z221" s="222"/>
      <c r="AA221" s="222"/>
      <c r="AB221" s="222"/>
      <c r="AC221" s="222"/>
      <c r="AD221" s="222"/>
      <c r="AE221" s="222"/>
      <c r="AR221" s="324" t="s">
        <v>153</v>
      </c>
      <c r="AT221" s="324" t="s">
        <v>148</v>
      </c>
      <c r="AU221" s="324" t="s">
        <v>81</v>
      </c>
      <c r="AY221" s="214" t="s">
        <v>146</v>
      </c>
      <c r="BE221" s="325">
        <f t="shared" si="58"/>
        <v>0</v>
      </c>
      <c r="BF221" s="325">
        <f t="shared" si="59"/>
        <v>0</v>
      </c>
      <c r="BG221" s="325">
        <f t="shared" si="60"/>
        <v>0</v>
      </c>
      <c r="BH221" s="325">
        <f t="shared" si="61"/>
        <v>0</v>
      </c>
      <c r="BI221" s="325">
        <f t="shared" si="62"/>
        <v>0</v>
      </c>
      <c r="BJ221" s="214" t="s">
        <v>81</v>
      </c>
      <c r="BK221" s="325">
        <f t="shared" si="63"/>
        <v>0</v>
      </c>
      <c r="BL221" s="214" t="s">
        <v>153</v>
      </c>
      <c r="BM221" s="324" t="s">
        <v>2057</v>
      </c>
    </row>
    <row r="222" spans="1:65" s="225" customFormat="1" ht="49.15" customHeight="1">
      <c r="A222" s="222"/>
      <c r="B222" s="223"/>
      <c r="C222" s="314">
        <f t="shared" si="64"/>
        <v>90</v>
      </c>
      <c r="D222" s="314" t="s">
        <v>148</v>
      </c>
      <c r="E222" s="315" t="s">
        <v>2058</v>
      </c>
      <c r="F222" s="316" t="s">
        <v>2059</v>
      </c>
      <c r="G222" s="317" t="s">
        <v>864</v>
      </c>
      <c r="H222" s="318">
        <v>8</v>
      </c>
      <c r="I222" s="79"/>
      <c r="J222" s="319">
        <f t="shared" si="54"/>
        <v>0</v>
      </c>
      <c r="K222" s="316" t="s">
        <v>1</v>
      </c>
      <c r="L222" s="223"/>
      <c r="M222" s="320" t="s">
        <v>1</v>
      </c>
      <c r="N222" s="321" t="s">
        <v>42</v>
      </c>
      <c r="O222" s="322">
        <v>0</v>
      </c>
      <c r="P222" s="322">
        <f t="shared" si="55"/>
        <v>0</v>
      </c>
      <c r="Q222" s="322">
        <v>0</v>
      </c>
      <c r="R222" s="322">
        <f t="shared" si="56"/>
        <v>0</v>
      </c>
      <c r="S222" s="322">
        <v>0</v>
      </c>
      <c r="T222" s="323">
        <f t="shared" si="57"/>
        <v>0</v>
      </c>
      <c r="U222" s="222"/>
      <c r="V222" s="222"/>
      <c r="W222" s="222"/>
      <c r="X222" s="222"/>
      <c r="Y222" s="222"/>
      <c r="Z222" s="222"/>
      <c r="AA222" s="222"/>
      <c r="AB222" s="222"/>
      <c r="AC222" s="222"/>
      <c r="AD222" s="222"/>
      <c r="AE222" s="222"/>
      <c r="AR222" s="324" t="s">
        <v>153</v>
      </c>
      <c r="AT222" s="324" t="s">
        <v>148</v>
      </c>
      <c r="AU222" s="324" t="s">
        <v>81</v>
      </c>
      <c r="AY222" s="214" t="s">
        <v>146</v>
      </c>
      <c r="BE222" s="325">
        <f t="shared" si="58"/>
        <v>0</v>
      </c>
      <c r="BF222" s="325">
        <f t="shared" si="59"/>
        <v>0</v>
      </c>
      <c r="BG222" s="325">
        <f t="shared" si="60"/>
        <v>0</v>
      </c>
      <c r="BH222" s="325">
        <f t="shared" si="61"/>
        <v>0</v>
      </c>
      <c r="BI222" s="325">
        <f t="shared" si="62"/>
        <v>0</v>
      </c>
      <c r="BJ222" s="214" t="s">
        <v>81</v>
      </c>
      <c r="BK222" s="325">
        <f t="shared" si="63"/>
        <v>0</v>
      </c>
      <c r="BL222" s="214" t="s">
        <v>153</v>
      </c>
      <c r="BM222" s="324" t="s">
        <v>2060</v>
      </c>
    </row>
    <row r="223" spans="1:65" s="225" customFormat="1" ht="37.9" customHeight="1">
      <c r="A223" s="222"/>
      <c r="B223" s="223"/>
      <c r="C223" s="314">
        <f t="shared" si="64"/>
        <v>91</v>
      </c>
      <c r="D223" s="314" t="s">
        <v>148</v>
      </c>
      <c r="E223" s="315" t="s">
        <v>2061</v>
      </c>
      <c r="F223" s="316" t="s">
        <v>2062</v>
      </c>
      <c r="G223" s="317" t="s">
        <v>864</v>
      </c>
      <c r="H223" s="318">
        <v>1</v>
      </c>
      <c r="I223" s="79"/>
      <c r="J223" s="319">
        <f t="shared" si="54"/>
        <v>0</v>
      </c>
      <c r="K223" s="316" t="s">
        <v>1</v>
      </c>
      <c r="L223" s="223"/>
      <c r="M223" s="320" t="s">
        <v>1</v>
      </c>
      <c r="N223" s="321" t="s">
        <v>42</v>
      </c>
      <c r="O223" s="322">
        <v>0</v>
      </c>
      <c r="P223" s="322">
        <f t="shared" si="55"/>
        <v>0</v>
      </c>
      <c r="Q223" s="322">
        <v>0</v>
      </c>
      <c r="R223" s="322">
        <f t="shared" si="56"/>
        <v>0</v>
      </c>
      <c r="S223" s="322">
        <v>0</v>
      </c>
      <c r="T223" s="323">
        <f t="shared" si="57"/>
        <v>0</v>
      </c>
      <c r="U223" s="222"/>
      <c r="V223" s="222"/>
      <c r="W223" s="222"/>
      <c r="X223" s="222"/>
      <c r="Y223" s="222"/>
      <c r="Z223" s="222"/>
      <c r="AA223" s="222"/>
      <c r="AB223" s="222"/>
      <c r="AC223" s="222"/>
      <c r="AD223" s="222"/>
      <c r="AE223" s="222"/>
      <c r="AR223" s="324" t="s">
        <v>153</v>
      </c>
      <c r="AT223" s="324" t="s">
        <v>148</v>
      </c>
      <c r="AU223" s="324" t="s">
        <v>81</v>
      </c>
      <c r="AY223" s="214" t="s">
        <v>146</v>
      </c>
      <c r="BE223" s="325">
        <f t="shared" si="58"/>
        <v>0</v>
      </c>
      <c r="BF223" s="325">
        <f t="shared" si="59"/>
        <v>0</v>
      </c>
      <c r="BG223" s="325">
        <f t="shared" si="60"/>
        <v>0</v>
      </c>
      <c r="BH223" s="325">
        <f t="shared" si="61"/>
        <v>0</v>
      </c>
      <c r="BI223" s="325">
        <f t="shared" si="62"/>
        <v>0</v>
      </c>
      <c r="BJ223" s="214" t="s">
        <v>81</v>
      </c>
      <c r="BK223" s="325">
        <f t="shared" si="63"/>
        <v>0</v>
      </c>
      <c r="BL223" s="214" t="s">
        <v>153</v>
      </c>
      <c r="BM223" s="324" t="s">
        <v>2063</v>
      </c>
    </row>
    <row r="224" spans="1:65" s="225" customFormat="1" ht="55.5" customHeight="1">
      <c r="A224" s="222"/>
      <c r="B224" s="223"/>
      <c r="C224" s="314">
        <f t="shared" si="64"/>
        <v>92</v>
      </c>
      <c r="D224" s="314" t="s">
        <v>148</v>
      </c>
      <c r="E224" s="315" t="s">
        <v>2064</v>
      </c>
      <c r="F224" s="316" t="s">
        <v>2065</v>
      </c>
      <c r="G224" s="317" t="s">
        <v>301</v>
      </c>
      <c r="H224" s="318">
        <v>5</v>
      </c>
      <c r="I224" s="79"/>
      <c r="J224" s="319">
        <f t="shared" si="54"/>
        <v>0</v>
      </c>
      <c r="K224" s="316" t="s">
        <v>1</v>
      </c>
      <c r="L224" s="223"/>
      <c r="M224" s="320" t="s">
        <v>1</v>
      </c>
      <c r="N224" s="321" t="s">
        <v>42</v>
      </c>
      <c r="O224" s="322">
        <v>0</v>
      </c>
      <c r="P224" s="322">
        <f t="shared" si="55"/>
        <v>0</v>
      </c>
      <c r="Q224" s="322">
        <v>0</v>
      </c>
      <c r="R224" s="322">
        <f t="shared" si="56"/>
        <v>0</v>
      </c>
      <c r="S224" s="322">
        <v>0</v>
      </c>
      <c r="T224" s="323">
        <f t="shared" si="57"/>
        <v>0</v>
      </c>
      <c r="U224" s="222"/>
      <c r="V224" s="222"/>
      <c r="W224" s="222"/>
      <c r="X224" s="222"/>
      <c r="Y224" s="222"/>
      <c r="Z224" s="222"/>
      <c r="AA224" s="222"/>
      <c r="AB224" s="222"/>
      <c r="AC224" s="222"/>
      <c r="AD224" s="222"/>
      <c r="AE224" s="222"/>
      <c r="AR224" s="324" t="s">
        <v>153</v>
      </c>
      <c r="AT224" s="324" t="s">
        <v>148</v>
      </c>
      <c r="AU224" s="324" t="s">
        <v>81</v>
      </c>
      <c r="AY224" s="214" t="s">
        <v>146</v>
      </c>
      <c r="BE224" s="325">
        <f t="shared" si="58"/>
        <v>0</v>
      </c>
      <c r="BF224" s="325">
        <f t="shared" si="59"/>
        <v>0</v>
      </c>
      <c r="BG224" s="325">
        <f t="shared" si="60"/>
        <v>0</v>
      </c>
      <c r="BH224" s="325">
        <f t="shared" si="61"/>
        <v>0</v>
      </c>
      <c r="BI224" s="325">
        <f t="shared" si="62"/>
        <v>0</v>
      </c>
      <c r="BJ224" s="214" t="s">
        <v>81</v>
      </c>
      <c r="BK224" s="325">
        <f t="shared" si="63"/>
        <v>0</v>
      </c>
      <c r="BL224" s="214" t="s">
        <v>153</v>
      </c>
      <c r="BM224" s="324" t="s">
        <v>2066</v>
      </c>
    </row>
    <row r="225" spans="1:65" s="225" customFormat="1" ht="55.5" customHeight="1">
      <c r="A225" s="222"/>
      <c r="B225" s="223"/>
      <c r="C225" s="314">
        <f t="shared" si="64"/>
        <v>93</v>
      </c>
      <c r="D225" s="314" t="s">
        <v>148</v>
      </c>
      <c r="E225" s="315" t="s">
        <v>2067</v>
      </c>
      <c r="F225" s="316" t="s">
        <v>2068</v>
      </c>
      <c r="G225" s="317" t="s">
        <v>864</v>
      </c>
      <c r="H225" s="318">
        <v>2</v>
      </c>
      <c r="I225" s="79"/>
      <c r="J225" s="319">
        <f t="shared" si="54"/>
        <v>0</v>
      </c>
      <c r="K225" s="316" t="s">
        <v>1</v>
      </c>
      <c r="L225" s="223"/>
      <c r="M225" s="320" t="s">
        <v>1</v>
      </c>
      <c r="N225" s="321" t="s">
        <v>42</v>
      </c>
      <c r="O225" s="322">
        <v>0</v>
      </c>
      <c r="P225" s="322">
        <f t="shared" si="55"/>
        <v>0</v>
      </c>
      <c r="Q225" s="322">
        <v>0</v>
      </c>
      <c r="R225" s="322">
        <f t="shared" si="56"/>
        <v>0</v>
      </c>
      <c r="S225" s="322">
        <v>0</v>
      </c>
      <c r="T225" s="323">
        <f t="shared" si="57"/>
        <v>0</v>
      </c>
      <c r="U225" s="222"/>
      <c r="V225" s="222"/>
      <c r="W225" s="222"/>
      <c r="X225" s="222"/>
      <c r="Y225" s="222"/>
      <c r="Z225" s="222"/>
      <c r="AA225" s="222"/>
      <c r="AB225" s="222"/>
      <c r="AC225" s="222"/>
      <c r="AD225" s="222"/>
      <c r="AE225" s="222"/>
      <c r="AR225" s="324" t="s">
        <v>153</v>
      </c>
      <c r="AT225" s="324" t="s">
        <v>148</v>
      </c>
      <c r="AU225" s="324" t="s">
        <v>81</v>
      </c>
      <c r="AY225" s="214" t="s">
        <v>146</v>
      </c>
      <c r="BE225" s="325">
        <f t="shared" si="58"/>
        <v>0</v>
      </c>
      <c r="BF225" s="325">
        <f t="shared" si="59"/>
        <v>0</v>
      </c>
      <c r="BG225" s="325">
        <f t="shared" si="60"/>
        <v>0</v>
      </c>
      <c r="BH225" s="325">
        <f t="shared" si="61"/>
        <v>0</v>
      </c>
      <c r="BI225" s="325">
        <f t="shared" si="62"/>
        <v>0</v>
      </c>
      <c r="BJ225" s="214" t="s">
        <v>81</v>
      </c>
      <c r="BK225" s="325">
        <f t="shared" si="63"/>
        <v>0</v>
      </c>
      <c r="BL225" s="214" t="s">
        <v>153</v>
      </c>
      <c r="BM225" s="324" t="s">
        <v>2069</v>
      </c>
    </row>
    <row r="226" spans="1:65" s="225" customFormat="1" ht="21.75" customHeight="1">
      <c r="A226" s="222"/>
      <c r="B226" s="223"/>
      <c r="C226" s="314">
        <f t="shared" si="64"/>
        <v>94</v>
      </c>
      <c r="D226" s="314" t="s">
        <v>148</v>
      </c>
      <c r="E226" s="315" t="s">
        <v>2070</v>
      </c>
      <c r="F226" s="316" t="s">
        <v>2071</v>
      </c>
      <c r="G226" s="317" t="s">
        <v>301</v>
      </c>
      <c r="H226" s="318">
        <v>2</v>
      </c>
      <c r="I226" s="79"/>
      <c r="J226" s="319">
        <f t="shared" si="54"/>
        <v>0</v>
      </c>
      <c r="K226" s="316" t="s">
        <v>1</v>
      </c>
      <c r="L226" s="223"/>
      <c r="M226" s="320" t="s">
        <v>1</v>
      </c>
      <c r="N226" s="321" t="s">
        <v>42</v>
      </c>
      <c r="O226" s="322">
        <v>0</v>
      </c>
      <c r="P226" s="322">
        <f t="shared" si="55"/>
        <v>0</v>
      </c>
      <c r="Q226" s="322">
        <v>0</v>
      </c>
      <c r="R226" s="322">
        <f t="shared" si="56"/>
        <v>0</v>
      </c>
      <c r="S226" s="322">
        <v>0</v>
      </c>
      <c r="T226" s="323">
        <f t="shared" si="57"/>
        <v>0</v>
      </c>
      <c r="U226" s="222"/>
      <c r="V226" s="222"/>
      <c r="W226" s="222"/>
      <c r="X226" s="222"/>
      <c r="Y226" s="222"/>
      <c r="Z226" s="222"/>
      <c r="AA226" s="222"/>
      <c r="AB226" s="222"/>
      <c r="AC226" s="222"/>
      <c r="AD226" s="222"/>
      <c r="AE226" s="222"/>
      <c r="AR226" s="324" t="s">
        <v>153</v>
      </c>
      <c r="AT226" s="324" t="s">
        <v>148</v>
      </c>
      <c r="AU226" s="324" t="s">
        <v>81</v>
      </c>
      <c r="AY226" s="214" t="s">
        <v>146</v>
      </c>
      <c r="BE226" s="325">
        <f t="shared" si="58"/>
        <v>0</v>
      </c>
      <c r="BF226" s="325">
        <f t="shared" si="59"/>
        <v>0</v>
      </c>
      <c r="BG226" s="325">
        <f t="shared" si="60"/>
        <v>0</v>
      </c>
      <c r="BH226" s="325">
        <f t="shared" si="61"/>
        <v>0</v>
      </c>
      <c r="BI226" s="325">
        <f t="shared" si="62"/>
        <v>0</v>
      </c>
      <c r="BJ226" s="214" t="s">
        <v>81</v>
      </c>
      <c r="BK226" s="325">
        <f t="shared" si="63"/>
        <v>0</v>
      </c>
      <c r="BL226" s="214" t="s">
        <v>153</v>
      </c>
      <c r="BM226" s="324" t="s">
        <v>2072</v>
      </c>
    </row>
    <row r="227" spans="1:65" s="225" customFormat="1" ht="33" customHeight="1">
      <c r="A227" s="222"/>
      <c r="B227" s="223"/>
      <c r="C227" s="314">
        <f t="shared" si="64"/>
        <v>95</v>
      </c>
      <c r="D227" s="314" t="s">
        <v>148</v>
      </c>
      <c r="E227" s="315" t="s">
        <v>2073</v>
      </c>
      <c r="F227" s="316" t="s">
        <v>2074</v>
      </c>
      <c r="G227" s="317" t="s">
        <v>301</v>
      </c>
      <c r="H227" s="318">
        <v>2</v>
      </c>
      <c r="I227" s="79"/>
      <c r="J227" s="319">
        <f t="shared" si="54"/>
        <v>0</v>
      </c>
      <c r="K227" s="316" t="s">
        <v>1</v>
      </c>
      <c r="L227" s="223"/>
      <c r="M227" s="320" t="s">
        <v>1</v>
      </c>
      <c r="N227" s="321" t="s">
        <v>42</v>
      </c>
      <c r="O227" s="322">
        <v>0</v>
      </c>
      <c r="P227" s="322">
        <f t="shared" si="55"/>
        <v>0</v>
      </c>
      <c r="Q227" s="322">
        <v>0</v>
      </c>
      <c r="R227" s="322">
        <f t="shared" si="56"/>
        <v>0</v>
      </c>
      <c r="S227" s="322">
        <v>0</v>
      </c>
      <c r="T227" s="323">
        <f t="shared" si="57"/>
        <v>0</v>
      </c>
      <c r="U227" s="222"/>
      <c r="V227" s="222"/>
      <c r="W227" s="222"/>
      <c r="X227" s="222"/>
      <c r="Y227" s="222"/>
      <c r="Z227" s="222"/>
      <c r="AA227" s="222"/>
      <c r="AB227" s="222"/>
      <c r="AC227" s="222"/>
      <c r="AD227" s="222"/>
      <c r="AE227" s="222"/>
      <c r="AR227" s="324" t="s">
        <v>153</v>
      </c>
      <c r="AT227" s="324" t="s">
        <v>148</v>
      </c>
      <c r="AU227" s="324" t="s">
        <v>81</v>
      </c>
      <c r="AY227" s="214" t="s">
        <v>146</v>
      </c>
      <c r="BE227" s="325">
        <f t="shared" si="58"/>
        <v>0</v>
      </c>
      <c r="BF227" s="325">
        <f t="shared" si="59"/>
        <v>0</v>
      </c>
      <c r="BG227" s="325">
        <f t="shared" si="60"/>
        <v>0</v>
      </c>
      <c r="BH227" s="325">
        <f t="shared" si="61"/>
        <v>0</v>
      </c>
      <c r="BI227" s="325">
        <f t="shared" si="62"/>
        <v>0</v>
      </c>
      <c r="BJ227" s="214" t="s">
        <v>81</v>
      </c>
      <c r="BK227" s="325">
        <f t="shared" si="63"/>
        <v>0</v>
      </c>
      <c r="BL227" s="214" t="s">
        <v>153</v>
      </c>
      <c r="BM227" s="324" t="s">
        <v>2075</v>
      </c>
    </row>
    <row r="228" spans="1:65" s="225" customFormat="1" ht="37.9" customHeight="1">
      <c r="A228" s="222"/>
      <c r="B228" s="223"/>
      <c r="C228" s="314">
        <f t="shared" si="64"/>
        <v>96</v>
      </c>
      <c r="D228" s="314" t="s">
        <v>148</v>
      </c>
      <c r="E228" s="315" t="s">
        <v>2076</v>
      </c>
      <c r="F228" s="316" t="s">
        <v>2077</v>
      </c>
      <c r="G228" s="317" t="s">
        <v>864</v>
      </c>
      <c r="H228" s="318">
        <v>4</v>
      </c>
      <c r="I228" s="79"/>
      <c r="J228" s="319">
        <f t="shared" si="54"/>
        <v>0</v>
      </c>
      <c r="K228" s="316" t="s">
        <v>1</v>
      </c>
      <c r="L228" s="223"/>
      <c r="M228" s="661" t="s">
        <v>1</v>
      </c>
      <c r="N228" s="662" t="s">
        <v>42</v>
      </c>
      <c r="O228" s="663">
        <v>0</v>
      </c>
      <c r="P228" s="663">
        <f t="shared" si="55"/>
        <v>0</v>
      </c>
      <c r="Q228" s="663">
        <v>0</v>
      </c>
      <c r="R228" s="663">
        <f t="shared" si="56"/>
        <v>0</v>
      </c>
      <c r="S228" s="663">
        <v>0</v>
      </c>
      <c r="T228" s="664">
        <f t="shared" si="57"/>
        <v>0</v>
      </c>
      <c r="U228" s="222"/>
      <c r="V228" s="222"/>
      <c r="W228" s="222"/>
      <c r="X228" s="222"/>
      <c r="Y228" s="222"/>
      <c r="Z228" s="222"/>
      <c r="AA228" s="222"/>
      <c r="AB228" s="222"/>
      <c r="AC228" s="222"/>
      <c r="AD228" s="222"/>
      <c r="AE228" s="222"/>
      <c r="AR228" s="324" t="s">
        <v>153</v>
      </c>
      <c r="AT228" s="324" t="s">
        <v>148</v>
      </c>
      <c r="AU228" s="324" t="s">
        <v>81</v>
      </c>
      <c r="AY228" s="214" t="s">
        <v>146</v>
      </c>
      <c r="BE228" s="325">
        <f t="shared" si="58"/>
        <v>0</v>
      </c>
      <c r="BF228" s="325">
        <f t="shared" si="59"/>
        <v>0</v>
      </c>
      <c r="BG228" s="325">
        <f t="shared" si="60"/>
        <v>0</v>
      </c>
      <c r="BH228" s="325">
        <f t="shared" si="61"/>
        <v>0</v>
      </c>
      <c r="BI228" s="325">
        <f t="shared" si="62"/>
        <v>0</v>
      </c>
      <c r="BJ228" s="214" t="s">
        <v>81</v>
      </c>
      <c r="BK228" s="325">
        <f t="shared" si="63"/>
        <v>0</v>
      </c>
      <c r="BL228" s="214" t="s">
        <v>153</v>
      </c>
      <c r="BM228" s="324" t="s">
        <v>2078</v>
      </c>
    </row>
    <row r="229" spans="1:31" s="225" customFormat="1" ht="6.95" customHeight="1">
      <c r="A229" s="222"/>
      <c r="B229" s="253"/>
      <c r="C229" s="254"/>
      <c r="D229" s="254"/>
      <c r="E229" s="254"/>
      <c r="F229" s="254"/>
      <c r="G229" s="254"/>
      <c r="H229" s="254"/>
      <c r="I229" s="254"/>
      <c r="J229" s="254"/>
      <c r="K229" s="254"/>
      <c r="L229" s="223"/>
      <c r="M229" s="222"/>
      <c r="O229" s="222"/>
      <c r="P229" s="222"/>
      <c r="Q229" s="222"/>
      <c r="R229" s="222"/>
      <c r="S229" s="222"/>
      <c r="T229" s="222"/>
      <c r="U229" s="222"/>
      <c r="V229" s="222"/>
      <c r="W229" s="222"/>
      <c r="X229" s="222"/>
      <c r="Y229" s="222"/>
      <c r="Z229" s="222"/>
      <c r="AA229" s="222"/>
      <c r="AB229" s="222"/>
      <c r="AC229" s="222"/>
      <c r="AD229" s="222"/>
      <c r="AE229" s="222"/>
    </row>
  </sheetData>
  <sheetProtection password="CABD" sheet="1" objects="1" scenarios="1"/>
  <autoFilter ref="C124:K228"/>
  <mergeCells count="12">
    <mergeCell ref="E117:H117"/>
    <mergeCell ref="L2:V2"/>
    <mergeCell ref="E85:H85"/>
    <mergeCell ref="E87:H87"/>
    <mergeCell ref="E89:H89"/>
    <mergeCell ref="E113:H113"/>
    <mergeCell ref="E115:H115"/>
    <mergeCell ref="E7:H7"/>
    <mergeCell ref="E9:H9"/>
    <mergeCell ref="E11:H11"/>
    <mergeCell ref="E20:H20"/>
    <mergeCell ref="E29:H29"/>
  </mergeCells>
  <printOptions/>
  <pageMargins left="0.5905511811023623" right="0.3937007874015748" top="0.3937007874015748" bottom="0.3937007874015748" header="0" footer="0"/>
  <pageSetup blackAndWhite="1" fitToHeight="100" fitToWidth="1" horizontalDpi="600" verticalDpi="600" orientation="portrait" paperSize="9" scale="84" r:id="rId2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2:BM250"/>
  <sheetViews>
    <sheetView showGridLines="0" workbookViewId="0" topLeftCell="A81">
      <selection activeCell="J128" sqref="J128"/>
    </sheetView>
  </sheetViews>
  <sheetFormatPr defaultColWidth="9.140625" defaultRowHeight="12"/>
  <cols>
    <col min="1" max="1" width="8.28125" style="78" customWidth="1"/>
    <col min="2" max="2" width="1.1484375" style="78" customWidth="1"/>
    <col min="3" max="3" width="4.140625" style="78" customWidth="1"/>
    <col min="4" max="4" width="4.28125" style="78" customWidth="1"/>
    <col min="5" max="5" width="17.140625" style="78" customWidth="1"/>
    <col min="6" max="6" width="50.8515625" style="78" customWidth="1"/>
    <col min="7" max="7" width="7.421875" style="78" customWidth="1"/>
    <col min="8" max="8" width="14.00390625" style="78" customWidth="1"/>
    <col min="9" max="9" width="15.8515625" style="78" customWidth="1"/>
    <col min="10" max="10" width="22.28125" style="78" customWidth="1"/>
    <col min="11" max="11" width="22.28125" style="78" hidden="1" customWidth="1"/>
    <col min="12" max="12" width="19.8515625" style="78" customWidth="1"/>
    <col min="13" max="13" width="10.8515625" style="78" hidden="1" customWidth="1"/>
    <col min="14" max="14" width="9.28125" style="78" hidden="1" customWidth="1"/>
    <col min="15" max="20" width="14.140625" style="78" hidden="1" customWidth="1"/>
    <col min="21" max="21" width="25.140625" style="78" customWidth="1"/>
    <col min="22" max="22" width="12.28125" style="78" customWidth="1"/>
    <col min="23" max="23" width="16.28125" style="78" customWidth="1"/>
    <col min="24" max="24" width="12.28125" style="78" customWidth="1"/>
    <col min="25" max="25" width="15.00390625" style="78" customWidth="1"/>
    <col min="26" max="26" width="11.00390625" style="78" customWidth="1"/>
    <col min="27" max="27" width="15.00390625" style="78" customWidth="1"/>
    <col min="28" max="28" width="16.28125" style="78" customWidth="1"/>
    <col min="29" max="29" width="11.00390625" style="78" customWidth="1"/>
    <col min="30" max="30" width="15.00390625" style="78" customWidth="1"/>
    <col min="31" max="31" width="16.28125" style="78" customWidth="1"/>
    <col min="32" max="43" width="9.28125" style="78" customWidth="1"/>
    <col min="44" max="65" width="9.28125" style="78" hidden="1" customWidth="1"/>
    <col min="66" max="16384" width="9.28125" style="78" customWidth="1"/>
  </cols>
  <sheetData>
    <row r="1" ht="12" hidden="1"/>
    <row r="2" spans="12:46" ht="36.95" customHeight="1" hidden="1">
      <c r="L2" s="834" t="s">
        <v>5</v>
      </c>
      <c r="M2" s="835"/>
      <c r="N2" s="835"/>
      <c r="O2" s="835"/>
      <c r="P2" s="835"/>
      <c r="Q2" s="835"/>
      <c r="R2" s="835"/>
      <c r="S2" s="835"/>
      <c r="T2" s="835"/>
      <c r="U2" s="835"/>
      <c r="V2" s="835"/>
      <c r="AT2" s="214" t="s">
        <v>89</v>
      </c>
    </row>
    <row r="3" spans="2:46" ht="6.95" customHeight="1" hidden="1">
      <c r="B3" s="215"/>
      <c r="C3" s="216"/>
      <c r="D3" s="216"/>
      <c r="E3" s="216"/>
      <c r="F3" s="216"/>
      <c r="G3" s="216"/>
      <c r="H3" s="216"/>
      <c r="I3" s="216"/>
      <c r="J3" s="216"/>
      <c r="K3" s="216"/>
      <c r="L3" s="218"/>
      <c r="AT3" s="214" t="s">
        <v>83</v>
      </c>
    </row>
    <row r="4" spans="2:46" ht="24.95" customHeight="1" hidden="1">
      <c r="B4" s="218"/>
      <c r="D4" s="219" t="s">
        <v>94</v>
      </c>
      <c r="L4" s="218"/>
      <c r="M4" s="220" t="s">
        <v>10</v>
      </c>
      <c r="AT4" s="214" t="s">
        <v>3</v>
      </c>
    </row>
    <row r="5" spans="2:12" ht="6.95" customHeight="1" hidden="1">
      <c r="B5" s="218"/>
      <c r="L5" s="218"/>
    </row>
    <row r="6" spans="2:12" ht="12" customHeight="1" hidden="1">
      <c r="B6" s="218"/>
      <c r="D6" s="221" t="s">
        <v>14</v>
      </c>
      <c r="L6" s="218"/>
    </row>
    <row r="7" spans="2:12" ht="16.5" customHeight="1" hidden="1">
      <c r="B7" s="218"/>
      <c r="E7" s="832" t="str">
        <f>'Rekapitulace stavby'!K6</f>
        <v>Středisko Okrouhlík - nástavba a stavební úpravy</v>
      </c>
      <c r="F7" s="833"/>
      <c r="G7" s="833"/>
      <c r="H7" s="833"/>
      <c r="L7" s="218"/>
    </row>
    <row r="8" spans="2:12" ht="12" customHeight="1" hidden="1">
      <c r="B8" s="218"/>
      <c r="D8" s="221" t="s">
        <v>95</v>
      </c>
      <c r="L8" s="218"/>
    </row>
    <row r="9" spans="1:31" s="225" customFormat="1" ht="16.5" customHeight="1" hidden="1">
      <c r="A9" s="222"/>
      <c r="B9" s="223"/>
      <c r="C9" s="222"/>
      <c r="D9" s="222"/>
      <c r="E9" s="832" t="s">
        <v>96</v>
      </c>
      <c r="F9" s="831"/>
      <c r="G9" s="831"/>
      <c r="H9" s="831"/>
      <c r="I9" s="222"/>
      <c r="J9" s="222"/>
      <c r="K9" s="222"/>
      <c r="L9" s="245"/>
      <c r="S9" s="222"/>
      <c r="T9" s="222"/>
      <c r="U9" s="222"/>
      <c r="V9" s="222"/>
      <c r="W9" s="222"/>
      <c r="X9" s="222"/>
      <c r="Y9" s="222"/>
      <c r="Z9" s="222"/>
      <c r="AA9" s="222"/>
      <c r="AB9" s="222"/>
      <c r="AC9" s="222"/>
      <c r="AD9" s="222"/>
      <c r="AE9" s="222"/>
    </row>
    <row r="10" spans="1:31" s="225" customFormat="1" ht="12" customHeight="1" hidden="1">
      <c r="A10" s="222"/>
      <c r="B10" s="223"/>
      <c r="C10" s="222"/>
      <c r="D10" s="221" t="s">
        <v>1346</v>
      </c>
      <c r="E10" s="222"/>
      <c r="F10" s="222"/>
      <c r="G10" s="222"/>
      <c r="H10" s="222"/>
      <c r="I10" s="222"/>
      <c r="J10" s="222"/>
      <c r="K10" s="222"/>
      <c r="L10" s="245"/>
      <c r="S10" s="222"/>
      <c r="T10" s="222"/>
      <c r="U10" s="222"/>
      <c r="V10" s="222"/>
      <c r="W10" s="222"/>
      <c r="X10" s="222"/>
      <c r="Y10" s="222"/>
      <c r="Z10" s="222"/>
      <c r="AA10" s="222"/>
      <c r="AB10" s="222"/>
      <c r="AC10" s="222"/>
      <c r="AD10" s="222"/>
      <c r="AE10" s="222"/>
    </row>
    <row r="11" spans="1:31" s="225" customFormat="1" ht="16.5" customHeight="1" hidden="1">
      <c r="A11" s="222"/>
      <c r="B11" s="223"/>
      <c r="C11" s="222"/>
      <c r="D11" s="222"/>
      <c r="E11" s="830" t="s">
        <v>2079</v>
      </c>
      <c r="F11" s="831"/>
      <c r="G11" s="831"/>
      <c r="H11" s="831"/>
      <c r="I11" s="222"/>
      <c r="J11" s="222"/>
      <c r="K11" s="222"/>
      <c r="L11" s="245"/>
      <c r="S11" s="222"/>
      <c r="T11" s="222"/>
      <c r="U11" s="222"/>
      <c r="V11" s="222"/>
      <c r="W11" s="222"/>
      <c r="X11" s="222"/>
      <c r="Y11" s="222"/>
      <c r="Z11" s="222"/>
      <c r="AA11" s="222"/>
      <c r="AB11" s="222"/>
      <c r="AC11" s="222"/>
      <c r="AD11" s="222"/>
      <c r="AE11" s="222"/>
    </row>
    <row r="12" spans="1:31" s="225" customFormat="1" ht="12" hidden="1">
      <c r="A12" s="222"/>
      <c r="B12" s="223"/>
      <c r="C12" s="222"/>
      <c r="D12" s="222"/>
      <c r="E12" s="222"/>
      <c r="F12" s="222"/>
      <c r="G12" s="222"/>
      <c r="H12" s="222"/>
      <c r="I12" s="222"/>
      <c r="J12" s="222"/>
      <c r="K12" s="222"/>
      <c r="L12" s="245"/>
      <c r="S12" s="222"/>
      <c r="T12" s="222"/>
      <c r="U12" s="222"/>
      <c r="V12" s="222"/>
      <c r="W12" s="222"/>
      <c r="X12" s="222"/>
      <c r="Y12" s="222"/>
      <c r="Z12" s="222"/>
      <c r="AA12" s="222"/>
      <c r="AB12" s="222"/>
      <c r="AC12" s="222"/>
      <c r="AD12" s="222"/>
      <c r="AE12" s="222"/>
    </row>
    <row r="13" spans="1:31" s="225" customFormat="1" ht="12" customHeight="1" hidden="1">
      <c r="A13" s="222"/>
      <c r="B13" s="223"/>
      <c r="C13" s="222"/>
      <c r="D13" s="221" t="s">
        <v>16</v>
      </c>
      <c r="E13" s="222"/>
      <c r="F13" s="226" t="s">
        <v>1</v>
      </c>
      <c r="G13" s="222"/>
      <c r="H13" s="222"/>
      <c r="I13" s="221" t="s">
        <v>17</v>
      </c>
      <c r="J13" s="226" t="s">
        <v>1</v>
      </c>
      <c r="K13" s="222"/>
      <c r="L13" s="245"/>
      <c r="S13" s="222"/>
      <c r="T13" s="222"/>
      <c r="U13" s="222"/>
      <c r="V13" s="222"/>
      <c r="W13" s="222"/>
      <c r="X13" s="222"/>
      <c r="Y13" s="222"/>
      <c r="Z13" s="222"/>
      <c r="AA13" s="222"/>
      <c r="AB13" s="222"/>
      <c r="AC13" s="222"/>
      <c r="AD13" s="222"/>
      <c r="AE13" s="222"/>
    </row>
    <row r="14" spans="1:31" s="225" customFormat="1" ht="12" customHeight="1" hidden="1">
      <c r="A14" s="222"/>
      <c r="B14" s="223"/>
      <c r="C14" s="222"/>
      <c r="D14" s="221" t="s">
        <v>18</v>
      </c>
      <c r="E14" s="222"/>
      <c r="F14" s="226" t="s">
        <v>19</v>
      </c>
      <c r="G14" s="222"/>
      <c r="H14" s="222"/>
      <c r="I14" s="221" t="s">
        <v>20</v>
      </c>
      <c r="J14" s="227" t="str">
        <f>'Rekapitulace stavby'!AN8</f>
        <v>8. 10. 2021</v>
      </c>
      <c r="K14" s="222"/>
      <c r="L14" s="245"/>
      <c r="S14" s="222"/>
      <c r="T14" s="222"/>
      <c r="U14" s="222"/>
      <c r="V14" s="222"/>
      <c r="W14" s="222"/>
      <c r="X14" s="222"/>
      <c r="Y14" s="222"/>
      <c r="Z14" s="222"/>
      <c r="AA14" s="222"/>
      <c r="AB14" s="222"/>
      <c r="AC14" s="222"/>
      <c r="AD14" s="222"/>
      <c r="AE14" s="222"/>
    </row>
    <row r="15" spans="1:31" s="225" customFormat="1" ht="10.9" customHeight="1" hidden="1">
      <c r="A15" s="222"/>
      <c r="B15" s="223"/>
      <c r="C15" s="222"/>
      <c r="D15" s="222"/>
      <c r="E15" s="222"/>
      <c r="F15" s="222"/>
      <c r="G15" s="222"/>
      <c r="H15" s="222"/>
      <c r="I15" s="222"/>
      <c r="J15" s="222"/>
      <c r="K15" s="222"/>
      <c r="L15" s="245"/>
      <c r="S15" s="222"/>
      <c r="T15" s="222"/>
      <c r="U15" s="222"/>
      <c r="V15" s="222"/>
      <c r="W15" s="222"/>
      <c r="X15" s="222"/>
      <c r="Y15" s="222"/>
      <c r="Z15" s="222"/>
      <c r="AA15" s="222"/>
      <c r="AB15" s="222"/>
      <c r="AC15" s="222"/>
      <c r="AD15" s="222"/>
      <c r="AE15" s="222"/>
    </row>
    <row r="16" spans="1:31" s="225" customFormat="1" ht="12" customHeight="1" hidden="1">
      <c r="A16" s="222"/>
      <c r="B16" s="223"/>
      <c r="C16" s="222"/>
      <c r="D16" s="221" t="s">
        <v>22</v>
      </c>
      <c r="E16" s="222"/>
      <c r="F16" s="222"/>
      <c r="G16" s="222"/>
      <c r="H16" s="222"/>
      <c r="I16" s="221" t="s">
        <v>23</v>
      </c>
      <c r="J16" s="226" t="s">
        <v>24</v>
      </c>
      <c r="K16" s="222"/>
      <c r="L16" s="245"/>
      <c r="S16" s="222"/>
      <c r="T16" s="222"/>
      <c r="U16" s="222"/>
      <c r="V16" s="222"/>
      <c r="W16" s="222"/>
      <c r="X16" s="222"/>
      <c r="Y16" s="222"/>
      <c r="Z16" s="222"/>
      <c r="AA16" s="222"/>
      <c r="AB16" s="222"/>
      <c r="AC16" s="222"/>
      <c r="AD16" s="222"/>
      <c r="AE16" s="222"/>
    </row>
    <row r="17" spans="1:31" s="225" customFormat="1" ht="18" customHeight="1" hidden="1">
      <c r="A17" s="222"/>
      <c r="B17" s="223"/>
      <c r="C17" s="222"/>
      <c r="D17" s="222"/>
      <c r="E17" s="226" t="s">
        <v>25</v>
      </c>
      <c r="F17" s="222"/>
      <c r="G17" s="222"/>
      <c r="H17" s="222"/>
      <c r="I17" s="221" t="s">
        <v>26</v>
      </c>
      <c r="J17" s="226" t="s">
        <v>27</v>
      </c>
      <c r="K17" s="222"/>
      <c r="L17" s="245"/>
      <c r="S17" s="222"/>
      <c r="T17" s="222"/>
      <c r="U17" s="222"/>
      <c r="V17" s="222"/>
      <c r="W17" s="222"/>
      <c r="X17" s="222"/>
      <c r="Y17" s="222"/>
      <c r="Z17" s="222"/>
      <c r="AA17" s="222"/>
      <c r="AB17" s="222"/>
      <c r="AC17" s="222"/>
      <c r="AD17" s="222"/>
      <c r="AE17" s="222"/>
    </row>
    <row r="18" spans="1:31" s="225" customFormat="1" ht="6.95" customHeight="1" hidden="1">
      <c r="A18" s="222"/>
      <c r="B18" s="223"/>
      <c r="C18" s="222"/>
      <c r="D18" s="222"/>
      <c r="E18" s="222"/>
      <c r="F18" s="222"/>
      <c r="G18" s="222"/>
      <c r="H18" s="222"/>
      <c r="I18" s="222"/>
      <c r="J18" s="222"/>
      <c r="K18" s="222"/>
      <c r="L18" s="245"/>
      <c r="S18" s="222"/>
      <c r="T18" s="222"/>
      <c r="U18" s="222"/>
      <c r="V18" s="222"/>
      <c r="W18" s="222"/>
      <c r="X18" s="222"/>
      <c r="Y18" s="222"/>
      <c r="Z18" s="222"/>
      <c r="AA18" s="222"/>
      <c r="AB18" s="222"/>
      <c r="AC18" s="222"/>
      <c r="AD18" s="222"/>
      <c r="AE18" s="222"/>
    </row>
    <row r="19" spans="1:31" s="225" customFormat="1" ht="12" customHeight="1" hidden="1">
      <c r="A19" s="222"/>
      <c r="B19" s="223"/>
      <c r="C19" s="222"/>
      <c r="D19" s="221" t="s">
        <v>28</v>
      </c>
      <c r="E19" s="222"/>
      <c r="F19" s="222"/>
      <c r="G19" s="222"/>
      <c r="H19" s="222"/>
      <c r="I19" s="221" t="s">
        <v>23</v>
      </c>
      <c r="J19" s="226" t="str">
        <f>'Rekapitulace stavby'!AN13</f>
        <v/>
      </c>
      <c r="K19" s="222"/>
      <c r="L19" s="245"/>
      <c r="S19" s="222"/>
      <c r="T19" s="222"/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  <c r="AE19" s="222"/>
    </row>
    <row r="20" spans="1:31" s="225" customFormat="1" ht="18" customHeight="1" hidden="1">
      <c r="A20" s="222"/>
      <c r="B20" s="223"/>
      <c r="C20" s="222"/>
      <c r="D20" s="222"/>
      <c r="E20" s="836" t="str">
        <f>'Rekapitulace stavby'!E14</f>
        <v xml:space="preserve"> </v>
      </c>
      <c r="F20" s="836"/>
      <c r="G20" s="836"/>
      <c r="H20" s="836"/>
      <c r="I20" s="221" t="s">
        <v>26</v>
      </c>
      <c r="J20" s="226" t="str">
        <f>'Rekapitulace stavby'!AN14</f>
        <v/>
      </c>
      <c r="K20" s="222"/>
      <c r="L20" s="245"/>
      <c r="S20" s="222"/>
      <c r="T20" s="222"/>
      <c r="U20" s="222"/>
      <c r="V20" s="222"/>
      <c r="W20" s="222"/>
      <c r="X20" s="222"/>
      <c r="Y20" s="222"/>
      <c r="Z20" s="222"/>
      <c r="AA20" s="222"/>
      <c r="AB20" s="222"/>
      <c r="AC20" s="222"/>
      <c r="AD20" s="222"/>
      <c r="AE20" s="222"/>
    </row>
    <row r="21" spans="1:31" s="225" customFormat="1" ht="6.95" customHeight="1" hidden="1">
      <c r="A21" s="222"/>
      <c r="B21" s="223"/>
      <c r="C21" s="222"/>
      <c r="D21" s="222"/>
      <c r="E21" s="222"/>
      <c r="F21" s="222"/>
      <c r="G21" s="222"/>
      <c r="H21" s="222"/>
      <c r="I21" s="222"/>
      <c r="J21" s="222"/>
      <c r="K21" s="222"/>
      <c r="L21" s="245"/>
      <c r="S21" s="222"/>
      <c r="T21" s="222"/>
      <c r="U21" s="222"/>
      <c r="V21" s="222"/>
      <c r="W21" s="222"/>
      <c r="X21" s="222"/>
      <c r="Y21" s="222"/>
      <c r="Z21" s="222"/>
      <c r="AA21" s="222"/>
      <c r="AB21" s="222"/>
      <c r="AC21" s="222"/>
      <c r="AD21" s="222"/>
      <c r="AE21" s="222"/>
    </row>
    <row r="22" spans="1:31" s="225" customFormat="1" ht="12" customHeight="1" hidden="1">
      <c r="A22" s="222"/>
      <c r="B22" s="223"/>
      <c r="C22" s="222"/>
      <c r="D22" s="221" t="s">
        <v>30</v>
      </c>
      <c r="E22" s="222"/>
      <c r="F22" s="222"/>
      <c r="G22" s="222"/>
      <c r="H22" s="222"/>
      <c r="I22" s="221" t="s">
        <v>23</v>
      </c>
      <c r="J22" s="226" t="s">
        <v>31</v>
      </c>
      <c r="K22" s="222"/>
      <c r="L22" s="245"/>
      <c r="S22" s="222"/>
      <c r="T22" s="222"/>
      <c r="U22" s="222"/>
      <c r="V22" s="222"/>
      <c r="W22" s="222"/>
      <c r="X22" s="222"/>
      <c r="Y22" s="222"/>
      <c r="Z22" s="222"/>
      <c r="AA22" s="222"/>
      <c r="AB22" s="222"/>
      <c r="AC22" s="222"/>
      <c r="AD22" s="222"/>
      <c r="AE22" s="222"/>
    </row>
    <row r="23" spans="1:31" s="225" customFormat="1" ht="18" customHeight="1" hidden="1">
      <c r="A23" s="222"/>
      <c r="B23" s="223"/>
      <c r="C23" s="222"/>
      <c r="D23" s="222"/>
      <c r="E23" s="226" t="s">
        <v>32</v>
      </c>
      <c r="F23" s="222"/>
      <c r="G23" s="222"/>
      <c r="H23" s="222"/>
      <c r="I23" s="221" t="s">
        <v>26</v>
      </c>
      <c r="J23" s="226" t="s">
        <v>33</v>
      </c>
      <c r="K23" s="222"/>
      <c r="L23" s="245"/>
      <c r="S23" s="222"/>
      <c r="T23" s="222"/>
      <c r="U23" s="222"/>
      <c r="V23" s="222"/>
      <c r="W23" s="222"/>
      <c r="X23" s="222"/>
      <c r="Y23" s="222"/>
      <c r="Z23" s="222"/>
      <c r="AA23" s="222"/>
      <c r="AB23" s="222"/>
      <c r="AC23" s="222"/>
      <c r="AD23" s="222"/>
      <c r="AE23" s="222"/>
    </row>
    <row r="24" spans="1:31" s="225" customFormat="1" ht="6.95" customHeight="1" hidden="1">
      <c r="A24" s="222"/>
      <c r="B24" s="223"/>
      <c r="C24" s="222"/>
      <c r="D24" s="222"/>
      <c r="E24" s="222"/>
      <c r="F24" s="222"/>
      <c r="G24" s="222"/>
      <c r="H24" s="222"/>
      <c r="I24" s="222"/>
      <c r="J24" s="222"/>
      <c r="K24" s="222"/>
      <c r="L24" s="245"/>
      <c r="S24" s="222"/>
      <c r="T24" s="222"/>
      <c r="U24" s="222"/>
      <c r="V24" s="222"/>
      <c r="W24" s="222"/>
      <c r="X24" s="222"/>
      <c r="Y24" s="222"/>
      <c r="Z24" s="222"/>
      <c r="AA24" s="222"/>
      <c r="AB24" s="222"/>
      <c r="AC24" s="222"/>
      <c r="AD24" s="222"/>
      <c r="AE24" s="222"/>
    </row>
    <row r="25" spans="1:31" s="225" customFormat="1" ht="12" customHeight="1" hidden="1">
      <c r="A25" s="222"/>
      <c r="B25" s="223"/>
      <c r="C25" s="222"/>
      <c r="D25" s="221" t="s">
        <v>35</v>
      </c>
      <c r="E25" s="222"/>
      <c r="F25" s="222"/>
      <c r="G25" s="222"/>
      <c r="H25" s="222"/>
      <c r="I25" s="221" t="s">
        <v>23</v>
      </c>
      <c r="J25" s="226" t="str">
        <f>IF('Rekapitulace stavby'!AN19="","",'Rekapitulace stavby'!AN19)</f>
        <v/>
      </c>
      <c r="K25" s="222"/>
      <c r="L25" s="245"/>
      <c r="S25" s="222"/>
      <c r="T25" s="222"/>
      <c r="U25" s="222"/>
      <c r="V25" s="222"/>
      <c r="W25" s="222"/>
      <c r="X25" s="222"/>
      <c r="Y25" s="222"/>
      <c r="Z25" s="222"/>
      <c r="AA25" s="222"/>
      <c r="AB25" s="222"/>
      <c r="AC25" s="222"/>
      <c r="AD25" s="222"/>
      <c r="AE25" s="222"/>
    </row>
    <row r="26" spans="1:31" s="225" customFormat="1" ht="18" customHeight="1" hidden="1">
      <c r="A26" s="222"/>
      <c r="B26" s="223"/>
      <c r="C26" s="222"/>
      <c r="D26" s="222"/>
      <c r="E26" s="226" t="str">
        <f>IF('Rekapitulace stavby'!E20="","",'Rekapitulace stavby'!E20)</f>
        <v xml:space="preserve"> </v>
      </c>
      <c r="F26" s="222"/>
      <c r="G26" s="222"/>
      <c r="H26" s="222"/>
      <c r="I26" s="221" t="s">
        <v>26</v>
      </c>
      <c r="J26" s="226" t="str">
        <f>IF('Rekapitulace stavby'!AN20="","",'Rekapitulace stavby'!AN20)</f>
        <v/>
      </c>
      <c r="K26" s="222"/>
      <c r="L26" s="245"/>
      <c r="S26" s="222"/>
      <c r="T26" s="222"/>
      <c r="U26" s="222"/>
      <c r="V26" s="222"/>
      <c r="W26" s="222"/>
      <c r="X26" s="222"/>
      <c r="Y26" s="222"/>
      <c r="Z26" s="222"/>
      <c r="AA26" s="222"/>
      <c r="AB26" s="222"/>
      <c r="AC26" s="222"/>
      <c r="AD26" s="222"/>
      <c r="AE26" s="222"/>
    </row>
    <row r="27" spans="1:31" s="225" customFormat="1" ht="6.95" customHeight="1" hidden="1">
      <c r="A27" s="222"/>
      <c r="B27" s="223"/>
      <c r="C27" s="222"/>
      <c r="D27" s="222"/>
      <c r="E27" s="222"/>
      <c r="F27" s="222"/>
      <c r="G27" s="222"/>
      <c r="H27" s="222"/>
      <c r="I27" s="222"/>
      <c r="J27" s="222"/>
      <c r="K27" s="222"/>
      <c r="L27" s="245"/>
      <c r="S27" s="222"/>
      <c r="T27" s="222"/>
      <c r="U27" s="222"/>
      <c r="V27" s="222"/>
      <c r="W27" s="222"/>
      <c r="X27" s="222"/>
      <c r="Y27" s="222"/>
      <c r="Z27" s="222"/>
      <c r="AA27" s="222"/>
      <c r="AB27" s="222"/>
      <c r="AC27" s="222"/>
      <c r="AD27" s="222"/>
      <c r="AE27" s="222"/>
    </row>
    <row r="28" spans="1:31" s="225" customFormat="1" ht="12" customHeight="1" hidden="1">
      <c r="A28" s="222"/>
      <c r="B28" s="223"/>
      <c r="C28" s="222"/>
      <c r="D28" s="221" t="s">
        <v>36</v>
      </c>
      <c r="E28" s="222"/>
      <c r="F28" s="222"/>
      <c r="G28" s="222"/>
      <c r="H28" s="222"/>
      <c r="I28" s="222"/>
      <c r="J28" s="222"/>
      <c r="K28" s="222"/>
      <c r="L28" s="245"/>
      <c r="S28" s="222"/>
      <c r="T28" s="222"/>
      <c r="U28" s="222"/>
      <c r="V28" s="222"/>
      <c r="W28" s="222"/>
      <c r="X28" s="222"/>
      <c r="Y28" s="222"/>
      <c r="Z28" s="222"/>
      <c r="AA28" s="222"/>
      <c r="AB28" s="222"/>
      <c r="AC28" s="222"/>
      <c r="AD28" s="222"/>
      <c r="AE28" s="222"/>
    </row>
    <row r="29" spans="1:31" s="230" customFormat="1" ht="16.5" customHeight="1" hidden="1">
      <c r="A29" s="228"/>
      <c r="B29" s="229"/>
      <c r="C29" s="228"/>
      <c r="D29" s="228"/>
      <c r="E29" s="837" t="s">
        <v>1</v>
      </c>
      <c r="F29" s="837"/>
      <c r="G29" s="837"/>
      <c r="H29" s="837"/>
      <c r="I29" s="228"/>
      <c r="J29" s="228"/>
      <c r="K29" s="228"/>
      <c r="L29" s="224"/>
      <c r="S29" s="228"/>
      <c r="T29" s="228"/>
      <c r="U29" s="228"/>
      <c r="V29" s="228"/>
      <c r="W29" s="228"/>
      <c r="X29" s="228"/>
      <c r="Y29" s="228"/>
      <c r="Z29" s="228"/>
      <c r="AA29" s="228"/>
      <c r="AB29" s="228"/>
      <c r="AC29" s="228"/>
      <c r="AD29" s="228"/>
      <c r="AE29" s="228"/>
    </row>
    <row r="30" spans="1:31" s="225" customFormat="1" ht="6.95" customHeight="1" hidden="1">
      <c r="A30" s="222"/>
      <c r="B30" s="223"/>
      <c r="C30" s="222"/>
      <c r="D30" s="222"/>
      <c r="E30" s="222"/>
      <c r="F30" s="222"/>
      <c r="G30" s="222"/>
      <c r="H30" s="222"/>
      <c r="I30" s="222"/>
      <c r="J30" s="222"/>
      <c r="K30" s="222"/>
      <c r="L30" s="245"/>
      <c r="S30" s="222"/>
      <c r="T30" s="222"/>
      <c r="U30" s="222"/>
      <c r="V30" s="222"/>
      <c r="W30" s="222"/>
      <c r="X30" s="222"/>
      <c r="Y30" s="222"/>
      <c r="Z30" s="222"/>
      <c r="AA30" s="222"/>
      <c r="AB30" s="222"/>
      <c r="AC30" s="222"/>
      <c r="AD30" s="222"/>
      <c r="AE30" s="222"/>
    </row>
    <row r="31" spans="1:31" s="225" customFormat="1" ht="6.95" customHeight="1" hidden="1">
      <c r="A31" s="222"/>
      <c r="B31" s="223"/>
      <c r="C31" s="222"/>
      <c r="D31" s="231"/>
      <c r="E31" s="231"/>
      <c r="F31" s="231"/>
      <c r="G31" s="231"/>
      <c r="H31" s="231"/>
      <c r="I31" s="231"/>
      <c r="J31" s="231"/>
      <c r="K31" s="231"/>
      <c r="L31" s="245"/>
      <c r="S31" s="222"/>
      <c r="T31" s="222"/>
      <c r="U31" s="222"/>
      <c r="V31" s="222"/>
      <c r="W31" s="222"/>
      <c r="X31" s="222"/>
      <c r="Y31" s="222"/>
      <c r="Z31" s="222"/>
      <c r="AA31" s="222"/>
      <c r="AB31" s="222"/>
      <c r="AC31" s="222"/>
      <c r="AD31" s="222"/>
      <c r="AE31" s="222"/>
    </row>
    <row r="32" spans="1:31" s="225" customFormat="1" ht="25.35" customHeight="1" hidden="1">
      <c r="A32" s="222"/>
      <c r="B32" s="223"/>
      <c r="C32" s="222"/>
      <c r="D32" s="232" t="s">
        <v>37</v>
      </c>
      <c r="E32" s="222"/>
      <c r="F32" s="222"/>
      <c r="G32" s="222"/>
      <c r="H32" s="222"/>
      <c r="I32" s="222"/>
      <c r="J32" s="233">
        <f>ROUND(J127,2)</f>
        <v>0</v>
      </c>
      <c r="K32" s="222"/>
      <c r="L32" s="245"/>
      <c r="S32" s="222"/>
      <c r="T32" s="222"/>
      <c r="U32" s="222"/>
      <c r="V32" s="222"/>
      <c r="W32" s="222"/>
      <c r="X32" s="222"/>
      <c r="Y32" s="222"/>
      <c r="Z32" s="222"/>
      <c r="AA32" s="222"/>
      <c r="AB32" s="222"/>
      <c r="AC32" s="222"/>
      <c r="AD32" s="222"/>
      <c r="AE32" s="222"/>
    </row>
    <row r="33" spans="1:31" s="225" customFormat="1" ht="6.95" customHeight="1" hidden="1">
      <c r="A33" s="222"/>
      <c r="B33" s="223"/>
      <c r="C33" s="222"/>
      <c r="D33" s="231"/>
      <c r="E33" s="231"/>
      <c r="F33" s="231"/>
      <c r="G33" s="231"/>
      <c r="H33" s="231"/>
      <c r="I33" s="231"/>
      <c r="J33" s="231"/>
      <c r="K33" s="231"/>
      <c r="L33" s="245"/>
      <c r="S33" s="222"/>
      <c r="T33" s="222"/>
      <c r="U33" s="222"/>
      <c r="V33" s="222"/>
      <c r="W33" s="222"/>
      <c r="X33" s="222"/>
      <c r="Y33" s="222"/>
      <c r="Z33" s="222"/>
      <c r="AA33" s="222"/>
      <c r="AB33" s="222"/>
      <c r="AC33" s="222"/>
      <c r="AD33" s="222"/>
      <c r="AE33" s="222"/>
    </row>
    <row r="34" spans="1:31" s="225" customFormat="1" ht="14.45" customHeight="1" hidden="1">
      <c r="A34" s="222"/>
      <c r="B34" s="223"/>
      <c r="C34" s="222"/>
      <c r="D34" s="222"/>
      <c r="E34" s="222"/>
      <c r="F34" s="234" t="s">
        <v>39</v>
      </c>
      <c r="G34" s="222"/>
      <c r="H34" s="222"/>
      <c r="I34" s="234" t="s">
        <v>38</v>
      </c>
      <c r="J34" s="234" t="s">
        <v>40</v>
      </c>
      <c r="K34" s="222"/>
      <c r="L34" s="245"/>
      <c r="S34" s="222"/>
      <c r="T34" s="222"/>
      <c r="U34" s="222"/>
      <c r="V34" s="222"/>
      <c r="W34" s="222"/>
      <c r="X34" s="222"/>
      <c r="Y34" s="222"/>
      <c r="Z34" s="222"/>
      <c r="AA34" s="222"/>
      <c r="AB34" s="222"/>
      <c r="AC34" s="222"/>
      <c r="AD34" s="222"/>
      <c r="AE34" s="222"/>
    </row>
    <row r="35" spans="1:31" s="225" customFormat="1" ht="14.45" customHeight="1" hidden="1">
      <c r="A35" s="222"/>
      <c r="B35" s="223"/>
      <c r="C35" s="222"/>
      <c r="D35" s="235" t="s">
        <v>41</v>
      </c>
      <c r="E35" s="221" t="s">
        <v>42</v>
      </c>
      <c r="F35" s="236">
        <f>ROUND((SUM(BE127:BE249)),2)</f>
        <v>0</v>
      </c>
      <c r="G35" s="222"/>
      <c r="H35" s="222"/>
      <c r="I35" s="237">
        <v>0.21</v>
      </c>
      <c r="J35" s="236">
        <f>ROUND(((SUM(BE127:BE249))*I35),2)</f>
        <v>0</v>
      </c>
      <c r="K35" s="222"/>
      <c r="L35" s="245"/>
      <c r="S35" s="222"/>
      <c r="T35" s="222"/>
      <c r="U35" s="222"/>
      <c r="V35" s="222"/>
      <c r="W35" s="222"/>
      <c r="X35" s="222"/>
      <c r="Y35" s="222"/>
      <c r="Z35" s="222"/>
      <c r="AA35" s="222"/>
      <c r="AB35" s="222"/>
      <c r="AC35" s="222"/>
      <c r="AD35" s="222"/>
      <c r="AE35" s="222"/>
    </row>
    <row r="36" spans="1:31" s="225" customFormat="1" ht="14.45" customHeight="1" hidden="1">
      <c r="A36" s="222"/>
      <c r="B36" s="223"/>
      <c r="C36" s="222"/>
      <c r="D36" s="222"/>
      <c r="E36" s="221" t="s">
        <v>43</v>
      </c>
      <c r="F36" s="236">
        <f>ROUND((SUM(BF127:BF249)),2)</f>
        <v>0</v>
      </c>
      <c r="G36" s="222"/>
      <c r="H36" s="222"/>
      <c r="I36" s="237">
        <v>0.15</v>
      </c>
      <c r="J36" s="236">
        <f>ROUND(((SUM(BF127:BF249))*I36),2)</f>
        <v>0</v>
      </c>
      <c r="K36" s="222"/>
      <c r="L36" s="245"/>
      <c r="S36" s="222"/>
      <c r="T36" s="222"/>
      <c r="U36" s="222"/>
      <c r="V36" s="222"/>
      <c r="W36" s="222"/>
      <c r="X36" s="222"/>
      <c r="Y36" s="222"/>
      <c r="Z36" s="222"/>
      <c r="AA36" s="222"/>
      <c r="AB36" s="222"/>
      <c r="AC36" s="222"/>
      <c r="AD36" s="222"/>
      <c r="AE36" s="222"/>
    </row>
    <row r="37" spans="1:31" s="225" customFormat="1" ht="14.45" customHeight="1" hidden="1">
      <c r="A37" s="222"/>
      <c r="B37" s="223"/>
      <c r="C37" s="222"/>
      <c r="D37" s="222"/>
      <c r="E37" s="221" t="s">
        <v>44</v>
      </c>
      <c r="F37" s="236">
        <f>ROUND((SUM(BG127:BG249)),2)</f>
        <v>0</v>
      </c>
      <c r="G37" s="222"/>
      <c r="H37" s="222"/>
      <c r="I37" s="237">
        <v>0.21</v>
      </c>
      <c r="J37" s="236">
        <f>0</f>
        <v>0</v>
      </c>
      <c r="K37" s="222"/>
      <c r="L37" s="245"/>
      <c r="S37" s="222"/>
      <c r="T37" s="222"/>
      <c r="U37" s="222"/>
      <c r="V37" s="222"/>
      <c r="W37" s="222"/>
      <c r="X37" s="222"/>
      <c r="Y37" s="222"/>
      <c r="Z37" s="222"/>
      <c r="AA37" s="222"/>
      <c r="AB37" s="222"/>
      <c r="AC37" s="222"/>
      <c r="AD37" s="222"/>
      <c r="AE37" s="222"/>
    </row>
    <row r="38" spans="1:31" s="225" customFormat="1" ht="14.45" customHeight="1" hidden="1">
      <c r="A38" s="222"/>
      <c r="B38" s="223"/>
      <c r="C38" s="222"/>
      <c r="D38" s="222"/>
      <c r="E38" s="221" t="s">
        <v>45</v>
      </c>
      <c r="F38" s="236">
        <f>ROUND((SUM(BH127:BH249)),2)</f>
        <v>0</v>
      </c>
      <c r="G38" s="222"/>
      <c r="H38" s="222"/>
      <c r="I38" s="237">
        <v>0.15</v>
      </c>
      <c r="J38" s="236">
        <f>0</f>
        <v>0</v>
      </c>
      <c r="K38" s="222"/>
      <c r="L38" s="245"/>
      <c r="S38" s="222"/>
      <c r="T38" s="222"/>
      <c r="U38" s="222"/>
      <c r="V38" s="222"/>
      <c r="W38" s="222"/>
      <c r="X38" s="222"/>
      <c r="Y38" s="222"/>
      <c r="Z38" s="222"/>
      <c r="AA38" s="222"/>
      <c r="AB38" s="222"/>
      <c r="AC38" s="222"/>
      <c r="AD38" s="222"/>
      <c r="AE38" s="222"/>
    </row>
    <row r="39" spans="1:31" s="225" customFormat="1" ht="14.45" customHeight="1" hidden="1">
      <c r="A39" s="222"/>
      <c r="B39" s="223"/>
      <c r="C39" s="222"/>
      <c r="D39" s="222"/>
      <c r="E39" s="221" t="s">
        <v>46</v>
      </c>
      <c r="F39" s="236">
        <f>ROUND((SUM(BI127:BI249)),2)</f>
        <v>0</v>
      </c>
      <c r="G39" s="222"/>
      <c r="H39" s="222"/>
      <c r="I39" s="237">
        <v>0</v>
      </c>
      <c r="J39" s="236">
        <f>0</f>
        <v>0</v>
      </c>
      <c r="K39" s="222"/>
      <c r="L39" s="245"/>
      <c r="S39" s="222"/>
      <c r="T39" s="222"/>
      <c r="U39" s="222"/>
      <c r="V39" s="222"/>
      <c r="W39" s="222"/>
      <c r="X39" s="222"/>
      <c r="Y39" s="222"/>
      <c r="Z39" s="222"/>
      <c r="AA39" s="222"/>
      <c r="AB39" s="222"/>
      <c r="AC39" s="222"/>
      <c r="AD39" s="222"/>
      <c r="AE39" s="222"/>
    </row>
    <row r="40" spans="1:31" s="225" customFormat="1" ht="6.95" customHeight="1" hidden="1">
      <c r="A40" s="222"/>
      <c r="B40" s="223"/>
      <c r="C40" s="222"/>
      <c r="D40" s="222"/>
      <c r="E40" s="222"/>
      <c r="F40" s="222"/>
      <c r="G40" s="222"/>
      <c r="H40" s="222"/>
      <c r="I40" s="222"/>
      <c r="J40" s="222"/>
      <c r="K40" s="222"/>
      <c r="L40" s="245"/>
      <c r="S40" s="222"/>
      <c r="T40" s="222"/>
      <c r="U40" s="222"/>
      <c r="V40" s="222"/>
      <c r="W40" s="222"/>
      <c r="X40" s="222"/>
      <c r="Y40" s="222"/>
      <c r="Z40" s="222"/>
      <c r="AA40" s="222"/>
      <c r="AB40" s="222"/>
      <c r="AC40" s="222"/>
      <c r="AD40" s="222"/>
      <c r="AE40" s="222"/>
    </row>
    <row r="41" spans="1:31" s="225" customFormat="1" ht="25.35" customHeight="1" hidden="1">
      <c r="A41" s="222"/>
      <c r="B41" s="223"/>
      <c r="C41" s="238"/>
      <c r="D41" s="239" t="s">
        <v>47</v>
      </c>
      <c r="E41" s="240"/>
      <c r="F41" s="240"/>
      <c r="G41" s="241" t="s">
        <v>48</v>
      </c>
      <c r="H41" s="242" t="s">
        <v>49</v>
      </c>
      <c r="I41" s="240"/>
      <c r="J41" s="243">
        <f>SUM(J32:J39)</f>
        <v>0</v>
      </c>
      <c r="K41" s="244"/>
      <c r="L41" s="245"/>
      <c r="S41" s="222"/>
      <c r="T41" s="222"/>
      <c r="U41" s="222"/>
      <c r="V41" s="222"/>
      <c r="W41" s="222"/>
      <c r="X41" s="222"/>
      <c r="Y41" s="222"/>
      <c r="Z41" s="222"/>
      <c r="AA41" s="222"/>
      <c r="AB41" s="222"/>
      <c r="AC41" s="222"/>
      <c r="AD41" s="222"/>
      <c r="AE41" s="222"/>
    </row>
    <row r="42" spans="1:31" s="225" customFormat="1" ht="14.45" customHeight="1" hidden="1">
      <c r="A42" s="222"/>
      <c r="B42" s="223"/>
      <c r="C42" s="222"/>
      <c r="D42" s="222"/>
      <c r="E42" s="222"/>
      <c r="F42" s="222"/>
      <c r="G42" s="222"/>
      <c r="H42" s="222"/>
      <c r="I42" s="222"/>
      <c r="J42" s="222"/>
      <c r="K42" s="222"/>
      <c r="L42" s="245"/>
      <c r="S42" s="222"/>
      <c r="T42" s="222"/>
      <c r="U42" s="222"/>
      <c r="V42" s="222"/>
      <c r="W42" s="222"/>
      <c r="X42" s="222"/>
      <c r="Y42" s="222"/>
      <c r="Z42" s="222"/>
      <c r="AA42" s="222"/>
      <c r="AB42" s="222"/>
      <c r="AC42" s="222"/>
      <c r="AD42" s="222"/>
      <c r="AE42" s="222"/>
    </row>
    <row r="43" spans="2:12" ht="14.45" customHeight="1" hidden="1">
      <c r="B43" s="218"/>
      <c r="L43" s="218"/>
    </row>
    <row r="44" spans="2:12" ht="14.45" customHeight="1" hidden="1">
      <c r="B44" s="218"/>
      <c r="L44" s="218"/>
    </row>
    <row r="45" spans="2:12" ht="14.45" customHeight="1" hidden="1">
      <c r="B45" s="218"/>
      <c r="L45" s="218"/>
    </row>
    <row r="46" spans="2:12" ht="14.45" customHeight="1" hidden="1">
      <c r="B46" s="218"/>
      <c r="L46" s="218"/>
    </row>
    <row r="47" spans="2:12" ht="14.45" customHeight="1" hidden="1">
      <c r="B47" s="218"/>
      <c r="L47" s="218"/>
    </row>
    <row r="48" spans="2:12" ht="14.45" customHeight="1" hidden="1">
      <c r="B48" s="218"/>
      <c r="L48" s="218"/>
    </row>
    <row r="49" spans="2:12" ht="14.45" customHeight="1" hidden="1">
      <c r="B49" s="218"/>
      <c r="L49" s="218"/>
    </row>
    <row r="50" spans="2:12" s="225" customFormat="1" ht="14.45" customHeight="1" hidden="1">
      <c r="B50" s="245"/>
      <c r="D50" s="246" t="s">
        <v>50</v>
      </c>
      <c r="E50" s="247"/>
      <c r="F50" s="247"/>
      <c r="G50" s="246" t="s">
        <v>51</v>
      </c>
      <c r="H50" s="247"/>
      <c r="I50" s="247"/>
      <c r="J50" s="247"/>
      <c r="K50" s="247"/>
      <c r="L50" s="245"/>
    </row>
    <row r="51" spans="2:12" ht="12" hidden="1">
      <c r="B51" s="218"/>
      <c r="L51" s="218"/>
    </row>
    <row r="52" spans="2:12" ht="12" hidden="1">
      <c r="B52" s="218"/>
      <c r="L52" s="218"/>
    </row>
    <row r="53" spans="2:12" ht="12" hidden="1">
      <c r="B53" s="218"/>
      <c r="L53" s="218"/>
    </row>
    <row r="54" spans="2:12" ht="12" hidden="1">
      <c r="B54" s="218"/>
      <c r="L54" s="218"/>
    </row>
    <row r="55" spans="2:12" ht="12" hidden="1">
      <c r="B55" s="218"/>
      <c r="L55" s="218"/>
    </row>
    <row r="56" spans="2:12" ht="12" hidden="1">
      <c r="B56" s="218"/>
      <c r="L56" s="218"/>
    </row>
    <row r="57" spans="2:12" ht="12" hidden="1">
      <c r="B57" s="218"/>
      <c r="L57" s="218"/>
    </row>
    <row r="58" spans="2:12" ht="12" hidden="1">
      <c r="B58" s="218"/>
      <c r="L58" s="218"/>
    </row>
    <row r="59" spans="2:12" ht="12" hidden="1">
      <c r="B59" s="218"/>
      <c r="L59" s="218"/>
    </row>
    <row r="60" spans="2:12" ht="12" hidden="1">
      <c r="B60" s="218"/>
      <c r="L60" s="218"/>
    </row>
    <row r="61" spans="1:31" s="225" customFormat="1" ht="12.75" hidden="1">
      <c r="A61" s="222"/>
      <c r="B61" s="223"/>
      <c r="C61" s="222"/>
      <c r="D61" s="248" t="s">
        <v>52</v>
      </c>
      <c r="E61" s="249"/>
      <c r="F61" s="250" t="s">
        <v>53</v>
      </c>
      <c r="G61" s="248" t="s">
        <v>52</v>
      </c>
      <c r="H61" s="249"/>
      <c r="I61" s="249"/>
      <c r="J61" s="251" t="s">
        <v>53</v>
      </c>
      <c r="K61" s="249"/>
      <c r="L61" s="245"/>
      <c r="S61" s="222"/>
      <c r="T61" s="222"/>
      <c r="U61" s="222"/>
      <c r="V61" s="222"/>
      <c r="W61" s="222"/>
      <c r="X61" s="222"/>
      <c r="Y61" s="222"/>
      <c r="Z61" s="222"/>
      <c r="AA61" s="222"/>
      <c r="AB61" s="222"/>
      <c r="AC61" s="222"/>
      <c r="AD61" s="222"/>
      <c r="AE61" s="222"/>
    </row>
    <row r="62" spans="2:12" ht="12" hidden="1">
      <c r="B62" s="218"/>
      <c r="L62" s="218"/>
    </row>
    <row r="63" spans="2:12" ht="12" hidden="1">
      <c r="B63" s="218"/>
      <c r="L63" s="218"/>
    </row>
    <row r="64" spans="2:12" ht="12" hidden="1">
      <c r="B64" s="218"/>
      <c r="L64" s="218"/>
    </row>
    <row r="65" spans="1:31" s="225" customFormat="1" ht="12.75" hidden="1">
      <c r="A65" s="222"/>
      <c r="B65" s="223"/>
      <c r="C65" s="222"/>
      <c r="D65" s="246" t="s">
        <v>54</v>
      </c>
      <c r="E65" s="252"/>
      <c r="F65" s="252"/>
      <c r="G65" s="246" t="s">
        <v>55</v>
      </c>
      <c r="H65" s="252"/>
      <c r="I65" s="252"/>
      <c r="J65" s="252"/>
      <c r="K65" s="252"/>
      <c r="L65" s="245"/>
      <c r="S65" s="222"/>
      <c r="T65" s="222"/>
      <c r="U65" s="222"/>
      <c r="V65" s="222"/>
      <c r="W65" s="222"/>
      <c r="X65" s="222"/>
      <c r="Y65" s="222"/>
      <c r="Z65" s="222"/>
      <c r="AA65" s="222"/>
      <c r="AB65" s="222"/>
      <c r="AC65" s="222"/>
      <c r="AD65" s="222"/>
      <c r="AE65" s="222"/>
    </row>
    <row r="66" spans="2:12" ht="12" hidden="1">
      <c r="B66" s="218"/>
      <c r="L66" s="218"/>
    </row>
    <row r="67" spans="2:12" ht="12" hidden="1">
      <c r="B67" s="218"/>
      <c r="L67" s="218"/>
    </row>
    <row r="68" spans="2:12" ht="12" hidden="1">
      <c r="B68" s="218"/>
      <c r="L68" s="218"/>
    </row>
    <row r="69" spans="2:12" ht="12" hidden="1">
      <c r="B69" s="218"/>
      <c r="L69" s="218"/>
    </row>
    <row r="70" spans="2:12" ht="12" hidden="1">
      <c r="B70" s="218"/>
      <c r="L70" s="218"/>
    </row>
    <row r="71" spans="2:12" ht="12" hidden="1">
      <c r="B71" s="218"/>
      <c r="L71" s="218"/>
    </row>
    <row r="72" spans="2:12" ht="12" hidden="1">
      <c r="B72" s="218"/>
      <c r="L72" s="218"/>
    </row>
    <row r="73" spans="2:12" ht="12" hidden="1">
      <c r="B73" s="218"/>
      <c r="L73" s="218"/>
    </row>
    <row r="74" spans="2:12" ht="12" hidden="1">
      <c r="B74" s="218"/>
      <c r="L74" s="218"/>
    </row>
    <row r="75" spans="2:12" ht="12" hidden="1">
      <c r="B75" s="218"/>
      <c r="L75" s="218"/>
    </row>
    <row r="76" spans="1:31" s="225" customFormat="1" ht="12.75" hidden="1">
      <c r="A76" s="222"/>
      <c r="B76" s="223"/>
      <c r="C76" s="222"/>
      <c r="D76" s="248" t="s">
        <v>52</v>
      </c>
      <c r="E76" s="249"/>
      <c r="F76" s="250" t="s">
        <v>53</v>
      </c>
      <c r="G76" s="248" t="s">
        <v>52</v>
      </c>
      <c r="H76" s="249"/>
      <c r="I76" s="249"/>
      <c r="J76" s="251" t="s">
        <v>53</v>
      </c>
      <c r="K76" s="249"/>
      <c r="L76" s="245"/>
      <c r="S76" s="222"/>
      <c r="T76" s="222"/>
      <c r="U76" s="222"/>
      <c r="V76" s="222"/>
      <c r="W76" s="222"/>
      <c r="X76" s="222"/>
      <c r="Y76" s="222"/>
      <c r="Z76" s="222"/>
      <c r="AA76" s="222"/>
      <c r="AB76" s="222"/>
      <c r="AC76" s="222"/>
      <c r="AD76" s="222"/>
      <c r="AE76" s="222"/>
    </row>
    <row r="77" spans="1:31" s="225" customFormat="1" ht="14.45" customHeight="1" hidden="1">
      <c r="A77" s="222"/>
      <c r="B77" s="253"/>
      <c r="C77" s="254"/>
      <c r="D77" s="254"/>
      <c r="E77" s="254"/>
      <c r="F77" s="254"/>
      <c r="G77" s="254"/>
      <c r="H77" s="254"/>
      <c r="I77" s="254"/>
      <c r="J77" s="254"/>
      <c r="K77" s="254"/>
      <c r="L77" s="245"/>
      <c r="S77" s="222"/>
      <c r="T77" s="222"/>
      <c r="U77" s="222"/>
      <c r="V77" s="222"/>
      <c r="W77" s="222"/>
      <c r="X77" s="222"/>
      <c r="Y77" s="222"/>
      <c r="Z77" s="222"/>
      <c r="AA77" s="222"/>
      <c r="AB77" s="222"/>
      <c r="AC77" s="222"/>
      <c r="AD77" s="222"/>
      <c r="AE77" s="222"/>
    </row>
    <row r="78" ht="12" hidden="1"/>
    <row r="79" ht="12" hidden="1"/>
    <row r="80" ht="12" hidden="1"/>
    <row r="81" spans="1:31" s="225" customFormat="1" ht="6.95" customHeight="1">
      <c r="A81" s="222"/>
      <c r="B81" s="255"/>
      <c r="C81" s="256"/>
      <c r="D81" s="256"/>
      <c r="E81" s="256"/>
      <c r="F81" s="256"/>
      <c r="G81" s="256"/>
      <c r="H81" s="256"/>
      <c r="I81" s="256"/>
      <c r="J81" s="256"/>
      <c r="K81" s="256"/>
      <c r="L81" s="245"/>
      <c r="S81" s="222"/>
      <c r="T81" s="222"/>
      <c r="U81" s="222"/>
      <c r="V81" s="222"/>
      <c r="W81" s="222"/>
      <c r="X81" s="222"/>
      <c r="Y81" s="222"/>
      <c r="Z81" s="222"/>
      <c r="AA81" s="222"/>
      <c r="AB81" s="222"/>
      <c r="AC81" s="222"/>
      <c r="AD81" s="222"/>
      <c r="AE81" s="222"/>
    </row>
    <row r="82" spans="1:31" s="225" customFormat="1" ht="24.95" customHeight="1">
      <c r="A82" s="222"/>
      <c r="B82" s="223"/>
      <c r="C82" s="219" t="s">
        <v>97</v>
      </c>
      <c r="D82" s="222"/>
      <c r="E82" s="222"/>
      <c r="F82" s="222"/>
      <c r="G82" s="222"/>
      <c r="H82" s="222"/>
      <c r="I82" s="222"/>
      <c r="J82" s="222"/>
      <c r="K82" s="222"/>
      <c r="L82" s="245"/>
      <c r="S82" s="222"/>
      <c r="T82" s="222"/>
      <c r="U82" s="222"/>
      <c r="V82" s="222"/>
      <c r="W82" s="222"/>
      <c r="X82" s="222"/>
      <c r="Y82" s="222"/>
      <c r="Z82" s="222"/>
      <c r="AA82" s="222"/>
      <c r="AB82" s="222"/>
      <c r="AC82" s="222"/>
      <c r="AD82" s="222"/>
      <c r="AE82" s="222"/>
    </row>
    <row r="83" spans="1:31" s="225" customFormat="1" ht="6.95" customHeight="1">
      <c r="A83" s="222"/>
      <c r="B83" s="223"/>
      <c r="C83" s="222"/>
      <c r="D83" s="222"/>
      <c r="E83" s="222"/>
      <c r="F83" s="222"/>
      <c r="G83" s="222"/>
      <c r="H83" s="222"/>
      <c r="I83" s="222"/>
      <c r="J83" s="222"/>
      <c r="K83" s="222"/>
      <c r="L83" s="245"/>
      <c r="S83" s="222"/>
      <c r="T83" s="222"/>
      <c r="U83" s="222"/>
      <c r="V83" s="222"/>
      <c r="W83" s="222"/>
      <c r="X83" s="222"/>
      <c r="Y83" s="222"/>
      <c r="Z83" s="222"/>
      <c r="AA83" s="222"/>
      <c r="AB83" s="222"/>
      <c r="AC83" s="222"/>
      <c r="AD83" s="222"/>
      <c r="AE83" s="222"/>
    </row>
    <row r="84" spans="1:31" s="225" customFormat="1" ht="12" customHeight="1">
      <c r="A84" s="222"/>
      <c r="B84" s="223"/>
      <c r="C84" s="221" t="s">
        <v>14</v>
      </c>
      <c r="D84" s="222"/>
      <c r="E84" s="222"/>
      <c r="F84" s="222"/>
      <c r="G84" s="222"/>
      <c r="H84" s="222"/>
      <c r="I84" s="222"/>
      <c r="J84" s="222"/>
      <c r="K84" s="222"/>
      <c r="L84" s="245"/>
      <c r="S84" s="222"/>
      <c r="T84" s="222"/>
      <c r="U84" s="222"/>
      <c r="V84" s="222"/>
      <c r="W84" s="222"/>
      <c r="X84" s="222"/>
      <c r="Y84" s="222"/>
      <c r="Z84" s="222"/>
      <c r="AA84" s="222"/>
      <c r="AB84" s="222"/>
      <c r="AC84" s="222"/>
      <c r="AD84" s="222"/>
      <c r="AE84" s="222"/>
    </row>
    <row r="85" spans="1:31" s="225" customFormat="1" ht="16.5" customHeight="1">
      <c r="A85" s="222"/>
      <c r="B85" s="223"/>
      <c r="C85" s="222"/>
      <c r="D85" s="222"/>
      <c r="E85" s="832" t="str">
        <f>E7</f>
        <v>Středisko Okrouhlík - nástavba a stavební úpravy</v>
      </c>
      <c r="F85" s="833"/>
      <c r="G85" s="833"/>
      <c r="H85" s="833"/>
      <c r="I85" s="222"/>
      <c r="J85" s="222"/>
      <c r="K85" s="222"/>
      <c r="L85" s="245"/>
      <c r="S85" s="222"/>
      <c r="T85" s="222"/>
      <c r="U85" s="222"/>
      <c r="V85" s="222"/>
      <c r="W85" s="222"/>
      <c r="X85" s="222"/>
      <c r="Y85" s="222"/>
      <c r="Z85" s="222"/>
      <c r="AA85" s="222"/>
      <c r="AB85" s="222"/>
      <c r="AC85" s="222"/>
      <c r="AD85" s="222"/>
      <c r="AE85" s="222"/>
    </row>
    <row r="86" spans="2:12" ht="12" customHeight="1">
      <c r="B86" s="218"/>
      <c r="C86" s="221" t="s">
        <v>95</v>
      </c>
      <c r="L86" s="218"/>
    </row>
    <row r="87" spans="1:31" s="225" customFormat="1" ht="16.5" customHeight="1">
      <c r="A87" s="222"/>
      <c r="B87" s="223"/>
      <c r="C87" s="222"/>
      <c r="D87" s="222"/>
      <c r="E87" s="832" t="s">
        <v>96</v>
      </c>
      <c r="F87" s="831"/>
      <c r="G87" s="831"/>
      <c r="H87" s="831"/>
      <c r="I87" s="222"/>
      <c r="J87" s="222"/>
      <c r="K87" s="222"/>
      <c r="L87" s="245"/>
      <c r="S87" s="222"/>
      <c r="T87" s="222"/>
      <c r="U87" s="222"/>
      <c r="V87" s="222"/>
      <c r="W87" s="222"/>
      <c r="X87" s="222"/>
      <c r="Y87" s="222"/>
      <c r="Z87" s="222"/>
      <c r="AA87" s="222"/>
      <c r="AB87" s="222"/>
      <c r="AC87" s="222"/>
      <c r="AD87" s="222"/>
      <c r="AE87" s="222"/>
    </row>
    <row r="88" spans="1:31" s="225" customFormat="1" ht="12" customHeight="1">
      <c r="A88" s="222"/>
      <c r="B88" s="223"/>
      <c r="C88" s="221" t="s">
        <v>1346</v>
      </c>
      <c r="D88" s="222"/>
      <c r="E88" s="222"/>
      <c r="F88" s="222"/>
      <c r="G88" s="222"/>
      <c r="H88" s="222"/>
      <c r="I88" s="222"/>
      <c r="J88" s="222"/>
      <c r="K88" s="222"/>
      <c r="L88" s="245"/>
      <c r="S88" s="222"/>
      <c r="T88" s="222"/>
      <c r="U88" s="222"/>
      <c r="V88" s="222"/>
      <c r="W88" s="222"/>
      <c r="X88" s="222"/>
      <c r="Y88" s="222"/>
      <c r="Z88" s="222"/>
      <c r="AA88" s="222"/>
      <c r="AB88" s="222"/>
      <c r="AC88" s="222"/>
      <c r="AD88" s="222"/>
      <c r="AE88" s="222"/>
    </row>
    <row r="89" spans="1:31" s="225" customFormat="1" ht="16.5" customHeight="1">
      <c r="A89" s="222"/>
      <c r="B89" s="223"/>
      <c r="C89" s="222"/>
      <c r="D89" s="222"/>
      <c r="E89" s="830" t="s">
        <v>3851</v>
      </c>
      <c r="F89" s="831"/>
      <c r="G89" s="831"/>
      <c r="H89" s="831"/>
      <c r="I89" s="222"/>
      <c r="J89" s="222"/>
      <c r="K89" s="222"/>
      <c r="L89" s="245"/>
      <c r="S89" s="222"/>
      <c r="T89" s="222"/>
      <c r="U89" s="222"/>
      <c r="V89" s="222"/>
      <c r="W89" s="222"/>
      <c r="X89" s="222"/>
      <c r="Y89" s="222"/>
      <c r="Z89" s="222"/>
      <c r="AA89" s="222"/>
      <c r="AB89" s="222"/>
      <c r="AC89" s="222"/>
      <c r="AD89" s="222"/>
      <c r="AE89" s="222"/>
    </row>
    <row r="90" spans="1:31" s="225" customFormat="1" ht="6.95" customHeight="1">
      <c r="A90" s="222"/>
      <c r="B90" s="223"/>
      <c r="C90" s="222"/>
      <c r="D90" s="222"/>
      <c r="E90" s="222"/>
      <c r="F90" s="222"/>
      <c r="G90" s="222"/>
      <c r="H90" s="222"/>
      <c r="I90" s="222"/>
      <c r="J90" s="222"/>
      <c r="K90" s="222"/>
      <c r="L90" s="245"/>
      <c r="S90" s="222"/>
      <c r="T90" s="222"/>
      <c r="U90" s="222"/>
      <c r="V90" s="222"/>
      <c r="W90" s="222"/>
      <c r="X90" s="222"/>
      <c r="Y90" s="222"/>
      <c r="Z90" s="222"/>
      <c r="AA90" s="222"/>
      <c r="AB90" s="222"/>
      <c r="AC90" s="222"/>
      <c r="AD90" s="222"/>
      <c r="AE90" s="222"/>
    </row>
    <row r="91" spans="1:31" s="225" customFormat="1" ht="12" customHeight="1">
      <c r="A91" s="222"/>
      <c r="B91" s="223"/>
      <c r="C91" s="221" t="s">
        <v>18</v>
      </c>
      <c r="D91" s="222"/>
      <c r="E91" s="222"/>
      <c r="F91" s="226" t="str">
        <f>F14</f>
        <v>st.p. 1443, k.ú. Staré Benátky</v>
      </c>
      <c r="G91" s="222"/>
      <c r="H91" s="222"/>
      <c r="I91" s="221" t="s">
        <v>20</v>
      </c>
      <c r="J91" s="227" t="str">
        <f>IF(J14="","",J14)</f>
        <v>8. 10. 2021</v>
      </c>
      <c r="K91" s="222"/>
      <c r="L91" s="245"/>
      <c r="S91" s="222"/>
      <c r="T91" s="222"/>
      <c r="U91" s="222"/>
      <c r="V91" s="222"/>
      <c r="W91" s="222"/>
      <c r="X91" s="222"/>
      <c r="Y91" s="222"/>
      <c r="Z91" s="222"/>
      <c r="AA91" s="222"/>
      <c r="AB91" s="222"/>
      <c r="AC91" s="222"/>
      <c r="AD91" s="222"/>
      <c r="AE91" s="222"/>
    </row>
    <row r="92" spans="1:31" s="225" customFormat="1" ht="6.95" customHeight="1">
      <c r="A92" s="222"/>
      <c r="B92" s="223"/>
      <c r="C92" s="222"/>
      <c r="D92" s="222"/>
      <c r="E92" s="222"/>
      <c r="F92" s="222"/>
      <c r="G92" s="222"/>
      <c r="H92" s="222"/>
      <c r="I92" s="222"/>
      <c r="J92" s="222"/>
      <c r="K92" s="222"/>
      <c r="L92" s="245"/>
      <c r="S92" s="222"/>
      <c r="T92" s="222"/>
      <c r="U92" s="222"/>
      <c r="V92" s="222"/>
      <c r="W92" s="222"/>
      <c r="X92" s="222"/>
      <c r="Y92" s="222"/>
      <c r="Z92" s="222"/>
      <c r="AA92" s="222"/>
      <c r="AB92" s="222"/>
      <c r="AC92" s="222"/>
      <c r="AD92" s="222"/>
      <c r="AE92" s="222"/>
    </row>
    <row r="93" spans="1:31" s="225" customFormat="1" ht="54.4" customHeight="1">
      <c r="A93" s="222"/>
      <c r="B93" s="223"/>
      <c r="C93" s="221" t="s">
        <v>22</v>
      </c>
      <c r="D93" s="222"/>
      <c r="E93" s="222"/>
      <c r="F93" s="226" t="str">
        <f>E17</f>
        <v>VaK Mladá Boleslav, Čechova 1151, Mladá Boleslav</v>
      </c>
      <c r="G93" s="222"/>
      <c r="H93" s="222"/>
      <c r="I93" s="221" t="s">
        <v>30</v>
      </c>
      <c r="J93" s="257" t="str">
        <f>E23</f>
        <v>ŽÁROVKA PROJEKTANTI,Křižíkova 788/2,Hradec Králové</v>
      </c>
      <c r="K93" s="222"/>
      <c r="L93" s="245"/>
      <c r="S93" s="222"/>
      <c r="T93" s="222"/>
      <c r="U93" s="222"/>
      <c r="V93" s="222"/>
      <c r="W93" s="222"/>
      <c r="X93" s="222"/>
      <c r="Y93" s="222"/>
      <c r="Z93" s="222"/>
      <c r="AA93" s="222"/>
      <c r="AB93" s="222"/>
      <c r="AC93" s="222"/>
      <c r="AD93" s="222"/>
      <c r="AE93" s="222"/>
    </row>
    <row r="94" spans="1:31" s="225" customFormat="1" ht="15.2" customHeight="1">
      <c r="A94" s="222"/>
      <c r="B94" s="223"/>
      <c r="C94" s="221" t="s">
        <v>28</v>
      </c>
      <c r="D94" s="222"/>
      <c r="E94" s="222"/>
      <c r="F94" s="226" t="str">
        <f>IF(E20="","",E20)</f>
        <v xml:space="preserve"> </v>
      </c>
      <c r="G94" s="222"/>
      <c r="H94" s="222"/>
      <c r="I94" s="221" t="s">
        <v>35</v>
      </c>
      <c r="J94" s="257" t="str">
        <f>E26</f>
        <v xml:space="preserve"> </v>
      </c>
      <c r="K94" s="222"/>
      <c r="L94" s="245"/>
      <c r="S94" s="222"/>
      <c r="T94" s="222"/>
      <c r="U94" s="222"/>
      <c r="V94" s="222"/>
      <c r="W94" s="222"/>
      <c r="X94" s="222"/>
      <c r="Y94" s="222"/>
      <c r="Z94" s="222"/>
      <c r="AA94" s="222"/>
      <c r="AB94" s="222"/>
      <c r="AC94" s="222"/>
      <c r="AD94" s="222"/>
      <c r="AE94" s="222"/>
    </row>
    <row r="95" spans="1:31" s="225" customFormat="1" ht="10.35" customHeight="1">
      <c r="A95" s="222"/>
      <c r="B95" s="223"/>
      <c r="C95" s="222"/>
      <c r="D95" s="222"/>
      <c r="E95" s="222"/>
      <c r="F95" s="222"/>
      <c r="G95" s="222"/>
      <c r="H95" s="222"/>
      <c r="I95" s="222"/>
      <c r="J95" s="222"/>
      <c r="K95" s="222"/>
      <c r="L95" s="245"/>
      <c r="S95" s="222"/>
      <c r="T95" s="222"/>
      <c r="U95" s="222"/>
      <c r="V95" s="222"/>
      <c r="W95" s="222"/>
      <c r="X95" s="222"/>
      <c r="Y95" s="222"/>
      <c r="Z95" s="222"/>
      <c r="AA95" s="222"/>
      <c r="AB95" s="222"/>
      <c r="AC95" s="222"/>
      <c r="AD95" s="222"/>
      <c r="AE95" s="222"/>
    </row>
    <row r="96" spans="1:31" s="263" customFormat="1" ht="29.25" customHeight="1">
      <c r="A96" s="258"/>
      <c r="B96" s="259"/>
      <c r="C96" s="260" t="s">
        <v>98</v>
      </c>
      <c r="D96" s="258"/>
      <c r="E96" s="258"/>
      <c r="F96" s="258"/>
      <c r="G96" s="258"/>
      <c r="H96" s="258"/>
      <c r="I96" s="258"/>
      <c r="J96" s="261" t="s">
        <v>99</v>
      </c>
      <c r="K96" s="258"/>
      <c r="L96" s="647"/>
      <c r="S96" s="258"/>
      <c r="T96" s="258"/>
      <c r="U96" s="258"/>
      <c r="V96" s="258"/>
      <c r="W96" s="258"/>
      <c r="X96" s="258"/>
      <c r="Y96" s="258"/>
      <c r="Z96" s="258"/>
      <c r="AA96" s="258"/>
      <c r="AB96" s="258"/>
      <c r="AC96" s="258"/>
      <c r="AD96" s="258"/>
      <c r="AE96" s="258"/>
    </row>
    <row r="97" spans="1:31" s="225" customFormat="1" ht="10.35" customHeight="1">
      <c r="A97" s="222"/>
      <c r="B97" s="223"/>
      <c r="C97" s="222"/>
      <c r="D97" s="222"/>
      <c r="E97" s="222"/>
      <c r="F97" s="222"/>
      <c r="G97" s="222"/>
      <c r="H97" s="222"/>
      <c r="I97" s="222"/>
      <c r="J97" s="222"/>
      <c r="K97" s="222"/>
      <c r="L97" s="245"/>
      <c r="S97" s="222"/>
      <c r="T97" s="222"/>
      <c r="U97" s="222"/>
      <c r="V97" s="222"/>
      <c r="W97" s="222"/>
      <c r="X97" s="222"/>
      <c r="Y97" s="222"/>
      <c r="Z97" s="222"/>
      <c r="AA97" s="222"/>
      <c r="AB97" s="222"/>
      <c r="AC97" s="222"/>
      <c r="AD97" s="222"/>
      <c r="AE97" s="222"/>
    </row>
    <row r="98" spans="1:47" s="225" customFormat="1" ht="22.9" customHeight="1">
      <c r="A98" s="222"/>
      <c r="B98" s="223"/>
      <c r="C98" s="264" t="s">
        <v>100</v>
      </c>
      <c r="D98" s="222"/>
      <c r="E98" s="222"/>
      <c r="F98" s="222"/>
      <c r="G98" s="222"/>
      <c r="H98" s="222"/>
      <c r="I98" s="222"/>
      <c r="J98" s="233">
        <f>SUM(J99,J105)</f>
        <v>0</v>
      </c>
      <c r="K98" s="222"/>
      <c r="L98" s="245"/>
      <c r="S98" s="222"/>
      <c r="T98" s="222"/>
      <c r="U98" s="222"/>
      <c r="V98" s="222"/>
      <c r="W98" s="222"/>
      <c r="X98" s="222"/>
      <c r="Y98" s="222"/>
      <c r="Z98" s="222"/>
      <c r="AA98" s="222"/>
      <c r="AB98" s="222"/>
      <c r="AC98" s="222"/>
      <c r="AD98" s="222"/>
      <c r="AE98" s="222"/>
      <c r="AU98" s="214" t="s">
        <v>101</v>
      </c>
    </row>
    <row r="99" spans="2:12" s="266" customFormat="1" ht="24.95" customHeight="1">
      <c r="B99" s="265"/>
      <c r="D99" s="267" t="s">
        <v>112</v>
      </c>
      <c r="E99" s="268"/>
      <c r="F99" s="268"/>
      <c r="G99" s="268"/>
      <c r="H99" s="268"/>
      <c r="I99" s="268"/>
      <c r="J99" s="269">
        <f>SUM(J100:J104)</f>
        <v>0</v>
      </c>
      <c r="L99" s="265"/>
    </row>
    <row r="100" spans="2:12" s="272" customFormat="1" ht="19.9" customHeight="1">
      <c r="B100" s="271"/>
      <c r="D100" s="273" t="s">
        <v>2080</v>
      </c>
      <c r="E100" s="274"/>
      <c r="F100" s="274"/>
      <c r="G100" s="274"/>
      <c r="H100" s="274"/>
      <c r="I100" s="274"/>
      <c r="J100" s="275">
        <f>J129</f>
        <v>0</v>
      </c>
      <c r="L100" s="271"/>
    </row>
    <row r="101" spans="2:12" s="272" customFormat="1" ht="19.9" customHeight="1">
      <c r="B101" s="271"/>
      <c r="D101" s="273" t="s">
        <v>2081</v>
      </c>
      <c r="E101" s="274"/>
      <c r="F101" s="274"/>
      <c r="G101" s="274"/>
      <c r="H101" s="274"/>
      <c r="I101" s="274"/>
      <c r="J101" s="275">
        <f>J132</f>
        <v>0</v>
      </c>
      <c r="L101" s="271"/>
    </row>
    <row r="102" spans="2:12" s="272" customFormat="1" ht="19.9" customHeight="1">
      <c r="B102" s="271"/>
      <c r="D102" s="273" t="s">
        <v>2082</v>
      </c>
      <c r="E102" s="274"/>
      <c r="F102" s="274"/>
      <c r="G102" s="274"/>
      <c r="H102" s="274"/>
      <c r="I102" s="274"/>
      <c r="J102" s="275">
        <f>J164</f>
        <v>0</v>
      </c>
      <c r="L102" s="271"/>
    </row>
    <row r="103" spans="2:12" s="272" customFormat="1" ht="19.9" customHeight="1">
      <c r="B103" s="271"/>
      <c r="D103" s="273" t="s">
        <v>2083</v>
      </c>
      <c r="E103" s="274"/>
      <c r="F103" s="274"/>
      <c r="G103" s="274"/>
      <c r="H103" s="274"/>
      <c r="I103" s="274"/>
      <c r="J103" s="275">
        <f>J191</f>
        <v>0</v>
      </c>
      <c r="L103" s="271"/>
    </row>
    <row r="104" spans="2:12" s="272" customFormat="1" ht="19.9" customHeight="1">
      <c r="B104" s="271"/>
      <c r="D104" s="273" t="s">
        <v>2084</v>
      </c>
      <c r="E104" s="274"/>
      <c r="F104" s="274"/>
      <c r="G104" s="274"/>
      <c r="H104" s="274"/>
      <c r="I104" s="274"/>
      <c r="J104" s="275">
        <f>J212</f>
        <v>0</v>
      </c>
      <c r="L104" s="271"/>
    </row>
    <row r="105" spans="2:12" s="266" customFormat="1" ht="24.95" customHeight="1">
      <c r="B105" s="265"/>
      <c r="D105" s="267" t="s">
        <v>2085</v>
      </c>
      <c r="E105" s="268"/>
      <c r="F105" s="268"/>
      <c r="G105" s="268"/>
      <c r="H105" s="268"/>
      <c r="I105" s="268"/>
      <c r="J105" s="269">
        <f>J244</f>
        <v>0</v>
      </c>
      <c r="L105" s="265"/>
    </row>
    <row r="106" spans="1:31" s="225" customFormat="1" ht="21.75" customHeight="1">
      <c r="A106" s="222"/>
      <c r="B106" s="223"/>
      <c r="C106" s="222"/>
      <c r="D106" s="222"/>
      <c r="E106" s="222"/>
      <c r="F106" s="222"/>
      <c r="G106" s="222"/>
      <c r="H106" s="222"/>
      <c r="I106" s="222"/>
      <c r="J106" s="222"/>
      <c r="K106" s="222"/>
      <c r="L106" s="245"/>
      <c r="S106" s="222"/>
      <c r="T106" s="222"/>
      <c r="U106" s="222"/>
      <c r="V106" s="222"/>
      <c r="W106" s="222"/>
      <c r="X106" s="222"/>
      <c r="Y106" s="222"/>
      <c r="Z106" s="222"/>
      <c r="AA106" s="222"/>
      <c r="AB106" s="222"/>
      <c r="AC106" s="222"/>
      <c r="AD106" s="222"/>
      <c r="AE106" s="222"/>
    </row>
    <row r="107" spans="1:31" s="225" customFormat="1" ht="6.95" customHeight="1">
      <c r="A107" s="222"/>
      <c r="B107" s="253"/>
      <c r="C107" s="254"/>
      <c r="D107" s="254"/>
      <c r="E107" s="254"/>
      <c r="F107" s="254"/>
      <c r="G107" s="254"/>
      <c r="H107" s="254"/>
      <c r="I107" s="254"/>
      <c r="J107" s="254"/>
      <c r="K107" s="254"/>
      <c r="L107" s="245"/>
      <c r="S107" s="222"/>
      <c r="T107" s="222"/>
      <c r="U107" s="222"/>
      <c r="V107" s="222"/>
      <c r="W107" s="222"/>
      <c r="X107" s="222"/>
      <c r="Y107" s="222"/>
      <c r="Z107" s="222"/>
      <c r="AA107" s="222"/>
      <c r="AB107" s="222"/>
      <c r="AC107" s="222"/>
      <c r="AD107" s="222"/>
      <c r="AE107" s="222"/>
    </row>
    <row r="111" spans="1:31" s="225" customFormat="1" ht="6.95" customHeight="1">
      <c r="A111" s="222"/>
      <c r="B111" s="255"/>
      <c r="C111" s="256"/>
      <c r="D111" s="256"/>
      <c r="E111" s="256"/>
      <c r="F111" s="256"/>
      <c r="G111" s="256"/>
      <c r="H111" s="256"/>
      <c r="I111" s="256"/>
      <c r="J111" s="256"/>
      <c r="K111" s="256"/>
      <c r="L111" s="245"/>
      <c r="S111" s="222"/>
      <c r="T111" s="222"/>
      <c r="U111" s="222"/>
      <c r="V111" s="222"/>
      <c r="W111" s="222"/>
      <c r="X111" s="222"/>
      <c r="Y111" s="222"/>
      <c r="Z111" s="222"/>
      <c r="AA111" s="222"/>
      <c r="AB111" s="222"/>
      <c r="AC111" s="222"/>
      <c r="AD111" s="222"/>
      <c r="AE111" s="222"/>
    </row>
    <row r="112" spans="1:31" s="225" customFormat="1" ht="24.95" customHeight="1">
      <c r="A112" s="222"/>
      <c r="B112" s="223"/>
      <c r="C112" s="219" t="s">
        <v>131</v>
      </c>
      <c r="D112" s="222"/>
      <c r="E112" s="222"/>
      <c r="F112" s="222"/>
      <c r="G112" s="222"/>
      <c r="H112" s="222"/>
      <c r="I112" s="222"/>
      <c r="J112" s="222"/>
      <c r="K112" s="222"/>
      <c r="L112" s="245"/>
      <c r="S112" s="222"/>
      <c r="T112" s="222"/>
      <c r="U112" s="222"/>
      <c r="V112" s="222"/>
      <c r="W112" s="222"/>
      <c r="X112" s="222"/>
      <c r="Y112" s="222"/>
      <c r="Z112" s="222"/>
      <c r="AA112" s="222"/>
      <c r="AB112" s="222"/>
      <c r="AC112" s="222"/>
      <c r="AD112" s="222"/>
      <c r="AE112" s="222"/>
    </row>
    <row r="113" spans="1:31" s="225" customFormat="1" ht="6.95" customHeight="1">
      <c r="A113" s="222"/>
      <c r="B113" s="223"/>
      <c r="C113" s="222"/>
      <c r="D113" s="222"/>
      <c r="E113" s="222"/>
      <c r="F113" s="222"/>
      <c r="G113" s="222"/>
      <c r="H113" s="222"/>
      <c r="I113" s="222"/>
      <c r="J113" s="222"/>
      <c r="K113" s="222"/>
      <c r="L113" s="245"/>
      <c r="S113" s="222"/>
      <c r="T113" s="222"/>
      <c r="U113" s="222"/>
      <c r="V113" s="222"/>
      <c r="W113" s="222"/>
      <c r="X113" s="222"/>
      <c r="Y113" s="222"/>
      <c r="Z113" s="222"/>
      <c r="AA113" s="222"/>
      <c r="AB113" s="222"/>
      <c r="AC113" s="222"/>
      <c r="AD113" s="222"/>
      <c r="AE113" s="222"/>
    </row>
    <row r="114" spans="1:31" s="225" customFormat="1" ht="12" customHeight="1">
      <c r="A114" s="222"/>
      <c r="B114" s="223"/>
      <c r="C114" s="221" t="s">
        <v>14</v>
      </c>
      <c r="D114" s="222"/>
      <c r="E114" s="222"/>
      <c r="F114" s="222"/>
      <c r="G114" s="222"/>
      <c r="H114" s="222"/>
      <c r="I114" s="222"/>
      <c r="J114" s="222"/>
      <c r="K114" s="222"/>
      <c r="L114" s="245"/>
      <c r="S114" s="222"/>
      <c r="T114" s="222"/>
      <c r="U114" s="222"/>
      <c r="V114" s="222"/>
      <c r="W114" s="222"/>
      <c r="X114" s="222"/>
      <c r="Y114" s="222"/>
      <c r="Z114" s="222"/>
      <c r="AA114" s="222"/>
      <c r="AB114" s="222"/>
      <c r="AC114" s="222"/>
      <c r="AD114" s="222"/>
      <c r="AE114" s="222"/>
    </row>
    <row r="115" spans="1:31" s="225" customFormat="1" ht="16.5" customHeight="1">
      <c r="A115" s="222"/>
      <c r="B115" s="223"/>
      <c r="C115" s="222"/>
      <c r="D115" s="222"/>
      <c r="E115" s="832" t="str">
        <f>E7</f>
        <v>Středisko Okrouhlík - nástavba a stavební úpravy</v>
      </c>
      <c r="F115" s="833"/>
      <c r="G115" s="833"/>
      <c r="H115" s="833"/>
      <c r="I115" s="222"/>
      <c r="J115" s="222"/>
      <c r="K115" s="222"/>
      <c r="L115" s="245"/>
      <c r="S115" s="222"/>
      <c r="T115" s="222"/>
      <c r="U115" s="222"/>
      <c r="V115" s="222"/>
      <c r="W115" s="222"/>
      <c r="X115" s="222"/>
      <c r="Y115" s="222"/>
      <c r="Z115" s="222"/>
      <c r="AA115" s="222"/>
      <c r="AB115" s="222"/>
      <c r="AC115" s="222"/>
      <c r="AD115" s="222"/>
      <c r="AE115" s="222"/>
    </row>
    <row r="116" spans="2:12" ht="12" customHeight="1">
      <c r="B116" s="218"/>
      <c r="C116" s="221" t="s">
        <v>95</v>
      </c>
      <c r="L116" s="218"/>
    </row>
    <row r="117" spans="1:31" s="225" customFormat="1" ht="16.5" customHeight="1">
      <c r="A117" s="222"/>
      <c r="B117" s="223"/>
      <c r="C117" s="222"/>
      <c r="D117" s="222"/>
      <c r="E117" s="832" t="s">
        <v>96</v>
      </c>
      <c r="F117" s="831"/>
      <c r="G117" s="831"/>
      <c r="H117" s="831"/>
      <c r="I117" s="222"/>
      <c r="J117" s="222"/>
      <c r="K117" s="222"/>
      <c r="L117" s="245"/>
      <c r="S117" s="222"/>
      <c r="T117" s="222"/>
      <c r="U117" s="222"/>
      <c r="V117" s="222"/>
      <c r="W117" s="222"/>
      <c r="X117" s="222"/>
      <c r="Y117" s="222"/>
      <c r="Z117" s="222"/>
      <c r="AA117" s="222"/>
      <c r="AB117" s="222"/>
      <c r="AC117" s="222"/>
      <c r="AD117" s="222"/>
      <c r="AE117" s="222"/>
    </row>
    <row r="118" spans="1:31" s="225" customFormat="1" ht="12" customHeight="1">
      <c r="A118" s="222"/>
      <c r="B118" s="223"/>
      <c r="C118" s="221" t="s">
        <v>1346</v>
      </c>
      <c r="D118" s="222"/>
      <c r="E118" s="222"/>
      <c r="F118" s="222"/>
      <c r="G118" s="222"/>
      <c r="H118" s="222"/>
      <c r="I118" s="222"/>
      <c r="J118" s="222"/>
      <c r="K118" s="222"/>
      <c r="L118" s="245"/>
      <c r="S118" s="222"/>
      <c r="T118" s="222"/>
      <c r="U118" s="222"/>
      <c r="V118" s="222"/>
      <c r="W118" s="222"/>
      <c r="X118" s="222"/>
      <c r="Y118" s="222"/>
      <c r="Z118" s="222"/>
      <c r="AA118" s="222"/>
      <c r="AB118" s="222"/>
      <c r="AC118" s="222"/>
      <c r="AD118" s="222"/>
      <c r="AE118" s="222"/>
    </row>
    <row r="119" spans="1:31" s="225" customFormat="1" ht="16.5" customHeight="1">
      <c r="A119" s="222"/>
      <c r="B119" s="223"/>
      <c r="C119" s="222"/>
      <c r="D119" s="222"/>
      <c r="E119" s="830" t="s">
        <v>3851</v>
      </c>
      <c r="F119" s="831"/>
      <c r="G119" s="831"/>
      <c r="H119" s="831"/>
      <c r="I119" s="222"/>
      <c r="J119" s="222"/>
      <c r="K119" s="222"/>
      <c r="L119" s="245"/>
      <c r="S119" s="222"/>
      <c r="T119" s="222"/>
      <c r="U119" s="222"/>
      <c r="V119" s="222"/>
      <c r="W119" s="222"/>
      <c r="X119" s="222"/>
      <c r="Y119" s="222"/>
      <c r="Z119" s="222"/>
      <c r="AA119" s="222"/>
      <c r="AB119" s="222"/>
      <c r="AC119" s="222"/>
      <c r="AD119" s="222"/>
      <c r="AE119" s="222"/>
    </row>
    <row r="120" spans="1:31" s="225" customFormat="1" ht="6.95" customHeight="1">
      <c r="A120" s="222"/>
      <c r="B120" s="223"/>
      <c r="C120" s="222"/>
      <c r="D120" s="222"/>
      <c r="E120" s="222"/>
      <c r="F120" s="222"/>
      <c r="G120" s="222"/>
      <c r="H120" s="222"/>
      <c r="I120" s="222"/>
      <c r="J120" s="222"/>
      <c r="K120" s="222"/>
      <c r="L120" s="245"/>
      <c r="S120" s="222"/>
      <c r="T120" s="222"/>
      <c r="U120" s="222"/>
      <c r="V120" s="222"/>
      <c r="W120" s="222"/>
      <c r="X120" s="222"/>
      <c r="Y120" s="222"/>
      <c r="Z120" s="222"/>
      <c r="AA120" s="222"/>
      <c r="AB120" s="222"/>
      <c r="AC120" s="222"/>
      <c r="AD120" s="222"/>
      <c r="AE120" s="222"/>
    </row>
    <row r="121" spans="1:31" s="225" customFormat="1" ht="12" customHeight="1">
      <c r="A121" s="222"/>
      <c r="B121" s="223"/>
      <c r="C121" s="221" t="s">
        <v>18</v>
      </c>
      <c r="D121" s="222"/>
      <c r="E121" s="222"/>
      <c r="F121" s="226" t="str">
        <f>F14</f>
        <v>st.p. 1443, k.ú. Staré Benátky</v>
      </c>
      <c r="G121" s="222"/>
      <c r="H121" s="222"/>
      <c r="I121" s="221" t="s">
        <v>20</v>
      </c>
      <c r="J121" s="227" t="str">
        <f>IF(J14="","",J14)</f>
        <v>8. 10. 2021</v>
      </c>
      <c r="K121" s="222"/>
      <c r="L121" s="245"/>
      <c r="S121" s="222"/>
      <c r="T121" s="222"/>
      <c r="U121" s="222"/>
      <c r="V121" s="222"/>
      <c r="W121" s="222"/>
      <c r="X121" s="222"/>
      <c r="Y121" s="222"/>
      <c r="Z121" s="222"/>
      <c r="AA121" s="222"/>
      <c r="AB121" s="222"/>
      <c r="AC121" s="222"/>
      <c r="AD121" s="222"/>
      <c r="AE121" s="222"/>
    </row>
    <row r="122" spans="1:31" s="225" customFormat="1" ht="6.95" customHeight="1">
      <c r="A122" s="222"/>
      <c r="B122" s="223"/>
      <c r="C122" s="222"/>
      <c r="D122" s="222"/>
      <c r="E122" s="222"/>
      <c r="F122" s="222"/>
      <c r="G122" s="222"/>
      <c r="H122" s="222"/>
      <c r="I122" s="222"/>
      <c r="J122" s="222"/>
      <c r="K122" s="222"/>
      <c r="L122" s="245"/>
      <c r="S122" s="222"/>
      <c r="T122" s="222"/>
      <c r="U122" s="222"/>
      <c r="V122" s="222"/>
      <c r="W122" s="222"/>
      <c r="X122" s="222"/>
      <c r="Y122" s="222"/>
      <c r="Z122" s="222"/>
      <c r="AA122" s="222"/>
      <c r="AB122" s="222"/>
      <c r="AC122" s="222"/>
      <c r="AD122" s="222"/>
      <c r="AE122" s="222"/>
    </row>
    <row r="123" spans="1:31" s="225" customFormat="1" ht="24.75" customHeight="1">
      <c r="A123" s="222"/>
      <c r="B123" s="223"/>
      <c r="C123" s="221" t="s">
        <v>22</v>
      </c>
      <c r="D123" s="222"/>
      <c r="E123" s="222"/>
      <c r="F123" s="226" t="str">
        <f>E17</f>
        <v>VaK Mladá Boleslav, Čechova 1151, Mladá Boleslav</v>
      </c>
      <c r="G123" s="222"/>
      <c r="H123" s="222"/>
      <c r="I123" s="221" t="s">
        <v>30</v>
      </c>
      <c r="J123" s="257" t="str">
        <f>E23</f>
        <v>ŽÁROVKA PROJEKTANTI,Křižíkova 788/2,Hradec Králové</v>
      </c>
      <c r="K123" s="222"/>
      <c r="L123" s="245"/>
      <c r="S123" s="222"/>
      <c r="T123" s="222"/>
      <c r="U123" s="222"/>
      <c r="V123" s="222"/>
      <c r="W123" s="222"/>
      <c r="X123" s="222"/>
      <c r="Y123" s="222"/>
      <c r="Z123" s="222"/>
      <c r="AA123" s="222"/>
      <c r="AB123" s="222"/>
      <c r="AC123" s="222"/>
      <c r="AD123" s="222"/>
      <c r="AE123" s="222"/>
    </row>
    <row r="124" spans="1:31" s="225" customFormat="1" ht="15.2" customHeight="1">
      <c r="A124" s="222"/>
      <c r="B124" s="223"/>
      <c r="C124" s="221" t="s">
        <v>28</v>
      </c>
      <c r="D124" s="222"/>
      <c r="E124" s="222"/>
      <c r="F124" s="226" t="str">
        <f>IF(E20="","",E20)</f>
        <v xml:space="preserve"> </v>
      </c>
      <c r="G124" s="222"/>
      <c r="H124" s="222"/>
      <c r="I124" s="221" t="s">
        <v>35</v>
      </c>
      <c r="J124" s="257" t="str">
        <f>E26</f>
        <v xml:space="preserve"> </v>
      </c>
      <c r="K124" s="222"/>
      <c r="L124" s="245"/>
      <c r="S124" s="222"/>
      <c r="T124" s="222"/>
      <c r="U124" s="222"/>
      <c r="V124" s="222"/>
      <c r="W124" s="222"/>
      <c r="X124" s="222"/>
      <c r="Y124" s="222"/>
      <c r="Z124" s="222"/>
      <c r="AA124" s="222"/>
      <c r="AB124" s="222"/>
      <c r="AC124" s="222"/>
      <c r="AD124" s="222"/>
      <c r="AE124" s="222"/>
    </row>
    <row r="125" spans="1:31" s="225" customFormat="1" ht="10.35" customHeight="1">
      <c r="A125" s="222"/>
      <c r="B125" s="223"/>
      <c r="C125" s="222"/>
      <c r="D125" s="222"/>
      <c r="E125" s="222"/>
      <c r="F125" s="222"/>
      <c r="G125" s="222"/>
      <c r="H125" s="222"/>
      <c r="I125" s="222"/>
      <c r="J125" s="222"/>
      <c r="K125" s="222"/>
      <c r="L125" s="245"/>
      <c r="S125" s="222"/>
      <c r="T125" s="222"/>
      <c r="U125" s="222"/>
      <c r="V125" s="222"/>
      <c r="W125" s="222"/>
      <c r="X125" s="222"/>
      <c r="Y125" s="222"/>
      <c r="Z125" s="222"/>
      <c r="AA125" s="222"/>
      <c r="AB125" s="222"/>
      <c r="AC125" s="222"/>
      <c r="AD125" s="222"/>
      <c r="AE125" s="222"/>
    </row>
    <row r="126" spans="1:31" s="286" customFormat="1" ht="29.25" customHeight="1">
      <c r="A126" s="277"/>
      <c r="B126" s="278"/>
      <c r="C126" s="279" t="s">
        <v>132</v>
      </c>
      <c r="D126" s="280" t="s">
        <v>61</v>
      </c>
      <c r="E126" s="280" t="s">
        <v>58</v>
      </c>
      <c r="F126" s="280" t="s">
        <v>59</v>
      </c>
      <c r="G126" s="280" t="s">
        <v>133</v>
      </c>
      <c r="H126" s="280" t="s">
        <v>134</v>
      </c>
      <c r="I126" s="280" t="s">
        <v>135</v>
      </c>
      <c r="J126" s="280" t="s">
        <v>99</v>
      </c>
      <c r="K126" s="281" t="s">
        <v>136</v>
      </c>
      <c r="L126" s="282"/>
      <c r="M126" s="283" t="s">
        <v>1</v>
      </c>
      <c r="N126" s="284" t="s">
        <v>41</v>
      </c>
      <c r="O126" s="284" t="s">
        <v>137</v>
      </c>
      <c r="P126" s="284" t="s">
        <v>138</v>
      </c>
      <c r="Q126" s="284" t="s">
        <v>139</v>
      </c>
      <c r="R126" s="284" t="s">
        <v>140</v>
      </c>
      <c r="S126" s="284" t="s">
        <v>141</v>
      </c>
      <c r="T126" s="285" t="s">
        <v>142</v>
      </c>
      <c r="U126" s="277"/>
      <c r="V126" s="277"/>
      <c r="W126" s="277"/>
      <c r="X126" s="277"/>
      <c r="Y126" s="277"/>
      <c r="Z126" s="277"/>
      <c r="AA126" s="277"/>
      <c r="AB126" s="277"/>
      <c r="AC126" s="277"/>
      <c r="AD126" s="277"/>
      <c r="AE126" s="277"/>
    </row>
    <row r="127" spans="1:63" s="225" customFormat="1" ht="22.9" customHeight="1">
      <c r="A127" s="222"/>
      <c r="B127" s="223"/>
      <c r="C127" s="287" t="s">
        <v>143</v>
      </c>
      <c r="D127" s="222"/>
      <c r="E127" s="222"/>
      <c r="F127" s="222"/>
      <c r="G127" s="222"/>
      <c r="H127" s="222"/>
      <c r="I127" s="222"/>
      <c r="J127" s="288">
        <f>J98</f>
        <v>0</v>
      </c>
      <c r="K127" s="222"/>
      <c r="L127" s="223"/>
      <c r="M127" s="289"/>
      <c r="N127" s="290"/>
      <c r="O127" s="231"/>
      <c r="P127" s="291">
        <f>P128+P244</f>
        <v>0</v>
      </c>
      <c r="Q127" s="231"/>
      <c r="R127" s="291">
        <f>R128+R244</f>
        <v>0</v>
      </c>
      <c r="S127" s="231"/>
      <c r="T127" s="659">
        <f>T128+T244</f>
        <v>0</v>
      </c>
      <c r="U127" s="222"/>
      <c r="V127" s="222"/>
      <c r="W127" s="222"/>
      <c r="X127" s="222"/>
      <c r="Y127" s="222"/>
      <c r="Z127" s="222"/>
      <c r="AA127" s="222"/>
      <c r="AB127" s="222"/>
      <c r="AC127" s="222"/>
      <c r="AD127" s="222"/>
      <c r="AE127" s="222"/>
      <c r="AT127" s="214" t="s">
        <v>75</v>
      </c>
      <c r="AU127" s="214" t="s">
        <v>101</v>
      </c>
      <c r="BK127" s="296">
        <f>BK128+BK244</f>
        <v>0</v>
      </c>
    </row>
    <row r="128" spans="2:63" s="297" customFormat="1" ht="25.9" customHeight="1">
      <c r="B128" s="298"/>
      <c r="D128" s="299" t="s">
        <v>75</v>
      </c>
      <c r="E128" s="300" t="s">
        <v>747</v>
      </c>
      <c r="F128" s="300" t="s">
        <v>748</v>
      </c>
      <c r="J128" s="301"/>
      <c r="L128" s="298"/>
      <c r="M128" s="303"/>
      <c r="N128" s="304"/>
      <c r="O128" s="304"/>
      <c r="P128" s="305">
        <f>P129+P132+P164+P191+P212</f>
        <v>0</v>
      </c>
      <c r="Q128" s="304"/>
      <c r="R128" s="305">
        <f>R129+R132+R164+R191+R212</f>
        <v>0</v>
      </c>
      <c r="S128" s="304"/>
      <c r="T128" s="313">
        <f>T129+T132+T164+T191+T212</f>
        <v>0</v>
      </c>
      <c r="AR128" s="299" t="s">
        <v>83</v>
      </c>
      <c r="AT128" s="308" t="s">
        <v>75</v>
      </c>
      <c r="AU128" s="308" t="s">
        <v>76</v>
      </c>
      <c r="AY128" s="299" t="s">
        <v>146</v>
      </c>
      <c r="BK128" s="309">
        <f>BK129+BK132+BK164+BK191+BK212</f>
        <v>0</v>
      </c>
    </row>
    <row r="129" spans="2:63" s="297" customFormat="1" ht="22.9" customHeight="1">
      <c r="B129" s="298"/>
      <c r="D129" s="299" t="s">
        <v>75</v>
      </c>
      <c r="E129" s="660" t="s">
        <v>2086</v>
      </c>
      <c r="F129" s="660" t="s">
        <v>2087</v>
      </c>
      <c r="J129" s="311">
        <f>SUM(J130:J131)</f>
        <v>0</v>
      </c>
      <c r="L129" s="298"/>
      <c r="M129" s="303"/>
      <c r="N129" s="304"/>
      <c r="O129" s="304"/>
      <c r="P129" s="305">
        <f>SUM(P130:P131)</f>
        <v>0</v>
      </c>
      <c r="Q129" s="304"/>
      <c r="R129" s="305">
        <f>SUM(R130:R131)</f>
        <v>0</v>
      </c>
      <c r="S129" s="304"/>
      <c r="T129" s="313">
        <f>SUM(T130:T131)</f>
        <v>0</v>
      </c>
      <c r="AR129" s="299" t="s">
        <v>83</v>
      </c>
      <c r="AT129" s="308" t="s">
        <v>75</v>
      </c>
      <c r="AU129" s="308" t="s">
        <v>81</v>
      </c>
      <c r="AY129" s="299" t="s">
        <v>146</v>
      </c>
      <c r="BK129" s="309">
        <f>SUM(BK130:BK131)</f>
        <v>0</v>
      </c>
    </row>
    <row r="130" spans="1:65" s="225" customFormat="1" ht="24.2" customHeight="1">
      <c r="A130" s="222"/>
      <c r="B130" s="223"/>
      <c r="C130" s="314" t="s">
        <v>81</v>
      </c>
      <c r="D130" s="314" t="s">
        <v>148</v>
      </c>
      <c r="E130" s="315" t="s">
        <v>2088</v>
      </c>
      <c r="F130" s="316" t="s">
        <v>2089</v>
      </c>
      <c r="G130" s="317" t="s">
        <v>301</v>
      </c>
      <c r="H130" s="318">
        <v>2</v>
      </c>
      <c r="I130" s="79"/>
      <c r="J130" s="319">
        <f>ROUND(I130*H130,2)</f>
        <v>0</v>
      </c>
      <c r="K130" s="316" t="s">
        <v>1</v>
      </c>
      <c r="L130" s="223"/>
      <c r="M130" s="320" t="s">
        <v>1</v>
      </c>
      <c r="N130" s="321" t="s">
        <v>42</v>
      </c>
      <c r="O130" s="322">
        <v>0</v>
      </c>
      <c r="P130" s="322">
        <f>O130*H130</f>
        <v>0</v>
      </c>
      <c r="Q130" s="322">
        <v>0</v>
      </c>
      <c r="R130" s="322">
        <f>Q130*H130</f>
        <v>0</v>
      </c>
      <c r="S130" s="322">
        <v>0</v>
      </c>
      <c r="T130" s="323">
        <f>S130*H130</f>
        <v>0</v>
      </c>
      <c r="U130" s="222"/>
      <c r="V130" s="222"/>
      <c r="W130" s="222"/>
      <c r="X130" s="222"/>
      <c r="Y130" s="222"/>
      <c r="Z130" s="222"/>
      <c r="AA130" s="222"/>
      <c r="AB130" s="222"/>
      <c r="AC130" s="222"/>
      <c r="AD130" s="222"/>
      <c r="AE130" s="222"/>
      <c r="AR130" s="324" t="s">
        <v>212</v>
      </c>
      <c r="AT130" s="324" t="s">
        <v>148</v>
      </c>
      <c r="AU130" s="324" t="s">
        <v>83</v>
      </c>
      <c r="AY130" s="214" t="s">
        <v>146</v>
      </c>
      <c r="BE130" s="325">
        <f>IF(N130="základní",J130,0)</f>
        <v>0</v>
      </c>
      <c r="BF130" s="325">
        <f>IF(N130="snížená",J130,0)</f>
        <v>0</v>
      </c>
      <c r="BG130" s="325">
        <f>IF(N130="zákl. přenesená",J130,0)</f>
        <v>0</v>
      </c>
      <c r="BH130" s="325">
        <f>IF(N130="sníž. přenesená",J130,0)</f>
        <v>0</v>
      </c>
      <c r="BI130" s="325">
        <f>IF(N130="nulová",J130,0)</f>
        <v>0</v>
      </c>
      <c r="BJ130" s="214" t="s">
        <v>81</v>
      </c>
      <c r="BK130" s="325">
        <f>ROUND(I130*H130,2)</f>
        <v>0</v>
      </c>
      <c r="BL130" s="214" t="s">
        <v>212</v>
      </c>
      <c r="BM130" s="324" t="s">
        <v>2090</v>
      </c>
    </row>
    <row r="131" spans="1:65" s="225" customFormat="1" ht="24.2" customHeight="1">
      <c r="A131" s="222"/>
      <c r="B131" s="223"/>
      <c r="C131" s="314" t="s">
        <v>83</v>
      </c>
      <c r="D131" s="314" t="s">
        <v>148</v>
      </c>
      <c r="E131" s="315" t="s">
        <v>2091</v>
      </c>
      <c r="F131" s="316" t="s">
        <v>3841</v>
      </c>
      <c r="G131" s="317" t="s">
        <v>194</v>
      </c>
      <c r="H131" s="318">
        <v>1</v>
      </c>
      <c r="I131" s="79"/>
      <c r="J131" s="319">
        <f>ROUND(I131*H131,2)</f>
        <v>0</v>
      </c>
      <c r="K131" s="316" t="s">
        <v>1</v>
      </c>
      <c r="L131" s="223"/>
      <c r="M131" s="320" t="s">
        <v>1</v>
      </c>
      <c r="N131" s="321" t="s">
        <v>42</v>
      </c>
      <c r="O131" s="322">
        <v>0</v>
      </c>
      <c r="P131" s="322">
        <f>O131*H131</f>
        <v>0</v>
      </c>
      <c r="Q131" s="322">
        <v>0</v>
      </c>
      <c r="R131" s="322">
        <f>Q131*H131</f>
        <v>0</v>
      </c>
      <c r="S131" s="322">
        <v>0</v>
      </c>
      <c r="T131" s="323">
        <f>S131*H131</f>
        <v>0</v>
      </c>
      <c r="U131" s="222"/>
      <c r="V131" s="222"/>
      <c r="W131" s="222"/>
      <c r="X131" s="222"/>
      <c r="Y131" s="222"/>
      <c r="Z131" s="222"/>
      <c r="AA131" s="222"/>
      <c r="AB131" s="222"/>
      <c r="AC131" s="222"/>
      <c r="AD131" s="222"/>
      <c r="AE131" s="222"/>
      <c r="AR131" s="324" t="s">
        <v>212</v>
      </c>
      <c r="AT131" s="324" t="s">
        <v>148</v>
      </c>
      <c r="AU131" s="324" t="s">
        <v>83</v>
      </c>
      <c r="AY131" s="214" t="s">
        <v>146</v>
      </c>
      <c r="BE131" s="325">
        <f>IF(N131="základní",J131,0)</f>
        <v>0</v>
      </c>
      <c r="BF131" s="325">
        <f>IF(N131="snížená",J131,0)</f>
        <v>0</v>
      </c>
      <c r="BG131" s="325">
        <f>IF(N131="zákl. přenesená",J131,0)</f>
        <v>0</v>
      </c>
      <c r="BH131" s="325">
        <f>IF(N131="sníž. přenesená",J131,0)</f>
        <v>0</v>
      </c>
      <c r="BI131" s="325">
        <f>IF(N131="nulová",J131,0)</f>
        <v>0</v>
      </c>
      <c r="BJ131" s="214" t="s">
        <v>81</v>
      </c>
      <c r="BK131" s="325">
        <f>ROUND(I131*H131,2)</f>
        <v>0</v>
      </c>
      <c r="BL131" s="214" t="s">
        <v>212</v>
      </c>
      <c r="BM131" s="324" t="s">
        <v>2092</v>
      </c>
    </row>
    <row r="132" spans="2:63" s="297" customFormat="1" ht="22.9" customHeight="1">
      <c r="B132" s="298"/>
      <c r="D132" s="299" t="s">
        <v>75</v>
      </c>
      <c r="E132" s="660" t="s">
        <v>2093</v>
      </c>
      <c r="F132" s="660" t="s">
        <v>2094</v>
      </c>
      <c r="I132" s="501"/>
      <c r="J132" s="311">
        <f>SUM(J133:J163)</f>
        <v>0</v>
      </c>
      <c r="L132" s="298"/>
      <c r="M132" s="303"/>
      <c r="N132" s="304"/>
      <c r="O132" s="304"/>
      <c r="P132" s="305">
        <f>SUM(P133:P163)</f>
        <v>0</v>
      </c>
      <c r="Q132" s="304"/>
      <c r="R132" s="305">
        <f>SUM(R133:R163)</f>
        <v>0</v>
      </c>
      <c r="S132" s="304"/>
      <c r="T132" s="313">
        <f>SUM(T133:T163)</f>
        <v>0</v>
      </c>
      <c r="AR132" s="299" t="s">
        <v>83</v>
      </c>
      <c r="AT132" s="308" t="s">
        <v>75</v>
      </c>
      <c r="AU132" s="308" t="s">
        <v>81</v>
      </c>
      <c r="AY132" s="299" t="s">
        <v>146</v>
      </c>
      <c r="BK132" s="309">
        <f>SUM(BK133:BK163)</f>
        <v>0</v>
      </c>
    </row>
    <row r="133" spans="1:65" s="225" customFormat="1" ht="24.2" customHeight="1">
      <c r="A133" s="222"/>
      <c r="B133" s="223"/>
      <c r="C133" s="358" t="s">
        <v>159</v>
      </c>
      <c r="D133" s="358" t="s">
        <v>208</v>
      </c>
      <c r="E133" s="359" t="s">
        <v>2095</v>
      </c>
      <c r="F133" s="364" t="s">
        <v>2096</v>
      </c>
      <c r="G133" s="361" t="s">
        <v>1361</v>
      </c>
      <c r="H133" s="362">
        <v>4</v>
      </c>
      <c r="I133" s="80"/>
      <c r="J133" s="363">
        <f aca="true" t="shared" si="0" ref="J133:J163">ROUND(I133*H133,2)</f>
        <v>0</v>
      </c>
      <c r="K133" s="364" t="s">
        <v>1</v>
      </c>
      <c r="L133" s="675"/>
      <c r="M133" s="366" t="s">
        <v>1</v>
      </c>
      <c r="N133" s="367" t="s">
        <v>42</v>
      </c>
      <c r="O133" s="322">
        <v>0</v>
      </c>
      <c r="P133" s="322">
        <f aca="true" t="shared" si="1" ref="P133:P163">O133*H133</f>
        <v>0</v>
      </c>
      <c r="Q133" s="322">
        <v>0</v>
      </c>
      <c r="R133" s="322">
        <f aca="true" t="shared" si="2" ref="R133:R163">Q133*H133</f>
        <v>0</v>
      </c>
      <c r="S133" s="322">
        <v>0</v>
      </c>
      <c r="T133" s="323">
        <f aca="true" t="shared" si="3" ref="T133:T163">S133*H133</f>
        <v>0</v>
      </c>
      <c r="U133" s="222"/>
      <c r="V133" s="222"/>
      <c r="W133" s="222"/>
      <c r="X133" s="222"/>
      <c r="Y133" s="222"/>
      <c r="Z133" s="222"/>
      <c r="AA133" s="222"/>
      <c r="AB133" s="222"/>
      <c r="AC133" s="222"/>
      <c r="AD133" s="222"/>
      <c r="AE133" s="222"/>
      <c r="AR133" s="324" t="s">
        <v>298</v>
      </c>
      <c r="AT133" s="324" t="s">
        <v>208</v>
      </c>
      <c r="AU133" s="324" t="s">
        <v>83</v>
      </c>
      <c r="AY133" s="214" t="s">
        <v>146</v>
      </c>
      <c r="BE133" s="325">
        <f aca="true" t="shared" si="4" ref="BE133:BE163">IF(N133="základní",J133,0)</f>
        <v>0</v>
      </c>
      <c r="BF133" s="325">
        <f aca="true" t="shared" si="5" ref="BF133:BF163">IF(N133="snížená",J133,0)</f>
        <v>0</v>
      </c>
      <c r="BG133" s="325">
        <f aca="true" t="shared" si="6" ref="BG133:BG163">IF(N133="zákl. přenesená",J133,0)</f>
        <v>0</v>
      </c>
      <c r="BH133" s="325">
        <f aca="true" t="shared" si="7" ref="BH133:BH163">IF(N133="sníž. přenesená",J133,0)</f>
        <v>0</v>
      </c>
      <c r="BI133" s="325">
        <f aca="true" t="shared" si="8" ref="BI133:BI163">IF(N133="nulová",J133,0)</f>
        <v>0</v>
      </c>
      <c r="BJ133" s="214" t="s">
        <v>81</v>
      </c>
      <c r="BK133" s="325">
        <f aca="true" t="shared" si="9" ref="BK133:BK163">ROUND(I133*H133,2)</f>
        <v>0</v>
      </c>
      <c r="BL133" s="214" t="s">
        <v>212</v>
      </c>
      <c r="BM133" s="324" t="s">
        <v>2097</v>
      </c>
    </row>
    <row r="134" spans="1:65" s="225" customFormat="1" ht="16.5" customHeight="1">
      <c r="A134" s="222"/>
      <c r="B134" s="223"/>
      <c r="C134" s="314" t="s">
        <v>153</v>
      </c>
      <c r="D134" s="314" t="s">
        <v>148</v>
      </c>
      <c r="E134" s="315" t="s">
        <v>2098</v>
      </c>
      <c r="F134" s="316" t="s">
        <v>2099</v>
      </c>
      <c r="G134" s="317" t="s">
        <v>1361</v>
      </c>
      <c r="H134" s="318">
        <v>2</v>
      </c>
      <c r="I134" s="79"/>
      <c r="J134" s="319">
        <f t="shared" si="0"/>
        <v>0</v>
      </c>
      <c r="K134" s="316" t="s">
        <v>1</v>
      </c>
      <c r="L134" s="223"/>
      <c r="M134" s="320" t="s">
        <v>1</v>
      </c>
      <c r="N134" s="321" t="s">
        <v>42</v>
      </c>
      <c r="O134" s="322">
        <v>0</v>
      </c>
      <c r="P134" s="322">
        <f t="shared" si="1"/>
        <v>0</v>
      </c>
      <c r="Q134" s="322">
        <v>0</v>
      </c>
      <c r="R134" s="322">
        <f t="shared" si="2"/>
        <v>0</v>
      </c>
      <c r="S134" s="322">
        <v>0</v>
      </c>
      <c r="T134" s="323">
        <f t="shared" si="3"/>
        <v>0</v>
      </c>
      <c r="U134" s="222"/>
      <c r="V134" s="222"/>
      <c r="W134" s="222"/>
      <c r="X134" s="222"/>
      <c r="Y134" s="222"/>
      <c r="Z134" s="222"/>
      <c r="AA134" s="222"/>
      <c r="AB134" s="222"/>
      <c r="AC134" s="222"/>
      <c r="AD134" s="222"/>
      <c r="AE134" s="222"/>
      <c r="AR134" s="324" t="s">
        <v>212</v>
      </c>
      <c r="AT134" s="324" t="s">
        <v>148</v>
      </c>
      <c r="AU134" s="324" t="s">
        <v>83</v>
      </c>
      <c r="AY134" s="214" t="s">
        <v>146</v>
      </c>
      <c r="BE134" s="325">
        <f t="shared" si="4"/>
        <v>0</v>
      </c>
      <c r="BF134" s="325">
        <f t="shared" si="5"/>
        <v>0</v>
      </c>
      <c r="BG134" s="325">
        <f t="shared" si="6"/>
        <v>0</v>
      </c>
      <c r="BH134" s="325">
        <f t="shared" si="7"/>
        <v>0</v>
      </c>
      <c r="BI134" s="325">
        <f t="shared" si="8"/>
        <v>0</v>
      </c>
      <c r="BJ134" s="214" t="s">
        <v>81</v>
      </c>
      <c r="BK134" s="325">
        <f t="shared" si="9"/>
        <v>0</v>
      </c>
      <c r="BL134" s="214" t="s">
        <v>212</v>
      </c>
      <c r="BM134" s="324" t="s">
        <v>2100</v>
      </c>
    </row>
    <row r="135" spans="1:65" s="225" customFormat="1" ht="16.5" customHeight="1">
      <c r="A135" s="222"/>
      <c r="B135" s="223"/>
      <c r="C135" s="314" t="s">
        <v>177</v>
      </c>
      <c r="D135" s="314" t="s">
        <v>148</v>
      </c>
      <c r="E135" s="315" t="s">
        <v>2101</v>
      </c>
      <c r="F135" s="316" t="s">
        <v>2102</v>
      </c>
      <c r="G135" s="317" t="s">
        <v>1361</v>
      </c>
      <c r="H135" s="318">
        <v>2</v>
      </c>
      <c r="I135" s="79"/>
      <c r="J135" s="319">
        <f t="shared" si="0"/>
        <v>0</v>
      </c>
      <c r="K135" s="316" t="s">
        <v>1</v>
      </c>
      <c r="L135" s="223"/>
      <c r="M135" s="320" t="s">
        <v>1</v>
      </c>
      <c r="N135" s="321" t="s">
        <v>42</v>
      </c>
      <c r="O135" s="322">
        <v>0</v>
      </c>
      <c r="P135" s="322">
        <f t="shared" si="1"/>
        <v>0</v>
      </c>
      <c r="Q135" s="322">
        <v>0</v>
      </c>
      <c r="R135" s="322">
        <f t="shared" si="2"/>
        <v>0</v>
      </c>
      <c r="S135" s="322">
        <v>0</v>
      </c>
      <c r="T135" s="323">
        <f t="shared" si="3"/>
        <v>0</v>
      </c>
      <c r="U135" s="222"/>
      <c r="V135" s="222"/>
      <c r="W135" s="222"/>
      <c r="X135" s="222"/>
      <c r="Y135" s="222"/>
      <c r="Z135" s="222"/>
      <c r="AA135" s="222"/>
      <c r="AB135" s="222"/>
      <c r="AC135" s="222"/>
      <c r="AD135" s="222"/>
      <c r="AE135" s="222"/>
      <c r="AR135" s="324" t="s">
        <v>212</v>
      </c>
      <c r="AT135" s="324" t="s">
        <v>148</v>
      </c>
      <c r="AU135" s="324" t="s">
        <v>83</v>
      </c>
      <c r="AY135" s="214" t="s">
        <v>146</v>
      </c>
      <c r="BE135" s="325">
        <f t="shared" si="4"/>
        <v>0</v>
      </c>
      <c r="BF135" s="325">
        <f t="shared" si="5"/>
        <v>0</v>
      </c>
      <c r="BG135" s="325">
        <f t="shared" si="6"/>
        <v>0</v>
      </c>
      <c r="BH135" s="325">
        <f t="shared" si="7"/>
        <v>0</v>
      </c>
      <c r="BI135" s="325">
        <f t="shared" si="8"/>
        <v>0</v>
      </c>
      <c r="BJ135" s="214" t="s">
        <v>81</v>
      </c>
      <c r="BK135" s="325">
        <f t="shared" si="9"/>
        <v>0</v>
      </c>
      <c r="BL135" s="214" t="s">
        <v>212</v>
      </c>
      <c r="BM135" s="324" t="s">
        <v>2103</v>
      </c>
    </row>
    <row r="136" spans="1:65" s="225" customFormat="1" ht="24.2" customHeight="1">
      <c r="A136" s="222"/>
      <c r="B136" s="223"/>
      <c r="C136" s="314" t="s">
        <v>181</v>
      </c>
      <c r="D136" s="314" t="s">
        <v>148</v>
      </c>
      <c r="E136" s="315" t="s">
        <v>2104</v>
      </c>
      <c r="F136" s="316" t="s">
        <v>2105</v>
      </c>
      <c r="G136" s="317" t="s">
        <v>1361</v>
      </c>
      <c r="H136" s="318">
        <v>1</v>
      </c>
      <c r="I136" s="79"/>
      <c r="J136" s="319">
        <f t="shared" si="0"/>
        <v>0</v>
      </c>
      <c r="K136" s="316" t="s">
        <v>1</v>
      </c>
      <c r="L136" s="223"/>
      <c r="M136" s="320" t="s">
        <v>1</v>
      </c>
      <c r="N136" s="321" t="s">
        <v>42</v>
      </c>
      <c r="O136" s="322">
        <v>0</v>
      </c>
      <c r="P136" s="322">
        <f t="shared" si="1"/>
        <v>0</v>
      </c>
      <c r="Q136" s="322">
        <v>0</v>
      </c>
      <c r="R136" s="322">
        <f t="shared" si="2"/>
        <v>0</v>
      </c>
      <c r="S136" s="322">
        <v>0</v>
      </c>
      <c r="T136" s="323">
        <f t="shared" si="3"/>
        <v>0</v>
      </c>
      <c r="U136" s="222"/>
      <c r="V136" s="222"/>
      <c r="W136" s="222"/>
      <c r="X136" s="222"/>
      <c r="Y136" s="222"/>
      <c r="Z136" s="222"/>
      <c r="AA136" s="222"/>
      <c r="AB136" s="222"/>
      <c r="AC136" s="222"/>
      <c r="AD136" s="222"/>
      <c r="AE136" s="222"/>
      <c r="AR136" s="324" t="s">
        <v>212</v>
      </c>
      <c r="AT136" s="324" t="s">
        <v>148</v>
      </c>
      <c r="AU136" s="324" t="s">
        <v>83</v>
      </c>
      <c r="AY136" s="214" t="s">
        <v>146</v>
      </c>
      <c r="BE136" s="325">
        <f t="shared" si="4"/>
        <v>0</v>
      </c>
      <c r="BF136" s="325">
        <f t="shared" si="5"/>
        <v>0</v>
      </c>
      <c r="BG136" s="325">
        <f t="shared" si="6"/>
        <v>0</v>
      </c>
      <c r="BH136" s="325">
        <f t="shared" si="7"/>
        <v>0</v>
      </c>
      <c r="BI136" s="325">
        <f t="shared" si="8"/>
        <v>0</v>
      </c>
      <c r="BJ136" s="214" t="s">
        <v>81</v>
      </c>
      <c r="BK136" s="325">
        <f t="shared" si="9"/>
        <v>0</v>
      </c>
      <c r="BL136" s="214" t="s">
        <v>212</v>
      </c>
      <c r="BM136" s="324" t="s">
        <v>2106</v>
      </c>
    </row>
    <row r="137" spans="1:65" s="225" customFormat="1" ht="24.2" customHeight="1">
      <c r="A137" s="222"/>
      <c r="B137" s="223"/>
      <c r="C137" s="314" t="s">
        <v>185</v>
      </c>
      <c r="D137" s="314" t="s">
        <v>148</v>
      </c>
      <c r="E137" s="315" t="s">
        <v>2107</v>
      </c>
      <c r="F137" s="316" t="s">
        <v>2108</v>
      </c>
      <c r="G137" s="317" t="s">
        <v>301</v>
      </c>
      <c r="H137" s="318">
        <v>8</v>
      </c>
      <c r="I137" s="79"/>
      <c r="J137" s="319">
        <f t="shared" si="0"/>
        <v>0</v>
      </c>
      <c r="K137" s="316" t="s">
        <v>1</v>
      </c>
      <c r="L137" s="223"/>
      <c r="M137" s="320" t="s">
        <v>1</v>
      </c>
      <c r="N137" s="321" t="s">
        <v>42</v>
      </c>
      <c r="O137" s="322">
        <v>0</v>
      </c>
      <c r="P137" s="322">
        <f t="shared" si="1"/>
        <v>0</v>
      </c>
      <c r="Q137" s="322">
        <v>0</v>
      </c>
      <c r="R137" s="322">
        <f t="shared" si="2"/>
        <v>0</v>
      </c>
      <c r="S137" s="322">
        <v>0</v>
      </c>
      <c r="T137" s="323">
        <f t="shared" si="3"/>
        <v>0</v>
      </c>
      <c r="U137" s="222"/>
      <c r="V137" s="222"/>
      <c r="W137" s="222"/>
      <c r="X137" s="222"/>
      <c r="Y137" s="222"/>
      <c r="Z137" s="222"/>
      <c r="AA137" s="222"/>
      <c r="AB137" s="222"/>
      <c r="AC137" s="222"/>
      <c r="AD137" s="222"/>
      <c r="AE137" s="222"/>
      <c r="AR137" s="324" t="s">
        <v>212</v>
      </c>
      <c r="AT137" s="324" t="s">
        <v>148</v>
      </c>
      <c r="AU137" s="324" t="s">
        <v>83</v>
      </c>
      <c r="AY137" s="214" t="s">
        <v>146</v>
      </c>
      <c r="BE137" s="325">
        <f t="shared" si="4"/>
        <v>0</v>
      </c>
      <c r="BF137" s="325">
        <f t="shared" si="5"/>
        <v>0</v>
      </c>
      <c r="BG137" s="325">
        <f t="shared" si="6"/>
        <v>0</v>
      </c>
      <c r="BH137" s="325">
        <f t="shared" si="7"/>
        <v>0</v>
      </c>
      <c r="BI137" s="325">
        <f t="shared" si="8"/>
        <v>0</v>
      </c>
      <c r="BJ137" s="214" t="s">
        <v>81</v>
      </c>
      <c r="BK137" s="325">
        <f t="shared" si="9"/>
        <v>0</v>
      </c>
      <c r="BL137" s="214" t="s">
        <v>212</v>
      </c>
      <c r="BM137" s="324" t="s">
        <v>2109</v>
      </c>
    </row>
    <row r="138" spans="1:65" s="225" customFormat="1" ht="24.2" customHeight="1">
      <c r="A138" s="222"/>
      <c r="B138" s="223"/>
      <c r="C138" s="314" t="s">
        <v>189</v>
      </c>
      <c r="D138" s="314" t="s">
        <v>148</v>
      </c>
      <c r="E138" s="315" t="s">
        <v>2110</v>
      </c>
      <c r="F138" s="316" t="s">
        <v>2111</v>
      </c>
      <c r="G138" s="317" t="s">
        <v>301</v>
      </c>
      <c r="H138" s="318">
        <v>2</v>
      </c>
      <c r="I138" s="79"/>
      <c r="J138" s="319">
        <f t="shared" si="0"/>
        <v>0</v>
      </c>
      <c r="K138" s="316" t="s">
        <v>1</v>
      </c>
      <c r="L138" s="223"/>
      <c r="M138" s="320" t="s">
        <v>1</v>
      </c>
      <c r="N138" s="321" t="s">
        <v>42</v>
      </c>
      <c r="O138" s="322">
        <v>0</v>
      </c>
      <c r="P138" s="322">
        <f t="shared" si="1"/>
        <v>0</v>
      </c>
      <c r="Q138" s="322">
        <v>0</v>
      </c>
      <c r="R138" s="322">
        <f t="shared" si="2"/>
        <v>0</v>
      </c>
      <c r="S138" s="322">
        <v>0</v>
      </c>
      <c r="T138" s="323">
        <f t="shared" si="3"/>
        <v>0</v>
      </c>
      <c r="U138" s="222"/>
      <c r="V138" s="222"/>
      <c r="W138" s="222"/>
      <c r="X138" s="222"/>
      <c r="Y138" s="222"/>
      <c r="Z138" s="222"/>
      <c r="AA138" s="222"/>
      <c r="AB138" s="222"/>
      <c r="AC138" s="222"/>
      <c r="AD138" s="222"/>
      <c r="AE138" s="222"/>
      <c r="AR138" s="324" t="s">
        <v>212</v>
      </c>
      <c r="AT138" s="324" t="s">
        <v>148</v>
      </c>
      <c r="AU138" s="324" t="s">
        <v>83</v>
      </c>
      <c r="AY138" s="214" t="s">
        <v>146</v>
      </c>
      <c r="BE138" s="325">
        <f t="shared" si="4"/>
        <v>0</v>
      </c>
      <c r="BF138" s="325">
        <f t="shared" si="5"/>
        <v>0</v>
      </c>
      <c r="BG138" s="325">
        <f t="shared" si="6"/>
        <v>0</v>
      </c>
      <c r="BH138" s="325">
        <f t="shared" si="7"/>
        <v>0</v>
      </c>
      <c r="BI138" s="325">
        <f t="shared" si="8"/>
        <v>0</v>
      </c>
      <c r="BJ138" s="214" t="s">
        <v>81</v>
      </c>
      <c r="BK138" s="325">
        <f t="shared" si="9"/>
        <v>0</v>
      </c>
      <c r="BL138" s="214" t="s">
        <v>212</v>
      </c>
      <c r="BM138" s="324" t="s">
        <v>2112</v>
      </c>
    </row>
    <row r="139" spans="1:65" s="225" customFormat="1" ht="16.5" customHeight="1">
      <c r="A139" s="222"/>
      <c r="B139" s="223"/>
      <c r="C139" s="314" t="s">
        <v>191</v>
      </c>
      <c r="D139" s="314" t="s">
        <v>148</v>
      </c>
      <c r="E139" s="315" t="s">
        <v>2113</v>
      </c>
      <c r="F139" s="316" t="s">
        <v>2114</v>
      </c>
      <c r="G139" s="317" t="s">
        <v>301</v>
      </c>
      <c r="H139" s="318">
        <v>1</v>
      </c>
      <c r="I139" s="79"/>
      <c r="J139" s="319">
        <f t="shared" si="0"/>
        <v>0</v>
      </c>
      <c r="K139" s="316" t="s">
        <v>1</v>
      </c>
      <c r="L139" s="223"/>
      <c r="M139" s="320" t="s">
        <v>1</v>
      </c>
      <c r="N139" s="321" t="s">
        <v>42</v>
      </c>
      <c r="O139" s="322">
        <v>0</v>
      </c>
      <c r="P139" s="322">
        <f t="shared" si="1"/>
        <v>0</v>
      </c>
      <c r="Q139" s="322">
        <v>0</v>
      </c>
      <c r="R139" s="322">
        <f t="shared" si="2"/>
        <v>0</v>
      </c>
      <c r="S139" s="322">
        <v>0</v>
      </c>
      <c r="T139" s="323">
        <f t="shared" si="3"/>
        <v>0</v>
      </c>
      <c r="U139" s="222"/>
      <c r="V139" s="222"/>
      <c r="W139" s="222"/>
      <c r="X139" s="222"/>
      <c r="Y139" s="222"/>
      <c r="Z139" s="222"/>
      <c r="AA139" s="222"/>
      <c r="AB139" s="222"/>
      <c r="AC139" s="222"/>
      <c r="AD139" s="222"/>
      <c r="AE139" s="222"/>
      <c r="AR139" s="324" t="s">
        <v>212</v>
      </c>
      <c r="AT139" s="324" t="s">
        <v>148</v>
      </c>
      <c r="AU139" s="324" t="s">
        <v>83</v>
      </c>
      <c r="AY139" s="214" t="s">
        <v>146</v>
      </c>
      <c r="BE139" s="325">
        <f t="shared" si="4"/>
        <v>0</v>
      </c>
      <c r="BF139" s="325">
        <f t="shared" si="5"/>
        <v>0</v>
      </c>
      <c r="BG139" s="325">
        <f t="shared" si="6"/>
        <v>0</v>
      </c>
      <c r="BH139" s="325">
        <f t="shared" si="7"/>
        <v>0</v>
      </c>
      <c r="BI139" s="325">
        <f t="shared" si="8"/>
        <v>0</v>
      </c>
      <c r="BJ139" s="214" t="s">
        <v>81</v>
      </c>
      <c r="BK139" s="325">
        <f t="shared" si="9"/>
        <v>0</v>
      </c>
      <c r="BL139" s="214" t="s">
        <v>212</v>
      </c>
      <c r="BM139" s="324" t="s">
        <v>2115</v>
      </c>
    </row>
    <row r="140" spans="1:65" s="225" customFormat="1" ht="16.5" customHeight="1">
      <c r="A140" s="222"/>
      <c r="B140" s="223"/>
      <c r="C140" s="314" t="s">
        <v>196</v>
      </c>
      <c r="D140" s="314" t="s">
        <v>148</v>
      </c>
      <c r="E140" s="315" t="s">
        <v>2116</v>
      </c>
      <c r="F140" s="316" t="s">
        <v>2117</v>
      </c>
      <c r="G140" s="317" t="s">
        <v>864</v>
      </c>
      <c r="H140" s="318">
        <v>20</v>
      </c>
      <c r="I140" s="79"/>
      <c r="J140" s="319">
        <f t="shared" si="0"/>
        <v>0</v>
      </c>
      <c r="K140" s="316" t="s">
        <v>1</v>
      </c>
      <c r="L140" s="223"/>
      <c r="M140" s="320" t="s">
        <v>1</v>
      </c>
      <c r="N140" s="321" t="s">
        <v>42</v>
      </c>
      <c r="O140" s="322">
        <v>0</v>
      </c>
      <c r="P140" s="322">
        <f t="shared" si="1"/>
        <v>0</v>
      </c>
      <c r="Q140" s="322">
        <v>0</v>
      </c>
      <c r="R140" s="322">
        <f t="shared" si="2"/>
        <v>0</v>
      </c>
      <c r="S140" s="322">
        <v>0</v>
      </c>
      <c r="T140" s="323">
        <f t="shared" si="3"/>
        <v>0</v>
      </c>
      <c r="U140" s="222"/>
      <c r="V140" s="222"/>
      <c r="W140" s="222"/>
      <c r="X140" s="222"/>
      <c r="Y140" s="222"/>
      <c r="Z140" s="222"/>
      <c r="AA140" s="222"/>
      <c r="AB140" s="222"/>
      <c r="AC140" s="222"/>
      <c r="AD140" s="222"/>
      <c r="AE140" s="222"/>
      <c r="AR140" s="324" t="s">
        <v>212</v>
      </c>
      <c r="AT140" s="324" t="s">
        <v>148</v>
      </c>
      <c r="AU140" s="324" t="s">
        <v>83</v>
      </c>
      <c r="AY140" s="214" t="s">
        <v>146</v>
      </c>
      <c r="BE140" s="325">
        <f t="shared" si="4"/>
        <v>0</v>
      </c>
      <c r="BF140" s="325">
        <f t="shared" si="5"/>
        <v>0</v>
      </c>
      <c r="BG140" s="325">
        <f t="shared" si="6"/>
        <v>0</v>
      </c>
      <c r="BH140" s="325">
        <f t="shared" si="7"/>
        <v>0</v>
      </c>
      <c r="BI140" s="325">
        <f t="shared" si="8"/>
        <v>0</v>
      </c>
      <c r="BJ140" s="214" t="s">
        <v>81</v>
      </c>
      <c r="BK140" s="325">
        <f t="shared" si="9"/>
        <v>0</v>
      </c>
      <c r="BL140" s="214" t="s">
        <v>212</v>
      </c>
      <c r="BM140" s="324" t="s">
        <v>2118</v>
      </c>
    </row>
    <row r="141" spans="1:65" s="225" customFormat="1" ht="49.15" customHeight="1">
      <c r="A141" s="222"/>
      <c r="B141" s="223"/>
      <c r="C141" s="314" t="s">
        <v>199</v>
      </c>
      <c r="D141" s="314" t="s">
        <v>148</v>
      </c>
      <c r="E141" s="315" t="s">
        <v>2119</v>
      </c>
      <c r="F141" s="316" t="s">
        <v>2120</v>
      </c>
      <c r="G141" s="317" t="s">
        <v>864</v>
      </c>
      <c r="H141" s="318">
        <v>1</v>
      </c>
      <c r="I141" s="79"/>
      <c r="J141" s="319">
        <f t="shared" si="0"/>
        <v>0</v>
      </c>
      <c r="K141" s="316" t="s">
        <v>1</v>
      </c>
      <c r="L141" s="223"/>
      <c r="M141" s="320" t="s">
        <v>1</v>
      </c>
      <c r="N141" s="321" t="s">
        <v>42</v>
      </c>
      <c r="O141" s="322">
        <v>0</v>
      </c>
      <c r="P141" s="322">
        <f t="shared" si="1"/>
        <v>0</v>
      </c>
      <c r="Q141" s="322">
        <v>0</v>
      </c>
      <c r="R141" s="322">
        <f t="shared" si="2"/>
        <v>0</v>
      </c>
      <c r="S141" s="322">
        <v>0</v>
      </c>
      <c r="T141" s="323">
        <f t="shared" si="3"/>
        <v>0</v>
      </c>
      <c r="U141" s="222"/>
      <c r="V141" s="222"/>
      <c r="W141" s="222"/>
      <c r="X141" s="222"/>
      <c r="Y141" s="222"/>
      <c r="Z141" s="222"/>
      <c r="AA141" s="222"/>
      <c r="AB141" s="222"/>
      <c r="AC141" s="222"/>
      <c r="AD141" s="222"/>
      <c r="AE141" s="222"/>
      <c r="AR141" s="324" t="s">
        <v>212</v>
      </c>
      <c r="AT141" s="324" t="s">
        <v>148</v>
      </c>
      <c r="AU141" s="324" t="s">
        <v>83</v>
      </c>
      <c r="AY141" s="214" t="s">
        <v>146</v>
      </c>
      <c r="BE141" s="325">
        <f t="shared" si="4"/>
        <v>0</v>
      </c>
      <c r="BF141" s="325">
        <f t="shared" si="5"/>
        <v>0</v>
      </c>
      <c r="BG141" s="325">
        <f t="shared" si="6"/>
        <v>0</v>
      </c>
      <c r="BH141" s="325">
        <f t="shared" si="7"/>
        <v>0</v>
      </c>
      <c r="BI141" s="325">
        <f t="shared" si="8"/>
        <v>0</v>
      </c>
      <c r="BJ141" s="214" t="s">
        <v>81</v>
      </c>
      <c r="BK141" s="325">
        <f t="shared" si="9"/>
        <v>0</v>
      </c>
      <c r="BL141" s="214" t="s">
        <v>212</v>
      </c>
      <c r="BM141" s="324" t="s">
        <v>2121</v>
      </c>
    </row>
    <row r="142" spans="1:65" s="225" customFormat="1" ht="24.2" customHeight="1">
      <c r="A142" s="222"/>
      <c r="B142" s="223"/>
      <c r="C142" s="314" t="s">
        <v>203</v>
      </c>
      <c r="D142" s="314" t="s">
        <v>148</v>
      </c>
      <c r="E142" s="315" t="s">
        <v>2122</v>
      </c>
      <c r="F142" s="316" t="s">
        <v>2123</v>
      </c>
      <c r="G142" s="317" t="s">
        <v>301</v>
      </c>
      <c r="H142" s="318">
        <v>2</v>
      </c>
      <c r="I142" s="79"/>
      <c r="J142" s="319">
        <f t="shared" si="0"/>
        <v>0</v>
      </c>
      <c r="K142" s="316" t="s">
        <v>1</v>
      </c>
      <c r="L142" s="223"/>
      <c r="M142" s="320" t="s">
        <v>1</v>
      </c>
      <c r="N142" s="321" t="s">
        <v>42</v>
      </c>
      <c r="O142" s="322">
        <v>0</v>
      </c>
      <c r="P142" s="322">
        <f t="shared" si="1"/>
        <v>0</v>
      </c>
      <c r="Q142" s="322">
        <v>0</v>
      </c>
      <c r="R142" s="322">
        <f t="shared" si="2"/>
        <v>0</v>
      </c>
      <c r="S142" s="322">
        <v>0</v>
      </c>
      <c r="T142" s="323">
        <f t="shared" si="3"/>
        <v>0</v>
      </c>
      <c r="U142" s="222"/>
      <c r="V142" s="222"/>
      <c r="W142" s="222"/>
      <c r="X142" s="222"/>
      <c r="Y142" s="222"/>
      <c r="Z142" s="222"/>
      <c r="AA142" s="222"/>
      <c r="AB142" s="222"/>
      <c r="AC142" s="222"/>
      <c r="AD142" s="222"/>
      <c r="AE142" s="222"/>
      <c r="AR142" s="324" t="s">
        <v>212</v>
      </c>
      <c r="AT142" s="324" t="s">
        <v>148</v>
      </c>
      <c r="AU142" s="324" t="s">
        <v>83</v>
      </c>
      <c r="AY142" s="214" t="s">
        <v>146</v>
      </c>
      <c r="BE142" s="325">
        <f t="shared" si="4"/>
        <v>0</v>
      </c>
      <c r="BF142" s="325">
        <f t="shared" si="5"/>
        <v>0</v>
      </c>
      <c r="BG142" s="325">
        <f t="shared" si="6"/>
        <v>0</v>
      </c>
      <c r="BH142" s="325">
        <f t="shared" si="7"/>
        <v>0</v>
      </c>
      <c r="BI142" s="325">
        <f t="shared" si="8"/>
        <v>0</v>
      </c>
      <c r="BJ142" s="214" t="s">
        <v>81</v>
      </c>
      <c r="BK142" s="325">
        <f t="shared" si="9"/>
        <v>0</v>
      </c>
      <c r="BL142" s="214" t="s">
        <v>212</v>
      </c>
      <c r="BM142" s="324" t="s">
        <v>2124</v>
      </c>
    </row>
    <row r="143" spans="1:65" s="225" customFormat="1" ht="24.2" customHeight="1">
      <c r="A143" s="222"/>
      <c r="B143" s="223"/>
      <c r="C143" s="314" t="s">
        <v>207</v>
      </c>
      <c r="D143" s="314" t="s">
        <v>148</v>
      </c>
      <c r="E143" s="315" t="s">
        <v>2125</v>
      </c>
      <c r="F143" s="316" t="s">
        <v>2126</v>
      </c>
      <c r="G143" s="317" t="s">
        <v>864</v>
      </c>
      <c r="H143" s="318">
        <v>2</v>
      </c>
      <c r="I143" s="79"/>
      <c r="J143" s="319">
        <f t="shared" si="0"/>
        <v>0</v>
      </c>
      <c r="K143" s="316" t="s">
        <v>1</v>
      </c>
      <c r="L143" s="223"/>
      <c r="M143" s="320" t="s">
        <v>1</v>
      </c>
      <c r="N143" s="321" t="s">
        <v>42</v>
      </c>
      <c r="O143" s="322">
        <v>0</v>
      </c>
      <c r="P143" s="322">
        <f t="shared" si="1"/>
        <v>0</v>
      </c>
      <c r="Q143" s="322">
        <v>0</v>
      </c>
      <c r="R143" s="322">
        <f t="shared" si="2"/>
        <v>0</v>
      </c>
      <c r="S143" s="322">
        <v>0</v>
      </c>
      <c r="T143" s="323">
        <f t="shared" si="3"/>
        <v>0</v>
      </c>
      <c r="U143" s="222"/>
      <c r="V143" s="222"/>
      <c r="W143" s="222"/>
      <c r="X143" s="222"/>
      <c r="Y143" s="222"/>
      <c r="Z143" s="222"/>
      <c r="AA143" s="222"/>
      <c r="AB143" s="222"/>
      <c r="AC143" s="222"/>
      <c r="AD143" s="222"/>
      <c r="AE143" s="222"/>
      <c r="AR143" s="324" t="s">
        <v>212</v>
      </c>
      <c r="AT143" s="324" t="s">
        <v>148</v>
      </c>
      <c r="AU143" s="324" t="s">
        <v>83</v>
      </c>
      <c r="AY143" s="214" t="s">
        <v>146</v>
      </c>
      <c r="BE143" s="325">
        <f t="shared" si="4"/>
        <v>0</v>
      </c>
      <c r="BF143" s="325">
        <f t="shared" si="5"/>
        <v>0</v>
      </c>
      <c r="BG143" s="325">
        <f t="shared" si="6"/>
        <v>0</v>
      </c>
      <c r="BH143" s="325">
        <f t="shared" si="7"/>
        <v>0</v>
      </c>
      <c r="BI143" s="325">
        <f t="shared" si="8"/>
        <v>0</v>
      </c>
      <c r="BJ143" s="214" t="s">
        <v>81</v>
      </c>
      <c r="BK143" s="325">
        <f t="shared" si="9"/>
        <v>0</v>
      </c>
      <c r="BL143" s="214" t="s">
        <v>212</v>
      </c>
      <c r="BM143" s="324" t="s">
        <v>2127</v>
      </c>
    </row>
    <row r="144" spans="1:65" s="225" customFormat="1" ht="37.9" customHeight="1">
      <c r="A144" s="222"/>
      <c r="B144" s="223"/>
      <c r="C144" s="314" t="s">
        <v>209</v>
      </c>
      <c r="D144" s="314" t="s">
        <v>148</v>
      </c>
      <c r="E144" s="315" t="s">
        <v>2128</v>
      </c>
      <c r="F144" s="316" t="s">
        <v>2129</v>
      </c>
      <c r="G144" s="317" t="s">
        <v>864</v>
      </c>
      <c r="H144" s="318">
        <v>1</v>
      </c>
      <c r="I144" s="79"/>
      <c r="J144" s="319">
        <f t="shared" si="0"/>
        <v>0</v>
      </c>
      <c r="K144" s="316" t="s">
        <v>1</v>
      </c>
      <c r="L144" s="223"/>
      <c r="M144" s="320" t="s">
        <v>1</v>
      </c>
      <c r="N144" s="321" t="s">
        <v>42</v>
      </c>
      <c r="O144" s="322">
        <v>0</v>
      </c>
      <c r="P144" s="322">
        <f t="shared" si="1"/>
        <v>0</v>
      </c>
      <c r="Q144" s="322">
        <v>0</v>
      </c>
      <c r="R144" s="322">
        <f t="shared" si="2"/>
        <v>0</v>
      </c>
      <c r="S144" s="322">
        <v>0</v>
      </c>
      <c r="T144" s="323">
        <f t="shared" si="3"/>
        <v>0</v>
      </c>
      <c r="U144" s="222"/>
      <c r="V144" s="222"/>
      <c r="W144" s="222"/>
      <c r="X144" s="222"/>
      <c r="Y144" s="222"/>
      <c r="Z144" s="222"/>
      <c r="AA144" s="222"/>
      <c r="AB144" s="222"/>
      <c r="AC144" s="222"/>
      <c r="AD144" s="222"/>
      <c r="AE144" s="222"/>
      <c r="AR144" s="324" t="s">
        <v>212</v>
      </c>
      <c r="AT144" s="324" t="s">
        <v>148</v>
      </c>
      <c r="AU144" s="324" t="s">
        <v>83</v>
      </c>
      <c r="AY144" s="214" t="s">
        <v>146</v>
      </c>
      <c r="BE144" s="325">
        <f t="shared" si="4"/>
        <v>0</v>
      </c>
      <c r="BF144" s="325">
        <f t="shared" si="5"/>
        <v>0</v>
      </c>
      <c r="BG144" s="325">
        <f t="shared" si="6"/>
        <v>0</v>
      </c>
      <c r="BH144" s="325">
        <f t="shared" si="7"/>
        <v>0</v>
      </c>
      <c r="BI144" s="325">
        <f t="shared" si="8"/>
        <v>0</v>
      </c>
      <c r="BJ144" s="214" t="s">
        <v>81</v>
      </c>
      <c r="BK144" s="325">
        <f t="shared" si="9"/>
        <v>0</v>
      </c>
      <c r="BL144" s="214" t="s">
        <v>212</v>
      </c>
      <c r="BM144" s="324" t="s">
        <v>2130</v>
      </c>
    </row>
    <row r="145" spans="1:65" s="225" customFormat="1" ht="24.2" customHeight="1">
      <c r="A145" s="222"/>
      <c r="B145" s="223"/>
      <c r="C145" s="314" t="s">
        <v>8</v>
      </c>
      <c r="D145" s="314" t="s">
        <v>148</v>
      </c>
      <c r="E145" s="315" t="s">
        <v>2131</v>
      </c>
      <c r="F145" s="316" t="s">
        <v>2132</v>
      </c>
      <c r="G145" s="317" t="s">
        <v>864</v>
      </c>
      <c r="H145" s="318">
        <v>1</v>
      </c>
      <c r="I145" s="79"/>
      <c r="J145" s="319">
        <f t="shared" si="0"/>
        <v>0</v>
      </c>
      <c r="K145" s="316" t="s">
        <v>1</v>
      </c>
      <c r="L145" s="223"/>
      <c r="M145" s="320" t="s">
        <v>1</v>
      </c>
      <c r="N145" s="321" t="s">
        <v>42</v>
      </c>
      <c r="O145" s="322">
        <v>0</v>
      </c>
      <c r="P145" s="322">
        <f t="shared" si="1"/>
        <v>0</v>
      </c>
      <c r="Q145" s="322">
        <v>0</v>
      </c>
      <c r="R145" s="322">
        <f t="shared" si="2"/>
        <v>0</v>
      </c>
      <c r="S145" s="322">
        <v>0</v>
      </c>
      <c r="T145" s="323">
        <f t="shared" si="3"/>
        <v>0</v>
      </c>
      <c r="U145" s="222"/>
      <c r="V145" s="222"/>
      <c r="W145" s="222"/>
      <c r="X145" s="222"/>
      <c r="Y145" s="222"/>
      <c r="Z145" s="222"/>
      <c r="AA145" s="222"/>
      <c r="AB145" s="222"/>
      <c r="AC145" s="222"/>
      <c r="AD145" s="222"/>
      <c r="AE145" s="222"/>
      <c r="AR145" s="324" t="s">
        <v>212</v>
      </c>
      <c r="AT145" s="324" t="s">
        <v>148</v>
      </c>
      <c r="AU145" s="324" t="s">
        <v>83</v>
      </c>
      <c r="AY145" s="214" t="s">
        <v>146</v>
      </c>
      <c r="BE145" s="325">
        <f t="shared" si="4"/>
        <v>0</v>
      </c>
      <c r="BF145" s="325">
        <f t="shared" si="5"/>
        <v>0</v>
      </c>
      <c r="BG145" s="325">
        <f t="shared" si="6"/>
        <v>0</v>
      </c>
      <c r="BH145" s="325">
        <f t="shared" si="7"/>
        <v>0</v>
      </c>
      <c r="BI145" s="325">
        <f t="shared" si="8"/>
        <v>0</v>
      </c>
      <c r="BJ145" s="214" t="s">
        <v>81</v>
      </c>
      <c r="BK145" s="325">
        <f t="shared" si="9"/>
        <v>0</v>
      </c>
      <c r="BL145" s="214" t="s">
        <v>212</v>
      </c>
      <c r="BM145" s="324" t="s">
        <v>2133</v>
      </c>
    </row>
    <row r="146" spans="1:65" s="225" customFormat="1" ht="24.2" customHeight="1">
      <c r="A146" s="222"/>
      <c r="B146" s="223"/>
      <c r="C146" s="314" t="s">
        <v>212</v>
      </c>
      <c r="D146" s="314" t="s">
        <v>148</v>
      </c>
      <c r="E146" s="315" t="s">
        <v>2134</v>
      </c>
      <c r="F146" s="316" t="s">
        <v>2135</v>
      </c>
      <c r="G146" s="317" t="s">
        <v>864</v>
      </c>
      <c r="H146" s="318">
        <v>1</v>
      </c>
      <c r="I146" s="79"/>
      <c r="J146" s="319">
        <f t="shared" si="0"/>
        <v>0</v>
      </c>
      <c r="K146" s="316" t="s">
        <v>1</v>
      </c>
      <c r="L146" s="223"/>
      <c r="M146" s="320" t="s">
        <v>1</v>
      </c>
      <c r="N146" s="321" t="s">
        <v>42</v>
      </c>
      <c r="O146" s="322">
        <v>0</v>
      </c>
      <c r="P146" s="322">
        <f t="shared" si="1"/>
        <v>0</v>
      </c>
      <c r="Q146" s="322">
        <v>0</v>
      </c>
      <c r="R146" s="322">
        <f t="shared" si="2"/>
        <v>0</v>
      </c>
      <c r="S146" s="322">
        <v>0</v>
      </c>
      <c r="T146" s="323">
        <f t="shared" si="3"/>
        <v>0</v>
      </c>
      <c r="U146" s="222"/>
      <c r="V146" s="222"/>
      <c r="W146" s="222"/>
      <c r="X146" s="222"/>
      <c r="Y146" s="222"/>
      <c r="Z146" s="222"/>
      <c r="AA146" s="222"/>
      <c r="AB146" s="222"/>
      <c r="AC146" s="222"/>
      <c r="AD146" s="222"/>
      <c r="AE146" s="222"/>
      <c r="AR146" s="324" t="s">
        <v>212</v>
      </c>
      <c r="AT146" s="324" t="s">
        <v>148</v>
      </c>
      <c r="AU146" s="324" t="s">
        <v>83</v>
      </c>
      <c r="AY146" s="214" t="s">
        <v>146</v>
      </c>
      <c r="BE146" s="325">
        <f t="shared" si="4"/>
        <v>0</v>
      </c>
      <c r="BF146" s="325">
        <f t="shared" si="5"/>
        <v>0</v>
      </c>
      <c r="BG146" s="325">
        <f t="shared" si="6"/>
        <v>0</v>
      </c>
      <c r="BH146" s="325">
        <f t="shared" si="7"/>
        <v>0</v>
      </c>
      <c r="BI146" s="325">
        <f t="shared" si="8"/>
        <v>0</v>
      </c>
      <c r="BJ146" s="214" t="s">
        <v>81</v>
      </c>
      <c r="BK146" s="325">
        <f t="shared" si="9"/>
        <v>0</v>
      </c>
      <c r="BL146" s="214" t="s">
        <v>212</v>
      </c>
      <c r="BM146" s="324" t="s">
        <v>2136</v>
      </c>
    </row>
    <row r="147" spans="1:65" s="225" customFormat="1" ht="24.2" customHeight="1">
      <c r="A147" s="222"/>
      <c r="B147" s="223"/>
      <c r="C147" s="314" t="s">
        <v>213</v>
      </c>
      <c r="D147" s="314" t="s">
        <v>148</v>
      </c>
      <c r="E147" s="315" t="s">
        <v>2137</v>
      </c>
      <c r="F147" s="316" t="s">
        <v>2138</v>
      </c>
      <c r="G147" s="317" t="s">
        <v>301</v>
      </c>
      <c r="H147" s="318">
        <v>2</v>
      </c>
      <c r="I147" s="79"/>
      <c r="J147" s="319">
        <f t="shared" si="0"/>
        <v>0</v>
      </c>
      <c r="K147" s="316" t="s">
        <v>1</v>
      </c>
      <c r="L147" s="223"/>
      <c r="M147" s="320" t="s">
        <v>1</v>
      </c>
      <c r="N147" s="321" t="s">
        <v>42</v>
      </c>
      <c r="O147" s="322">
        <v>0</v>
      </c>
      <c r="P147" s="322">
        <f t="shared" si="1"/>
        <v>0</v>
      </c>
      <c r="Q147" s="322">
        <v>0</v>
      </c>
      <c r="R147" s="322">
        <f t="shared" si="2"/>
        <v>0</v>
      </c>
      <c r="S147" s="322">
        <v>0</v>
      </c>
      <c r="T147" s="323">
        <f t="shared" si="3"/>
        <v>0</v>
      </c>
      <c r="U147" s="222"/>
      <c r="V147" s="222"/>
      <c r="W147" s="222"/>
      <c r="X147" s="222"/>
      <c r="Y147" s="222"/>
      <c r="Z147" s="222"/>
      <c r="AA147" s="222"/>
      <c r="AB147" s="222"/>
      <c r="AC147" s="222"/>
      <c r="AD147" s="222"/>
      <c r="AE147" s="222"/>
      <c r="AR147" s="324" t="s">
        <v>212</v>
      </c>
      <c r="AT147" s="324" t="s">
        <v>148</v>
      </c>
      <c r="AU147" s="324" t="s">
        <v>83</v>
      </c>
      <c r="AY147" s="214" t="s">
        <v>146</v>
      </c>
      <c r="BE147" s="325">
        <f t="shared" si="4"/>
        <v>0</v>
      </c>
      <c r="BF147" s="325">
        <f t="shared" si="5"/>
        <v>0</v>
      </c>
      <c r="BG147" s="325">
        <f t="shared" si="6"/>
        <v>0</v>
      </c>
      <c r="BH147" s="325">
        <f t="shared" si="7"/>
        <v>0</v>
      </c>
      <c r="BI147" s="325">
        <f t="shared" si="8"/>
        <v>0</v>
      </c>
      <c r="BJ147" s="214" t="s">
        <v>81</v>
      </c>
      <c r="BK147" s="325">
        <f t="shared" si="9"/>
        <v>0</v>
      </c>
      <c r="BL147" s="214" t="s">
        <v>212</v>
      </c>
      <c r="BM147" s="324" t="s">
        <v>2139</v>
      </c>
    </row>
    <row r="148" spans="1:65" s="225" customFormat="1" ht="37.9" customHeight="1">
      <c r="A148" s="222"/>
      <c r="B148" s="223"/>
      <c r="C148" s="314" t="s">
        <v>217</v>
      </c>
      <c r="D148" s="314" t="s">
        <v>148</v>
      </c>
      <c r="E148" s="315" t="s">
        <v>2140</v>
      </c>
      <c r="F148" s="316" t="s">
        <v>2141</v>
      </c>
      <c r="G148" s="317" t="s">
        <v>864</v>
      </c>
      <c r="H148" s="318">
        <v>1</v>
      </c>
      <c r="I148" s="79"/>
      <c r="J148" s="319">
        <f t="shared" si="0"/>
        <v>0</v>
      </c>
      <c r="K148" s="316" t="s">
        <v>1</v>
      </c>
      <c r="L148" s="223"/>
      <c r="M148" s="320" t="s">
        <v>1</v>
      </c>
      <c r="N148" s="321" t="s">
        <v>42</v>
      </c>
      <c r="O148" s="322">
        <v>0</v>
      </c>
      <c r="P148" s="322">
        <f t="shared" si="1"/>
        <v>0</v>
      </c>
      <c r="Q148" s="322">
        <v>0</v>
      </c>
      <c r="R148" s="322">
        <f t="shared" si="2"/>
        <v>0</v>
      </c>
      <c r="S148" s="322">
        <v>0</v>
      </c>
      <c r="T148" s="323">
        <f t="shared" si="3"/>
        <v>0</v>
      </c>
      <c r="U148" s="222"/>
      <c r="V148" s="222"/>
      <c r="W148" s="222"/>
      <c r="X148" s="222"/>
      <c r="Y148" s="222"/>
      <c r="Z148" s="222"/>
      <c r="AA148" s="222"/>
      <c r="AB148" s="222"/>
      <c r="AC148" s="222"/>
      <c r="AD148" s="222"/>
      <c r="AE148" s="222"/>
      <c r="AR148" s="324" t="s">
        <v>212</v>
      </c>
      <c r="AT148" s="324" t="s">
        <v>148</v>
      </c>
      <c r="AU148" s="324" t="s">
        <v>83</v>
      </c>
      <c r="AY148" s="214" t="s">
        <v>146</v>
      </c>
      <c r="BE148" s="325">
        <f t="shared" si="4"/>
        <v>0</v>
      </c>
      <c r="BF148" s="325">
        <f t="shared" si="5"/>
        <v>0</v>
      </c>
      <c r="BG148" s="325">
        <f t="shared" si="6"/>
        <v>0</v>
      </c>
      <c r="BH148" s="325">
        <f t="shared" si="7"/>
        <v>0</v>
      </c>
      <c r="BI148" s="325">
        <f t="shared" si="8"/>
        <v>0</v>
      </c>
      <c r="BJ148" s="214" t="s">
        <v>81</v>
      </c>
      <c r="BK148" s="325">
        <f t="shared" si="9"/>
        <v>0</v>
      </c>
      <c r="BL148" s="214" t="s">
        <v>212</v>
      </c>
      <c r="BM148" s="324" t="s">
        <v>2142</v>
      </c>
    </row>
    <row r="149" spans="1:65" s="225" customFormat="1" ht="24.2" customHeight="1">
      <c r="A149" s="222"/>
      <c r="B149" s="223"/>
      <c r="C149" s="314" t="s">
        <v>222</v>
      </c>
      <c r="D149" s="314" t="s">
        <v>148</v>
      </c>
      <c r="E149" s="315" t="s">
        <v>2143</v>
      </c>
      <c r="F149" s="316" t="s">
        <v>2144</v>
      </c>
      <c r="G149" s="317" t="s">
        <v>301</v>
      </c>
      <c r="H149" s="318">
        <v>1</v>
      </c>
      <c r="I149" s="79"/>
      <c r="J149" s="319">
        <f t="shared" si="0"/>
        <v>0</v>
      </c>
      <c r="K149" s="316" t="s">
        <v>1</v>
      </c>
      <c r="L149" s="223"/>
      <c r="M149" s="320" t="s">
        <v>1</v>
      </c>
      <c r="N149" s="321" t="s">
        <v>42</v>
      </c>
      <c r="O149" s="322">
        <v>0</v>
      </c>
      <c r="P149" s="322">
        <f t="shared" si="1"/>
        <v>0</v>
      </c>
      <c r="Q149" s="322">
        <v>0</v>
      </c>
      <c r="R149" s="322">
        <f t="shared" si="2"/>
        <v>0</v>
      </c>
      <c r="S149" s="322">
        <v>0</v>
      </c>
      <c r="T149" s="323">
        <f t="shared" si="3"/>
        <v>0</v>
      </c>
      <c r="U149" s="222"/>
      <c r="V149" s="222"/>
      <c r="W149" s="222"/>
      <c r="X149" s="222"/>
      <c r="Y149" s="222"/>
      <c r="Z149" s="222"/>
      <c r="AA149" s="222"/>
      <c r="AB149" s="222"/>
      <c r="AC149" s="222"/>
      <c r="AD149" s="222"/>
      <c r="AE149" s="222"/>
      <c r="AR149" s="324" t="s">
        <v>212</v>
      </c>
      <c r="AT149" s="324" t="s">
        <v>148</v>
      </c>
      <c r="AU149" s="324" t="s">
        <v>83</v>
      </c>
      <c r="AY149" s="214" t="s">
        <v>146</v>
      </c>
      <c r="BE149" s="325">
        <f t="shared" si="4"/>
        <v>0</v>
      </c>
      <c r="BF149" s="325">
        <f t="shared" si="5"/>
        <v>0</v>
      </c>
      <c r="BG149" s="325">
        <f t="shared" si="6"/>
        <v>0</v>
      </c>
      <c r="BH149" s="325">
        <f t="shared" si="7"/>
        <v>0</v>
      </c>
      <c r="BI149" s="325">
        <f t="shared" si="8"/>
        <v>0</v>
      </c>
      <c r="BJ149" s="214" t="s">
        <v>81</v>
      </c>
      <c r="BK149" s="325">
        <f t="shared" si="9"/>
        <v>0</v>
      </c>
      <c r="BL149" s="214" t="s">
        <v>212</v>
      </c>
      <c r="BM149" s="324" t="s">
        <v>2145</v>
      </c>
    </row>
    <row r="150" spans="1:65" s="225" customFormat="1" ht="16.5" customHeight="1">
      <c r="A150" s="222"/>
      <c r="B150" s="223"/>
      <c r="C150" s="314" t="s">
        <v>228</v>
      </c>
      <c r="D150" s="314" t="s">
        <v>148</v>
      </c>
      <c r="E150" s="315" t="s">
        <v>2146</v>
      </c>
      <c r="F150" s="316" t="s">
        <v>2147</v>
      </c>
      <c r="G150" s="317" t="s">
        <v>301</v>
      </c>
      <c r="H150" s="318">
        <v>2</v>
      </c>
      <c r="I150" s="79"/>
      <c r="J150" s="319">
        <f t="shared" si="0"/>
        <v>0</v>
      </c>
      <c r="K150" s="316" t="s">
        <v>1</v>
      </c>
      <c r="L150" s="223"/>
      <c r="M150" s="320" t="s">
        <v>1</v>
      </c>
      <c r="N150" s="321" t="s">
        <v>42</v>
      </c>
      <c r="O150" s="322">
        <v>0</v>
      </c>
      <c r="P150" s="322">
        <f t="shared" si="1"/>
        <v>0</v>
      </c>
      <c r="Q150" s="322">
        <v>0</v>
      </c>
      <c r="R150" s="322">
        <f t="shared" si="2"/>
        <v>0</v>
      </c>
      <c r="S150" s="322">
        <v>0</v>
      </c>
      <c r="T150" s="323">
        <f t="shared" si="3"/>
        <v>0</v>
      </c>
      <c r="U150" s="222"/>
      <c r="V150" s="222"/>
      <c r="W150" s="222"/>
      <c r="X150" s="222"/>
      <c r="Y150" s="222"/>
      <c r="Z150" s="222"/>
      <c r="AA150" s="222"/>
      <c r="AB150" s="222"/>
      <c r="AC150" s="222"/>
      <c r="AD150" s="222"/>
      <c r="AE150" s="222"/>
      <c r="AR150" s="324" t="s">
        <v>212</v>
      </c>
      <c r="AT150" s="324" t="s">
        <v>148</v>
      </c>
      <c r="AU150" s="324" t="s">
        <v>83</v>
      </c>
      <c r="AY150" s="214" t="s">
        <v>146</v>
      </c>
      <c r="BE150" s="325">
        <f t="shared" si="4"/>
        <v>0</v>
      </c>
      <c r="BF150" s="325">
        <f t="shared" si="5"/>
        <v>0</v>
      </c>
      <c r="BG150" s="325">
        <f t="shared" si="6"/>
        <v>0</v>
      </c>
      <c r="BH150" s="325">
        <f t="shared" si="7"/>
        <v>0</v>
      </c>
      <c r="BI150" s="325">
        <f t="shared" si="8"/>
        <v>0</v>
      </c>
      <c r="BJ150" s="214" t="s">
        <v>81</v>
      </c>
      <c r="BK150" s="325">
        <f t="shared" si="9"/>
        <v>0</v>
      </c>
      <c r="BL150" s="214" t="s">
        <v>212</v>
      </c>
      <c r="BM150" s="324" t="s">
        <v>2148</v>
      </c>
    </row>
    <row r="151" spans="1:65" s="225" customFormat="1" ht="33" customHeight="1">
      <c r="A151" s="222"/>
      <c r="B151" s="223"/>
      <c r="C151" s="314" t="s">
        <v>7</v>
      </c>
      <c r="D151" s="314" t="s">
        <v>148</v>
      </c>
      <c r="E151" s="315" t="s">
        <v>2149</v>
      </c>
      <c r="F151" s="316" t="s">
        <v>2150</v>
      </c>
      <c r="G151" s="317" t="s">
        <v>864</v>
      </c>
      <c r="H151" s="318">
        <v>4</v>
      </c>
      <c r="I151" s="79"/>
      <c r="J151" s="319">
        <f t="shared" si="0"/>
        <v>0</v>
      </c>
      <c r="K151" s="316" t="s">
        <v>1</v>
      </c>
      <c r="L151" s="223"/>
      <c r="M151" s="320" t="s">
        <v>1</v>
      </c>
      <c r="N151" s="321" t="s">
        <v>42</v>
      </c>
      <c r="O151" s="322">
        <v>0</v>
      </c>
      <c r="P151" s="322">
        <f t="shared" si="1"/>
        <v>0</v>
      </c>
      <c r="Q151" s="322">
        <v>0</v>
      </c>
      <c r="R151" s="322">
        <f t="shared" si="2"/>
        <v>0</v>
      </c>
      <c r="S151" s="322">
        <v>0</v>
      </c>
      <c r="T151" s="323">
        <f t="shared" si="3"/>
        <v>0</v>
      </c>
      <c r="U151" s="222"/>
      <c r="V151" s="222"/>
      <c r="W151" s="222"/>
      <c r="X151" s="222"/>
      <c r="Y151" s="222"/>
      <c r="Z151" s="222"/>
      <c r="AA151" s="222"/>
      <c r="AB151" s="222"/>
      <c r="AC151" s="222"/>
      <c r="AD151" s="222"/>
      <c r="AE151" s="222"/>
      <c r="AR151" s="324" t="s">
        <v>212</v>
      </c>
      <c r="AT151" s="324" t="s">
        <v>148</v>
      </c>
      <c r="AU151" s="324" t="s">
        <v>83</v>
      </c>
      <c r="AY151" s="214" t="s">
        <v>146</v>
      </c>
      <c r="BE151" s="325">
        <f t="shared" si="4"/>
        <v>0</v>
      </c>
      <c r="BF151" s="325">
        <f t="shared" si="5"/>
        <v>0</v>
      </c>
      <c r="BG151" s="325">
        <f t="shared" si="6"/>
        <v>0</v>
      </c>
      <c r="BH151" s="325">
        <f t="shared" si="7"/>
        <v>0</v>
      </c>
      <c r="BI151" s="325">
        <f t="shared" si="8"/>
        <v>0</v>
      </c>
      <c r="BJ151" s="214" t="s">
        <v>81</v>
      </c>
      <c r="BK151" s="325">
        <f t="shared" si="9"/>
        <v>0</v>
      </c>
      <c r="BL151" s="214" t="s">
        <v>212</v>
      </c>
      <c r="BM151" s="324" t="s">
        <v>2151</v>
      </c>
    </row>
    <row r="152" spans="1:65" s="225" customFormat="1" ht="24.2" customHeight="1">
      <c r="A152" s="222"/>
      <c r="B152" s="223"/>
      <c r="C152" s="314" t="s">
        <v>237</v>
      </c>
      <c r="D152" s="314" t="s">
        <v>148</v>
      </c>
      <c r="E152" s="315" t="s">
        <v>2152</v>
      </c>
      <c r="F152" s="316" t="s">
        <v>2153</v>
      </c>
      <c r="G152" s="317" t="s">
        <v>864</v>
      </c>
      <c r="H152" s="318">
        <v>2</v>
      </c>
      <c r="I152" s="79"/>
      <c r="J152" s="319">
        <f t="shared" si="0"/>
        <v>0</v>
      </c>
      <c r="K152" s="316" t="s">
        <v>1</v>
      </c>
      <c r="L152" s="223"/>
      <c r="M152" s="320" t="s">
        <v>1</v>
      </c>
      <c r="N152" s="321" t="s">
        <v>42</v>
      </c>
      <c r="O152" s="322">
        <v>0</v>
      </c>
      <c r="P152" s="322">
        <f t="shared" si="1"/>
        <v>0</v>
      </c>
      <c r="Q152" s="322">
        <v>0</v>
      </c>
      <c r="R152" s="322">
        <f t="shared" si="2"/>
        <v>0</v>
      </c>
      <c r="S152" s="322">
        <v>0</v>
      </c>
      <c r="T152" s="323">
        <f t="shared" si="3"/>
        <v>0</v>
      </c>
      <c r="U152" s="222"/>
      <c r="V152" s="222"/>
      <c r="W152" s="222"/>
      <c r="X152" s="222"/>
      <c r="Y152" s="222"/>
      <c r="Z152" s="222"/>
      <c r="AA152" s="222"/>
      <c r="AB152" s="222"/>
      <c r="AC152" s="222"/>
      <c r="AD152" s="222"/>
      <c r="AE152" s="222"/>
      <c r="AR152" s="324" t="s">
        <v>212</v>
      </c>
      <c r="AT152" s="324" t="s">
        <v>148</v>
      </c>
      <c r="AU152" s="324" t="s">
        <v>83</v>
      </c>
      <c r="AY152" s="214" t="s">
        <v>146</v>
      </c>
      <c r="BE152" s="325">
        <f t="shared" si="4"/>
        <v>0</v>
      </c>
      <c r="BF152" s="325">
        <f t="shared" si="5"/>
        <v>0</v>
      </c>
      <c r="BG152" s="325">
        <f t="shared" si="6"/>
        <v>0</v>
      </c>
      <c r="BH152" s="325">
        <f t="shared" si="7"/>
        <v>0</v>
      </c>
      <c r="BI152" s="325">
        <f t="shared" si="8"/>
        <v>0</v>
      </c>
      <c r="BJ152" s="214" t="s">
        <v>81</v>
      </c>
      <c r="BK152" s="325">
        <f t="shared" si="9"/>
        <v>0</v>
      </c>
      <c r="BL152" s="214" t="s">
        <v>212</v>
      </c>
      <c r="BM152" s="324" t="s">
        <v>2154</v>
      </c>
    </row>
    <row r="153" spans="1:65" s="225" customFormat="1" ht="24.2" customHeight="1">
      <c r="A153" s="222"/>
      <c r="B153" s="223"/>
      <c r="C153" s="358" t="s">
        <v>241</v>
      </c>
      <c r="D153" s="358" t="s">
        <v>208</v>
      </c>
      <c r="E153" s="359" t="s">
        <v>2155</v>
      </c>
      <c r="F153" s="364" t="s">
        <v>2156</v>
      </c>
      <c r="G153" s="361" t="s">
        <v>1361</v>
      </c>
      <c r="H153" s="362">
        <v>2</v>
      </c>
      <c r="I153" s="80"/>
      <c r="J153" s="363">
        <f t="shared" si="0"/>
        <v>0</v>
      </c>
      <c r="K153" s="364" t="s">
        <v>1</v>
      </c>
      <c r="L153" s="675"/>
      <c r="M153" s="366" t="s">
        <v>1</v>
      </c>
      <c r="N153" s="367" t="s">
        <v>42</v>
      </c>
      <c r="O153" s="322">
        <v>0</v>
      </c>
      <c r="P153" s="322">
        <f t="shared" si="1"/>
        <v>0</v>
      </c>
      <c r="Q153" s="322">
        <v>0</v>
      </c>
      <c r="R153" s="322">
        <f t="shared" si="2"/>
        <v>0</v>
      </c>
      <c r="S153" s="322">
        <v>0</v>
      </c>
      <c r="T153" s="323">
        <f t="shared" si="3"/>
        <v>0</v>
      </c>
      <c r="U153" s="222"/>
      <c r="V153" s="222"/>
      <c r="W153" s="222"/>
      <c r="X153" s="222"/>
      <c r="Y153" s="222"/>
      <c r="Z153" s="222"/>
      <c r="AA153" s="222"/>
      <c r="AB153" s="222"/>
      <c r="AC153" s="222"/>
      <c r="AD153" s="222"/>
      <c r="AE153" s="222"/>
      <c r="AR153" s="324" t="s">
        <v>298</v>
      </c>
      <c r="AT153" s="324" t="s">
        <v>208</v>
      </c>
      <c r="AU153" s="324" t="s">
        <v>83</v>
      </c>
      <c r="AY153" s="214" t="s">
        <v>146</v>
      </c>
      <c r="BE153" s="325">
        <f t="shared" si="4"/>
        <v>0</v>
      </c>
      <c r="BF153" s="325">
        <f t="shared" si="5"/>
        <v>0</v>
      </c>
      <c r="BG153" s="325">
        <f t="shared" si="6"/>
        <v>0</v>
      </c>
      <c r="BH153" s="325">
        <f t="shared" si="7"/>
        <v>0</v>
      </c>
      <c r="BI153" s="325">
        <f t="shared" si="8"/>
        <v>0</v>
      </c>
      <c r="BJ153" s="214" t="s">
        <v>81</v>
      </c>
      <c r="BK153" s="325">
        <f t="shared" si="9"/>
        <v>0</v>
      </c>
      <c r="BL153" s="214" t="s">
        <v>212</v>
      </c>
      <c r="BM153" s="324" t="s">
        <v>2157</v>
      </c>
    </row>
    <row r="154" spans="1:65" s="225" customFormat="1" ht="24.2" customHeight="1">
      <c r="A154" s="222"/>
      <c r="B154" s="223"/>
      <c r="C154" s="314" t="s">
        <v>253</v>
      </c>
      <c r="D154" s="314" t="s">
        <v>148</v>
      </c>
      <c r="E154" s="315" t="s">
        <v>2158</v>
      </c>
      <c r="F154" s="316" t="s">
        <v>2159</v>
      </c>
      <c r="G154" s="317" t="s">
        <v>864</v>
      </c>
      <c r="H154" s="318">
        <v>6</v>
      </c>
      <c r="I154" s="79"/>
      <c r="J154" s="319">
        <f t="shared" si="0"/>
        <v>0</v>
      </c>
      <c r="K154" s="316" t="s">
        <v>1</v>
      </c>
      <c r="L154" s="223"/>
      <c r="M154" s="320" t="s">
        <v>1</v>
      </c>
      <c r="N154" s="321" t="s">
        <v>42</v>
      </c>
      <c r="O154" s="322">
        <v>0</v>
      </c>
      <c r="P154" s="322">
        <f t="shared" si="1"/>
        <v>0</v>
      </c>
      <c r="Q154" s="322">
        <v>0</v>
      </c>
      <c r="R154" s="322">
        <f t="shared" si="2"/>
        <v>0</v>
      </c>
      <c r="S154" s="322">
        <v>0</v>
      </c>
      <c r="T154" s="323">
        <f t="shared" si="3"/>
        <v>0</v>
      </c>
      <c r="U154" s="222"/>
      <c r="V154" s="222"/>
      <c r="W154" s="222"/>
      <c r="X154" s="222"/>
      <c r="Y154" s="222"/>
      <c r="Z154" s="222"/>
      <c r="AA154" s="222"/>
      <c r="AB154" s="222"/>
      <c r="AC154" s="222"/>
      <c r="AD154" s="222"/>
      <c r="AE154" s="222"/>
      <c r="AR154" s="324" t="s">
        <v>212</v>
      </c>
      <c r="AT154" s="324" t="s">
        <v>148</v>
      </c>
      <c r="AU154" s="324" t="s">
        <v>83</v>
      </c>
      <c r="AY154" s="214" t="s">
        <v>146</v>
      </c>
      <c r="BE154" s="325">
        <f t="shared" si="4"/>
        <v>0</v>
      </c>
      <c r="BF154" s="325">
        <f t="shared" si="5"/>
        <v>0</v>
      </c>
      <c r="BG154" s="325">
        <f t="shared" si="6"/>
        <v>0</v>
      </c>
      <c r="BH154" s="325">
        <f t="shared" si="7"/>
        <v>0</v>
      </c>
      <c r="BI154" s="325">
        <f t="shared" si="8"/>
        <v>0</v>
      </c>
      <c r="BJ154" s="214" t="s">
        <v>81</v>
      </c>
      <c r="BK154" s="325">
        <f t="shared" si="9"/>
        <v>0</v>
      </c>
      <c r="BL154" s="214" t="s">
        <v>212</v>
      </c>
      <c r="BM154" s="324" t="s">
        <v>2160</v>
      </c>
    </row>
    <row r="155" spans="1:65" s="225" customFormat="1" ht="21.75" customHeight="1">
      <c r="A155" s="222"/>
      <c r="B155" s="223"/>
      <c r="C155" s="314" t="s">
        <v>261</v>
      </c>
      <c r="D155" s="314" t="s">
        <v>148</v>
      </c>
      <c r="E155" s="315" t="s">
        <v>2161</v>
      </c>
      <c r="F155" s="316" t="s">
        <v>3840</v>
      </c>
      <c r="G155" s="317" t="s">
        <v>194</v>
      </c>
      <c r="H155" s="318">
        <v>1.241</v>
      </c>
      <c r="I155" s="79"/>
      <c r="J155" s="319">
        <f t="shared" si="0"/>
        <v>0</v>
      </c>
      <c r="K155" s="316" t="s">
        <v>1</v>
      </c>
      <c r="L155" s="223"/>
      <c r="M155" s="320" t="s">
        <v>1</v>
      </c>
      <c r="N155" s="321" t="s">
        <v>42</v>
      </c>
      <c r="O155" s="322">
        <v>0</v>
      </c>
      <c r="P155" s="322">
        <f t="shared" si="1"/>
        <v>0</v>
      </c>
      <c r="Q155" s="322">
        <v>0</v>
      </c>
      <c r="R155" s="322">
        <f t="shared" si="2"/>
        <v>0</v>
      </c>
      <c r="S155" s="322">
        <v>0</v>
      </c>
      <c r="T155" s="323">
        <f t="shared" si="3"/>
        <v>0</v>
      </c>
      <c r="U155" s="222"/>
      <c r="V155" s="222"/>
      <c r="W155" s="222"/>
      <c r="X155" s="222"/>
      <c r="Y155" s="222"/>
      <c r="Z155" s="222"/>
      <c r="AA155" s="222"/>
      <c r="AB155" s="222"/>
      <c r="AC155" s="222"/>
      <c r="AD155" s="222"/>
      <c r="AE155" s="222"/>
      <c r="AR155" s="324" t="s">
        <v>212</v>
      </c>
      <c r="AT155" s="324" t="s">
        <v>148</v>
      </c>
      <c r="AU155" s="324" t="s">
        <v>83</v>
      </c>
      <c r="AY155" s="214" t="s">
        <v>146</v>
      </c>
      <c r="BE155" s="325">
        <f t="shared" si="4"/>
        <v>0</v>
      </c>
      <c r="BF155" s="325">
        <f t="shared" si="5"/>
        <v>0</v>
      </c>
      <c r="BG155" s="325">
        <f t="shared" si="6"/>
        <v>0</v>
      </c>
      <c r="BH155" s="325">
        <f t="shared" si="7"/>
        <v>0</v>
      </c>
      <c r="BI155" s="325">
        <f t="shared" si="8"/>
        <v>0</v>
      </c>
      <c r="BJ155" s="214" t="s">
        <v>81</v>
      </c>
      <c r="BK155" s="325">
        <f t="shared" si="9"/>
        <v>0</v>
      </c>
      <c r="BL155" s="214" t="s">
        <v>212</v>
      </c>
      <c r="BM155" s="324" t="s">
        <v>2162</v>
      </c>
    </row>
    <row r="156" spans="1:65" s="225" customFormat="1" ht="37.9" customHeight="1">
      <c r="A156" s="222"/>
      <c r="B156" s="223"/>
      <c r="C156" s="358" t="s">
        <v>269</v>
      </c>
      <c r="D156" s="358" t="s">
        <v>208</v>
      </c>
      <c r="E156" s="359" t="s">
        <v>2163</v>
      </c>
      <c r="F156" s="364" t="s">
        <v>2164</v>
      </c>
      <c r="G156" s="361" t="s">
        <v>1361</v>
      </c>
      <c r="H156" s="362">
        <v>2</v>
      </c>
      <c r="I156" s="80"/>
      <c r="J156" s="363">
        <f t="shared" si="0"/>
        <v>0</v>
      </c>
      <c r="K156" s="364" t="s">
        <v>1</v>
      </c>
      <c r="L156" s="675"/>
      <c r="M156" s="366" t="s">
        <v>1</v>
      </c>
      <c r="N156" s="367" t="s">
        <v>42</v>
      </c>
      <c r="O156" s="322">
        <v>0</v>
      </c>
      <c r="P156" s="322">
        <f t="shared" si="1"/>
        <v>0</v>
      </c>
      <c r="Q156" s="322">
        <v>0</v>
      </c>
      <c r="R156" s="322">
        <f t="shared" si="2"/>
        <v>0</v>
      </c>
      <c r="S156" s="322">
        <v>0</v>
      </c>
      <c r="T156" s="323">
        <f t="shared" si="3"/>
        <v>0</v>
      </c>
      <c r="U156" s="222"/>
      <c r="V156" s="222"/>
      <c r="W156" s="222"/>
      <c r="X156" s="222"/>
      <c r="Y156" s="222"/>
      <c r="Z156" s="222"/>
      <c r="AA156" s="222"/>
      <c r="AB156" s="222"/>
      <c r="AC156" s="222"/>
      <c r="AD156" s="222"/>
      <c r="AE156" s="222"/>
      <c r="AR156" s="324" t="s">
        <v>298</v>
      </c>
      <c r="AT156" s="324" t="s">
        <v>208</v>
      </c>
      <c r="AU156" s="324" t="s">
        <v>83</v>
      </c>
      <c r="AY156" s="214" t="s">
        <v>146</v>
      </c>
      <c r="BE156" s="325">
        <f t="shared" si="4"/>
        <v>0</v>
      </c>
      <c r="BF156" s="325">
        <f t="shared" si="5"/>
        <v>0</v>
      </c>
      <c r="BG156" s="325">
        <f t="shared" si="6"/>
        <v>0</v>
      </c>
      <c r="BH156" s="325">
        <f t="shared" si="7"/>
        <v>0</v>
      </c>
      <c r="BI156" s="325">
        <f t="shared" si="8"/>
        <v>0</v>
      </c>
      <c r="BJ156" s="214" t="s">
        <v>81</v>
      </c>
      <c r="BK156" s="325">
        <f t="shared" si="9"/>
        <v>0</v>
      </c>
      <c r="BL156" s="214" t="s">
        <v>212</v>
      </c>
      <c r="BM156" s="324" t="s">
        <v>2165</v>
      </c>
    </row>
    <row r="157" spans="1:65" s="225" customFormat="1" ht="24.2" customHeight="1">
      <c r="A157" s="222"/>
      <c r="B157" s="223"/>
      <c r="C157" s="358" t="s">
        <v>274</v>
      </c>
      <c r="D157" s="358" t="s">
        <v>208</v>
      </c>
      <c r="E157" s="359" t="s">
        <v>2166</v>
      </c>
      <c r="F157" s="364" t="s">
        <v>2167</v>
      </c>
      <c r="G157" s="361" t="s">
        <v>1361</v>
      </c>
      <c r="H157" s="362">
        <v>2</v>
      </c>
      <c r="I157" s="80"/>
      <c r="J157" s="363">
        <f t="shared" si="0"/>
        <v>0</v>
      </c>
      <c r="K157" s="364" t="s">
        <v>1</v>
      </c>
      <c r="L157" s="675"/>
      <c r="M157" s="366" t="s">
        <v>1</v>
      </c>
      <c r="N157" s="367" t="s">
        <v>42</v>
      </c>
      <c r="O157" s="322">
        <v>0</v>
      </c>
      <c r="P157" s="322">
        <f t="shared" si="1"/>
        <v>0</v>
      </c>
      <c r="Q157" s="322">
        <v>0</v>
      </c>
      <c r="R157" s="322">
        <f t="shared" si="2"/>
        <v>0</v>
      </c>
      <c r="S157" s="322">
        <v>0</v>
      </c>
      <c r="T157" s="323">
        <f t="shared" si="3"/>
        <v>0</v>
      </c>
      <c r="U157" s="222"/>
      <c r="V157" s="222"/>
      <c r="W157" s="222"/>
      <c r="X157" s="222"/>
      <c r="Y157" s="222"/>
      <c r="Z157" s="222"/>
      <c r="AA157" s="222"/>
      <c r="AB157" s="222"/>
      <c r="AC157" s="222"/>
      <c r="AD157" s="222"/>
      <c r="AE157" s="222"/>
      <c r="AR157" s="324" t="s">
        <v>298</v>
      </c>
      <c r="AT157" s="324" t="s">
        <v>208</v>
      </c>
      <c r="AU157" s="324" t="s">
        <v>83</v>
      </c>
      <c r="AY157" s="214" t="s">
        <v>146</v>
      </c>
      <c r="BE157" s="325">
        <f t="shared" si="4"/>
        <v>0</v>
      </c>
      <c r="BF157" s="325">
        <f t="shared" si="5"/>
        <v>0</v>
      </c>
      <c r="BG157" s="325">
        <f t="shared" si="6"/>
        <v>0</v>
      </c>
      <c r="BH157" s="325">
        <f t="shared" si="7"/>
        <v>0</v>
      </c>
      <c r="BI157" s="325">
        <f t="shared" si="8"/>
        <v>0</v>
      </c>
      <c r="BJ157" s="214" t="s">
        <v>81</v>
      </c>
      <c r="BK157" s="325">
        <f t="shared" si="9"/>
        <v>0</v>
      </c>
      <c r="BL157" s="214" t="s">
        <v>212</v>
      </c>
      <c r="BM157" s="324" t="s">
        <v>2168</v>
      </c>
    </row>
    <row r="158" spans="1:65" s="225" customFormat="1" ht="24.2" customHeight="1">
      <c r="A158" s="222"/>
      <c r="B158" s="223"/>
      <c r="C158" s="358" t="s">
        <v>287</v>
      </c>
      <c r="D158" s="358" t="s">
        <v>208</v>
      </c>
      <c r="E158" s="359" t="s">
        <v>2169</v>
      </c>
      <c r="F158" s="364" t="s">
        <v>2170</v>
      </c>
      <c r="G158" s="361" t="s">
        <v>1361</v>
      </c>
      <c r="H158" s="362">
        <v>1</v>
      </c>
      <c r="I158" s="80"/>
      <c r="J158" s="363">
        <f t="shared" si="0"/>
        <v>0</v>
      </c>
      <c r="K158" s="364" t="s">
        <v>1</v>
      </c>
      <c r="L158" s="675"/>
      <c r="M158" s="366" t="s">
        <v>1</v>
      </c>
      <c r="N158" s="367" t="s">
        <v>42</v>
      </c>
      <c r="O158" s="322">
        <v>0</v>
      </c>
      <c r="P158" s="322">
        <f t="shared" si="1"/>
        <v>0</v>
      </c>
      <c r="Q158" s="322">
        <v>0</v>
      </c>
      <c r="R158" s="322">
        <f t="shared" si="2"/>
        <v>0</v>
      </c>
      <c r="S158" s="322">
        <v>0</v>
      </c>
      <c r="T158" s="323">
        <f t="shared" si="3"/>
        <v>0</v>
      </c>
      <c r="U158" s="222"/>
      <c r="V158" s="222"/>
      <c r="W158" s="222"/>
      <c r="X158" s="222"/>
      <c r="Y158" s="222"/>
      <c r="Z158" s="222"/>
      <c r="AA158" s="222"/>
      <c r="AB158" s="222"/>
      <c r="AC158" s="222"/>
      <c r="AD158" s="222"/>
      <c r="AE158" s="222"/>
      <c r="AR158" s="324" t="s">
        <v>298</v>
      </c>
      <c r="AT158" s="324" t="s">
        <v>208</v>
      </c>
      <c r="AU158" s="324" t="s">
        <v>83</v>
      </c>
      <c r="AY158" s="214" t="s">
        <v>146</v>
      </c>
      <c r="BE158" s="325">
        <f t="shared" si="4"/>
        <v>0</v>
      </c>
      <c r="BF158" s="325">
        <f t="shared" si="5"/>
        <v>0</v>
      </c>
      <c r="BG158" s="325">
        <f t="shared" si="6"/>
        <v>0</v>
      </c>
      <c r="BH158" s="325">
        <f t="shared" si="7"/>
        <v>0</v>
      </c>
      <c r="BI158" s="325">
        <f t="shared" si="8"/>
        <v>0</v>
      </c>
      <c r="BJ158" s="214" t="s">
        <v>81</v>
      </c>
      <c r="BK158" s="325">
        <f t="shared" si="9"/>
        <v>0</v>
      </c>
      <c r="BL158" s="214" t="s">
        <v>212</v>
      </c>
      <c r="BM158" s="324" t="s">
        <v>2171</v>
      </c>
    </row>
    <row r="159" spans="1:65" s="225" customFormat="1" ht="21.75" customHeight="1">
      <c r="A159" s="222"/>
      <c r="B159" s="223"/>
      <c r="C159" s="358" t="s">
        <v>293</v>
      </c>
      <c r="D159" s="358" t="s">
        <v>208</v>
      </c>
      <c r="E159" s="359" t="s">
        <v>2172</v>
      </c>
      <c r="F159" s="364" t="s">
        <v>2173</v>
      </c>
      <c r="G159" s="361" t="s">
        <v>1361</v>
      </c>
      <c r="H159" s="362">
        <v>1</v>
      </c>
      <c r="I159" s="80"/>
      <c r="J159" s="363">
        <f t="shared" si="0"/>
        <v>0</v>
      </c>
      <c r="K159" s="364" t="s">
        <v>1</v>
      </c>
      <c r="L159" s="675"/>
      <c r="M159" s="366" t="s">
        <v>1</v>
      </c>
      <c r="N159" s="367" t="s">
        <v>42</v>
      </c>
      <c r="O159" s="322">
        <v>0</v>
      </c>
      <c r="P159" s="322">
        <f t="shared" si="1"/>
        <v>0</v>
      </c>
      <c r="Q159" s="322">
        <v>0</v>
      </c>
      <c r="R159" s="322">
        <f t="shared" si="2"/>
        <v>0</v>
      </c>
      <c r="S159" s="322">
        <v>0</v>
      </c>
      <c r="T159" s="323">
        <f t="shared" si="3"/>
        <v>0</v>
      </c>
      <c r="U159" s="222"/>
      <c r="V159" s="222"/>
      <c r="W159" s="222"/>
      <c r="X159" s="222"/>
      <c r="Y159" s="222"/>
      <c r="Z159" s="222"/>
      <c r="AA159" s="222"/>
      <c r="AB159" s="222"/>
      <c r="AC159" s="222"/>
      <c r="AD159" s="222"/>
      <c r="AE159" s="222"/>
      <c r="AR159" s="324" t="s">
        <v>298</v>
      </c>
      <c r="AT159" s="324" t="s">
        <v>208</v>
      </c>
      <c r="AU159" s="324" t="s">
        <v>83</v>
      </c>
      <c r="AY159" s="214" t="s">
        <v>146</v>
      </c>
      <c r="BE159" s="325">
        <f t="shared" si="4"/>
        <v>0</v>
      </c>
      <c r="BF159" s="325">
        <f t="shared" si="5"/>
        <v>0</v>
      </c>
      <c r="BG159" s="325">
        <f t="shared" si="6"/>
        <v>0</v>
      </c>
      <c r="BH159" s="325">
        <f t="shared" si="7"/>
        <v>0</v>
      </c>
      <c r="BI159" s="325">
        <f t="shared" si="8"/>
        <v>0</v>
      </c>
      <c r="BJ159" s="214" t="s">
        <v>81</v>
      </c>
      <c r="BK159" s="325">
        <f t="shared" si="9"/>
        <v>0</v>
      </c>
      <c r="BL159" s="214" t="s">
        <v>212</v>
      </c>
      <c r="BM159" s="324" t="s">
        <v>2174</v>
      </c>
    </row>
    <row r="160" spans="1:65" s="225" customFormat="1" ht="24.2" customHeight="1">
      <c r="A160" s="222"/>
      <c r="B160" s="223"/>
      <c r="C160" s="358" t="s">
        <v>298</v>
      </c>
      <c r="D160" s="358" t="s">
        <v>208</v>
      </c>
      <c r="E160" s="359" t="s">
        <v>2175</v>
      </c>
      <c r="F160" s="364" t="s">
        <v>2176</v>
      </c>
      <c r="G160" s="361" t="s">
        <v>1361</v>
      </c>
      <c r="H160" s="362">
        <v>4</v>
      </c>
      <c r="I160" s="80"/>
      <c r="J160" s="363">
        <f t="shared" si="0"/>
        <v>0</v>
      </c>
      <c r="K160" s="364" t="s">
        <v>1</v>
      </c>
      <c r="L160" s="675"/>
      <c r="M160" s="366" t="s">
        <v>1</v>
      </c>
      <c r="N160" s="367" t="s">
        <v>42</v>
      </c>
      <c r="O160" s="322">
        <v>0</v>
      </c>
      <c r="P160" s="322">
        <f t="shared" si="1"/>
        <v>0</v>
      </c>
      <c r="Q160" s="322">
        <v>0</v>
      </c>
      <c r="R160" s="322">
        <f t="shared" si="2"/>
        <v>0</v>
      </c>
      <c r="S160" s="322">
        <v>0</v>
      </c>
      <c r="T160" s="323">
        <f t="shared" si="3"/>
        <v>0</v>
      </c>
      <c r="U160" s="222"/>
      <c r="V160" s="222"/>
      <c r="W160" s="222"/>
      <c r="X160" s="222"/>
      <c r="Y160" s="222"/>
      <c r="Z160" s="222"/>
      <c r="AA160" s="222"/>
      <c r="AB160" s="222"/>
      <c r="AC160" s="222"/>
      <c r="AD160" s="222"/>
      <c r="AE160" s="222"/>
      <c r="AR160" s="324" t="s">
        <v>298</v>
      </c>
      <c r="AT160" s="324" t="s">
        <v>208</v>
      </c>
      <c r="AU160" s="324" t="s">
        <v>83</v>
      </c>
      <c r="AY160" s="214" t="s">
        <v>146</v>
      </c>
      <c r="BE160" s="325">
        <f t="shared" si="4"/>
        <v>0</v>
      </c>
      <c r="BF160" s="325">
        <f t="shared" si="5"/>
        <v>0</v>
      </c>
      <c r="BG160" s="325">
        <f t="shared" si="6"/>
        <v>0</v>
      </c>
      <c r="BH160" s="325">
        <f t="shared" si="7"/>
        <v>0</v>
      </c>
      <c r="BI160" s="325">
        <f t="shared" si="8"/>
        <v>0</v>
      </c>
      <c r="BJ160" s="214" t="s">
        <v>81</v>
      </c>
      <c r="BK160" s="325">
        <f t="shared" si="9"/>
        <v>0</v>
      </c>
      <c r="BL160" s="214" t="s">
        <v>212</v>
      </c>
      <c r="BM160" s="324" t="s">
        <v>2177</v>
      </c>
    </row>
    <row r="161" spans="1:65" s="225" customFormat="1" ht="24.2" customHeight="1">
      <c r="A161" s="222"/>
      <c r="B161" s="223"/>
      <c r="C161" s="358" t="s">
        <v>305</v>
      </c>
      <c r="D161" s="358" t="s">
        <v>208</v>
      </c>
      <c r="E161" s="359" t="s">
        <v>2178</v>
      </c>
      <c r="F161" s="364" t="s">
        <v>2179</v>
      </c>
      <c r="G161" s="361" t="s">
        <v>1361</v>
      </c>
      <c r="H161" s="362">
        <v>1</v>
      </c>
      <c r="I161" s="80"/>
      <c r="J161" s="363">
        <f t="shared" si="0"/>
        <v>0</v>
      </c>
      <c r="K161" s="364" t="s">
        <v>1</v>
      </c>
      <c r="L161" s="675"/>
      <c r="M161" s="366" t="s">
        <v>1</v>
      </c>
      <c r="N161" s="367" t="s">
        <v>42</v>
      </c>
      <c r="O161" s="322">
        <v>0</v>
      </c>
      <c r="P161" s="322">
        <f t="shared" si="1"/>
        <v>0</v>
      </c>
      <c r="Q161" s="322">
        <v>0</v>
      </c>
      <c r="R161" s="322">
        <f t="shared" si="2"/>
        <v>0</v>
      </c>
      <c r="S161" s="322">
        <v>0</v>
      </c>
      <c r="T161" s="323">
        <f t="shared" si="3"/>
        <v>0</v>
      </c>
      <c r="U161" s="222"/>
      <c r="V161" s="222"/>
      <c r="W161" s="222"/>
      <c r="X161" s="222"/>
      <c r="Y161" s="222"/>
      <c r="Z161" s="222"/>
      <c r="AA161" s="222"/>
      <c r="AB161" s="222"/>
      <c r="AC161" s="222"/>
      <c r="AD161" s="222"/>
      <c r="AE161" s="222"/>
      <c r="AR161" s="324" t="s">
        <v>298</v>
      </c>
      <c r="AT161" s="324" t="s">
        <v>208</v>
      </c>
      <c r="AU161" s="324" t="s">
        <v>83</v>
      </c>
      <c r="AY161" s="214" t="s">
        <v>146</v>
      </c>
      <c r="BE161" s="325">
        <f t="shared" si="4"/>
        <v>0</v>
      </c>
      <c r="BF161" s="325">
        <f t="shared" si="5"/>
        <v>0</v>
      </c>
      <c r="BG161" s="325">
        <f t="shared" si="6"/>
        <v>0</v>
      </c>
      <c r="BH161" s="325">
        <f t="shared" si="7"/>
        <v>0</v>
      </c>
      <c r="BI161" s="325">
        <f t="shared" si="8"/>
        <v>0</v>
      </c>
      <c r="BJ161" s="214" t="s">
        <v>81</v>
      </c>
      <c r="BK161" s="325">
        <f t="shared" si="9"/>
        <v>0</v>
      </c>
      <c r="BL161" s="214" t="s">
        <v>212</v>
      </c>
      <c r="BM161" s="324" t="s">
        <v>2180</v>
      </c>
    </row>
    <row r="162" spans="1:65" s="225" customFormat="1" ht="55.5" customHeight="1">
      <c r="A162" s="222"/>
      <c r="B162" s="223"/>
      <c r="C162" s="358" t="s">
        <v>310</v>
      </c>
      <c r="D162" s="358" t="s">
        <v>208</v>
      </c>
      <c r="E162" s="359" t="s">
        <v>2181</v>
      </c>
      <c r="F162" s="364" t="s">
        <v>2182</v>
      </c>
      <c r="G162" s="361" t="s">
        <v>1361</v>
      </c>
      <c r="H162" s="362">
        <v>1</v>
      </c>
      <c r="I162" s="80"/>
      <c r="J162" s="363">
        <f t="shared" si="0"/>
        <v>0</v>
      </c>
      <c r="K162" s="364" t="s">
        <v>1</v>
      </c>
      <c r="L162" s="675"/>
      <c r="M162" s="366" t="s">
        <v>1</v>
      </c>
      <c r="N162" s="367" t="s">
        <v>42</v>
      </c>
      <c r="O162" s="322">
        <v>0</v>
      </c>
      <c r="P162" s="322">
        <f t="shared" si="1"/>
        <v>0</v>
      </c>
      <c r="Q162" s="322">
        <v>0</v>
      </c>
      <c r="R162" s="322">
        <f t="shared" si="2"/>
        <v>0</v>
      </c>
      <c r="S162" s="322">
        <v>0</v>
      </c>
      <c r="T162" s="323">
        <f t="shared" si="3"/>
        <v>0</v>
      </c>
      <c r="U162" s="222"/>
      <c r="V162" s="222"/>
      <c r="W162" s="222"/>
      <c r="X162" s="222"/>
      <c r="Y162" s="222"/>
      <c r="Z162" s="222"/>
      <c r="AA162" s="222"/>
      <c r="AB162" s="222"/>
      <c r="AC162" s="222"/>
      <c r="AD162" s="222"/>
      <c r="AE162" s="222"/>
      <c r="AR162" s="324" t="s">
        <v>298</v>
      </c>
      <c r="AT162" s="324" t="s">
        <v>208</v>
      </c>
      <c r="AU162" s="324" t="s">
        <v>83</v>
      </c>
      <c r="AY162" s="214" t="s">
        <v>146</v>
      </c>
      <c r="BE162" s="325">
        <f t="shared" si="4"/>
        <v>0</v>
      </c>
      <c r="BF162" s="325">
        <f t="shared" si="5"/>
        <v>0</v>
      </c>
      <c r="BG162" s="325">
        <f t="shared" si="6"/>
        <v>0</v>
      </c>
      <c r="BH162" s="325">
        <f t="shared" si="7"/>
        <v>0</v>
      </c>
      <c r="BI162" s="325">
        <f t="shared" si="8"/>
        <v>0</v>
      </c>
      <c r="BJ162" s="214" t="s">
        <v>81</v>
      </c>
      <c r="BK162" s="325">
        <f t="shared" si="9"/>
        <v>0</v>
      </c>
      <c r="BL162" s="214" t="s">
        <v>212</v>
      </c>
      <c r="BM162" s="324" t="s">
        <v>2183</v>
      </c>
    </row>
    <row r="163" spans="1:65" s="225" customFormat="1" ht="24.2" customHeight="1">
      <c r="A163" s="222"/>
      <c r="B163" s="223"/>
      <c r="C163" s="358" t="s">
        <v>314</v>
      </c>
      <c r="D163" s="358" t="s">
        <v>208</v>
      </c>
      <c r="E163" s="359" t="s">
        <v>2184</v>
      </c>
      <c r="F163" s="364" t="s">
        <v>2185</v>
      </c>
      <c r="G163" s="361" t="s">
        <v>1361</v>
      </c>
      <c r="H163" s="362">
        <v>1</v>
      </c>
      <c r="I163" s="80"/>
      <c r="J163" s="363">
        <f t="shared" si="0"/>
        <v>0</v>
      </c>
      <c r="K163" s="364" t="s">
        <v>1</v>
      </c>
      <c r="L163" s="675"/>
      <c r="M163" s="366" t="s">
        <v>1</v>
      </c>
      <c r="N163" s="367" t="s">
        <v>42</v>
      </c>
      <c r="O163" s="322">
        <v>0</v>
      </c>
      <c r="P163" s="322">
        <f t="shared" si="1"/>
        <v>0</v>
      </c>
      <c r="Q163" s="322">
        <v>0</v>
      </c>
      <c r="R163" s="322">
        <f t="shared" si="2"/>
        <v>0</v>
      </c>
      <c r="S163" s="322">
        <v>0</v>
      </c>
      <c r="T163" s="323">
        <f t="shared" si="3"/>
        <v>0</v>
      </c>
      <c r="U163" s="222"/>
      <c r="V163" s="222"/>
      <c r="W163" s="222"/>
      <c r="X163" s="222"/>
      <c r="Y163" s="222"/>
      <c r="Z163" s="222"/>
      <c r="AA163" s="222"/>
      <c r="AB163" s="222"/>
      <c r="AC163" s="222"/>
      <c r="AD163" s="222"/>
      <c r="AE163" s="222"/>
      <c r="AR163" s="324" t="s">
        <v>298</v>
      </c>
      <c r="AT163" s="324" t="s">
        <v>208</v>
      </c>
      <c r="AU163" s="324" t="s">
        <v>83</v>
      </c>
      <c r="AY163" s="214" t="s">
        <v>146</v>
      </c>
      <c r="BE163" s="325">
        <f t="shared" si="4"/>
        <v>0</v>
      </c>
      <c r="BF163" s="325">
        <f t="shared" si="5"/>
        <v>0</v>
      </c>
      <c r="BG163" s="325">
        <f t="shared" si="6"/>
        <v>0</v>
      </c>
      <c r="BH163" s="325">
        <f t="shared" si="7"/>
        <v>0</v>
      </c>
      <c r="BI163" s="325">
        <f t="shared" si="8"/>
        <v>0</v>
      </c>
      <c r="BJ163" s="214" t="s">
        <v>81</v>
      </c>
      <c r="BK163" s="325">
        <f t="shared" si="9"/>
        <v>0</v>
      </c>
      <c r="BL163" s="214" t="s">
        <v>212</v>
      </c>
      <c r="BM163" s="324" t="s">
        <v>2186</v>
      </c>
    </row>
    <row r="164" spans="2:63" s="297" customFormat="1" ht="22.9" customHeight="1">
      <c r="B164" s="298"/>
      <c r="D164" s="299" t="s">
        <v>75</v>
      </c>
      <c r="E164" s="660" t="s">
        <v>2187</v>
      </c>
      <c r="F164" s="660" t="s">
        <v>2188</v>
      </c>
      <c r="I164" s="501"/>
      <c r="J164" s="311">
        <f>SUM(J165:J190)</f>
        <v>0</v>
      </c>
      <c r="L164" s="298"/>
      <c r="M164" s="303"/>
      <c r="N164" s="304"/>
      <c r="O164" s="304"/>
      <c r="P164" s="305">
        <f>SUM(P165:P190)</f>
        <v>0</v>
      </c>
      <c r="Q164" s="304"/>
      <c r="R164" s="305">
        <f>SUM(R165:R190)</f>
        <v>0</v>
      </c>
      <c r="S164" s="304"/>
      <c r="T164" s="313">
        <f>SUM(T165:T190)</f>
        <v>0</v>
      </c>
      <c r="AR164" s="299" t="s">
        <v>83</v>
      </c>
      <c r="AT164" s="308" t="s">
        <v>75</v>
      </c>
      <c r="AU164" s="308" t="s">
        <v>81</v>
      </c>
      <c r="AY164" s="299" t="s">
        <v>146</v>
      </c>
      <c r="BK164" s="309">
        <f>SUM(BK165:BK190)</f>
        <v>0</v>
      </c>
    </row>
    <row r="165" spans="1:65" s="225" customFormat="1" ht="24.2" customHeight="1">
      <c r="A165" s="222"/>
      <c r="B165" s="223"/>
      <c r="C165" s="314" t="s">
        <v>322</v>
      </c>
      <c r="D165" s="314" t="s">
        <v>148</v>
      </c>
      <c r="E165" s="315" t="s">
        <v>2189</v>
      </c>
      <c r="F165" s="316" t="s">
        <v>2190</v>
      </c>
      <c r="G165" s="317" t="s">
        <v>158</v>
      </c>
      <c r="H165" s="318">
        <v>150</v>
      </c>
      <c r="I165" s="79"/>
      <c r="J165" s="319">
        <f>ROUND(I165*H165,2)</f>
        <v>0</v>
      </c>
      <c r="K165" s="316" t="s">
        <v>1</v>
      </c>
      <c r="L165" s="223"/>
      <c r="M165" s="320" t="s">
        <v>1</v>
      </c>
      <c r="N165" s="321" t="s">
        <v>42</v>
      </c>
      <c r="O165" s="322">
        <v>0</v>
      </c>
      <c r="P165" s="322">
        <f>O165*H165</f>
        <v>0</v>
      </c>
      <c r="Q165" s="322">
        <v>0</v>
      </c>
      <c r="R165" s="322">
        <f>Q165*H165</f>
        <v>0</v>
      </c>
      <c r="S165" s="322">
        <v>0</v>
      </c>
      <c r="T165" s="323">
        <f>S165*H165</f>
        <v>0</v>
      </c>
      <c r="U165" s="222"/>
      <c r="V165" s="222"/>
      <c r="W165" s="222"/>
      <c r="X165" s="222"/>
      <c r="Y165" s="222"/>
      <c r="Z165" s="222"/>
      <c r="AA165" s="222"/>
      <c r="AB165" s="222"/>
      <c r="AC165" s="222"/>
      <c r="AD165" s="222"/>
      <c r="AE165" s="222"/>
      <c r="AR165" s="324" t="s">
        <v>212</v>
      </c>
      <c r="AT165" s="324" t="s">
        <v>148</v>
      </c>
      <c r="AU165" s="324" t="s">
        <v>83</v>
      </c>
      <c r="AY165" s="214" t="s">
        <v>146</v>
      </c>
      <c r="BE165" s="325">
        <f>IF(N165="základní",J165,0)</f>
        <v>0</v>
      </c>
      <c r="BF165" s="325">
        <f>IF(N165="snížená",J165,0)</f>
        <v>0</v>
      </c>
      <c r="BG165" s="325">
        <f>IF(N165="zákl. přenesená",J165,0)</f>
        <v>0</v>
      </c>
      <c r="BH165" s="325">
        <f>IF(N165="sníž. přenesená",J165,0)</f>
        <v>0</v>
      </c>
      <c r="BI165" s="325">
        <f>IF(N165="nulová",J165,0)</f>
        <v>0</v>
      </c>
      <c r="BJ165" s="214" t="s">
        <v>81</v>
      </c>
      <c r="BK165" s="325">
        <f>ROUND(I165*H165,2)</f>
        <v>0</v>
      </c>
      <c r="BL165" s="214" t="s">
        <v>212</v>
      </c>
      <c r="BM165" s="324" t="s">
        <v>2191</v>
      </c>
    </row>
    <row r="166" spans="1:65" s="225" customFormat="1" ht="24.2" customHeight="1">
      <c r="A166" s="222"/>
      <c r="B166" s="223"/>
      <c r="C166" s="314" t="s">
        <v>326</v>
      </c>
      <c r="D166" s="314" t="s">
        <v>148</v>
      </c>
      <c r="E166" s="315" t="s">
        <v>2192</v>
      </c>
      <c r="F166" s="316" t="s">
        <v>2193</v>
      </c>
      <c r="G166" s="317" t="s">
        <v>158</v>
      </c>
      <c r="H166" s="318">
        <v>300</v>
      </c>
      <c r="I166" s="79"/>
      <c r="J166" s="319">
        <f>ROUND(I166*H166,2)</f>
        <v>0</v>
      </c>
      <c r="K166" s="316" t="s">
        <v>1</v>
      </c>
      <c r="L166" s="223"/>
      <c r="M166" s="320" t="s">
        <v>1</v>
      </c>
      <c r="N166" s="321" t="s">
        <v>42</v>
      </c>
      <c r="O166" s="322">
        <v>0</v>
      </c>
      <c r="P166" s="322">
        <f>O166*H166</f>
        <v>0</v>
      </c>
      <c r="Q166" s="322">
        <v>0</v>
      </c>
      <c r="R166" s="322">
        <f>Q166*H166</f>
        <v>0</v>
      </c>
      <c r="S166" s="322">
        <v>0</v>
      </c>
      <c r="T166" s="323">
        <f>S166*H166</f>
        <v>0</v>
      </c>
      <c r="U166" s="222"/>
      <c r="V166" s="222"/>
      <c r="W166" s="222"/>
      <c r="X166" s="222"/>
      <c r="Y166" s="222"/>
      <c r="Z166" s="222"/>
      <c r="AA166" s="222"/>
      <c r="AB166" s="222"/>
      <c r="AC166" s="222"/>
      <c r="AD166" s="222"/>
      <c r="AE166" s="222"/>
      <c r="AR166" s="324" t="s">
        <v>212</v>
      </c>
      <c r="AT166" s="324" t="s">
        <v>148</v>
      </c>
      <c r="AU166" s="324" t="s">
        <v>83</v>
      </c>
      <c r="AY166" s="214" t="s">
        <v>146</v>
      </c>
      <c r="BE166" s="325">
        <f>IF(N166="základní",J166,0)</f>
        <v>0</v>
      </c>
      <c r="BF166" s="325">
        <f>IF(N166="snížená",J166,0)</f>
        <v>0</v>
      </c>
      <c r="BG166" s="325">
        <f>IF(N166="zákl. přenesená",J166,0)</f>
        <v>0</v>
      </c>
      <c r="BH166" s="325">
        <f>IF(N166="sníž. přenesená",J166,0)</f>
        <v>0</v>
      </c>
      <c r="BI166" s="325">
        <f>IF(N166="nulová",J166,0)</f>
        <v>0</v>
      </c>
      <c r="BJ166" s="214" t="s">
        <v>81</v>
      </c>
      <c r="BK166" s="325">
        <f>ROUND(I166*H166,2)</f>
        <v>0</v>
      </c>
      <c r="BL166" s="214" t="s">
        <v>212</v>
      </c>
      <c r="BM166" s="324" t="s">
        <v>2194</v>
      </c>
    </row>
    <row r="167" spans="1:65" s="225" customFormat="1" ht="24.2" customHeight="1">
      <c r="A167" s="222"/>
      <c r="B167" s="223"/>
      <c r="C167" s="314" t="s">
        <v>332</v>
      </c>
      <c r="D167" s="314" t="s">
        <v>148</v>
      </c>
      <c r="E167" s="315" t="s">
        <v>2195</v>
      </c>
      <c r="F167" s="316" t="s">
        <v>2196</v>
      </c>
      <c r="G167" s="317" t="s">
        <v>158</v>
      </c>
      <c r="H167" s="318">
        <v>50</v>
      </c>
      <c r="I167" s="79"/>
      <c r="J167" s="319">
        <f>ROUND(I167*H167,2)</f>
        <v>0</v>
      </c>
      <c r="K167" s="316" t="s">
        <v>1</v>
      </c>
      <c r="L167" s="223"/>
      <c r="M167" s="320" t="s">
        <v>1</v>
      </c>
      <c r="N167" s="321" t="s">
        <v>42</v>
      </c>
      <c r="O167" s="322">
        <v>0</v>
      </c>
      <c r="P167" s="322">
        <f>O167*H167</f>
        <v>0</v>
      </c>
      <c r="Q167" s="322">
        <v>0</v>
      </c>
      <c r="R167" s="322">
        <f>Q167*H167</f>
        <v>0</v>
      </c>
      <c r="S167" s="322">
        <v>0</v>
      </c>
      <c r="T167" s="323">
        <f>S167*H167</f>
        <v>0</v>
      </c>
      <c r="U167" s="222"/>
      <c r="V167" s="222"/>
      <c r="W167" s="222"/>
      <c r="X167" s="222"/>
      <c r="Y167" s="222"/>
      <c r="Z167" s="222"/>
      <c r="AA167" s="222"/>
      <c r="AB167" s="222"/>
      <c r="AC167" s="222"/>
      <c r="AD167" s="222"/>
      <c r="AE167" s="222"/>
      <c r="AR167" s="324" t="s">
        <v>212</v>
      </c>
      <c r="AT167" s="324" t="s">
        <v>148</v>
      </c>
      <c r="AU167" s="324" t="s">
        <v>83</v>
      </c>
      <c r="AY167" s="214" t="s">
        <v>146</v>
      </c>
      <c r="BE167" s="325">
        <f>IF(N167="základní",J167,0)</f>
        <v>0</v>
      </c>
      <c r="BF167" s="325">
        <f>IF(N167="snížená",J167,0)</f>
        <v>0</v>
      </c>
      <c r="BG167" s="325">
        <f>IF(N167="zákl. přenesená",J167,0)</f>
        <v>0</v>
      </c>
      <c r="BH167" s="325">
        <f>IF(N167="sníž. přenesená",J167,0)</f>
        <v>0</v>
      </c>
      <c r="BI167" s="325">
        <f>IF(N167="nulová",J167,0)</f>
        <v>0</v>
      </c>
      <c r="BJ167" s="214" t="s">
        <v>81</v>
      </c>
      <c r="BK167" s="325">
        <f>ROUND(I167*H167,2)</f>
        <v>0</v>
      </c>
      <c r="BL167" s="214" t="s">
        <v>212</v>
      </c>
      <c r="BM167" s="324" t="s">
        <v>2197</v>
      </c>
    </row>
    <row r="168" spans="1:65" s="225" customFormat="1" ht="24.2" customHeight="1">
      <c r="A168" s="222"/>
      <c r="B168" s="223"/>
      <c r="C168" s="314" t="s">
        <v>333</v>
      </c>
      <c r="D168" s="314" t="s">
        <v>148</v>
      </c>
      <c r="E168" s="315" t="s">
        <v>2198</v>
      </c>
      <c r="F168" s="316" t="s">
        <v>2199</v>
      </c>
      <c r="G168" s="317" t="s">
        <v>158</v>
      </c>
      <c r="H168" s="318">
        <v>247</v>
      </c>
      <c r="I168" s="79"/>
      <c r="J168" s="319">
        <f>ROUND(I168*H168,2)</f>
        <v>0</v>
      </c>
      <c r="K168" s="316" t="s">
        <v>1</v>
      </c>
      <c r="L168" s="223"/>
      <c r="M168" s="320" t="s">
        <v>1</v>
      </c>
      <c r="N168" s="321" t="s">
        <v>42</v>
      </c>
      <c r="O168" s="322">
        <v>0</v>
      </c>
      <c r="P168" s="322">
        <f>O168*H168</f>
        <v>0</v>
      </c>
      <c r="Q168" s="322">
        <v>0</v>
      </c>
      <c r="R168" s="322">
        <f>Q168*H168</f>
        <v>0</v>
      </c>
      <c r="S168" s="322">
        <v>0</v>
      </c>
      <c r="T168" s="323">
        <f>S168*H168</f>
        <v>0</v>
      </c>
      <c r="U168" s="222"/>
      <c r="V168" s="222"/>
      <c r="W168" s="222"/>
      <c r="X168" s="222"/>
      <c r="Y168" s="222"/>
      <c r="Z168" s="222"/>
      <c r="AA168" s="222"/>
      <c r="AB168" s="222"/>
      <c r="AC168" s="222"/>
      <c r="AD168" s="222"/>
      <c r="AE168" s="222"/>
      <c r="AR168" s="324" t="s">
        <v>212</v>
      </c>
      <c r="AT168" s="324" t="s">
        <v>148</v>
      </c>
      <c r="AU168" s="324" t="s">
        <v>83</v>
      </c>
      <c r="AY168" s="214" t="s">
        <v>146</v>
      </c>
      <c r="BE168" s="325">
        <f>IF(N168="základní",J168,0)</f>
        <v>0</v>
      </c>
      <c r="BF168" s="325">
        <f>IF(N168="snížená",J168,0)</f>
        <v>0</v>
      </c>
      <c r="BG168" s="325">
        <f>IF(N168="zákl. přenesená",J168,0)</f>
        <v>0</v>
      </c>
      <c r="BH168" s="325">
        <f>IF(N168="sníž. přenesená",J168,0)</f>
        <v>0</v>
      </c>
      <c r="BI168" s="325">
        <f>IF(N168="nulová",J168,0)</f>
        <v>0</v>
      </c>
      <c r="BJ168" s="214" t="s">
        <v>81</v>
      </c>
      <c r="BK168" s="325">
        <f>ROUND(I168*H168,2)</f>
        <v>0</v>
      </c>
      <c r="BL168" s="214" t="s">
        <v>212</v>
      </c>
      <c r="BM168" s="324" t="s">
        <v>2200</v>
      </c>
    </row>
    <row r="169" spans="2:51" s="335" customFormat="1" ht="12">
      <c r="B169" s="336"/>
      <c r="D169" s="328" t="s">
        <v>155</v>
      </c>
      <c r="E169" s="337" t="s">
        <v>1</v>
      </c>
      <c r="F169" s="338" t="s">
        <v>2201</v>
      </c>
      <c r="H169" s="339">
        <v>247</v>
      </c>
      <c r="I169" s="498"/>
      <c r="L169" s="336"/>
      <c r="M169" s="341"/>
      <c r="N169" s="342"/>
      <c r="O169" s="342"/>
      <c r="P169" s="342"/>
      <c r="Q169" s="342"/>
      <c r="R169" s="342"/>
      <c r="S169" s="342"/>
      <c r="T169" s="343"/>
      <c r="AT169" s="337" t="s">
        <v>155</v>
      </c>
      <c r="AU169" s="337" t="s">
        <v>83</v>
      </c>
      <c r="AV169" s="335" t="s">
        <v>83</v>
      </c>
      <c r="AW169" s="335" t="s">
        <v>34</v>
      </c>
      <c r="AX169" s="335" t="s">
        <v>76</v>
      </c>
      <c r="AY169" s="337" t="s">
        <v>146</v>
      </c>
    </row>
    <row r="170" spans="2:51" s="347" customFormat="1" ht="12">
      <c r="B170" s="348"/>
      <c r="D170" s="328" t="s">
        <v>155</v>
      </c>
      <c r="E170" s="349" t="s">
        <v>1</v>
      </c>
      <c r="F170" s="356" t="s">
        <v>157</v>
      </c>
      <c r="H170" s="351">
        <v>247</v>
      </c>
      <c r="I170" s="499"/>
      <c r="L170" s="348"/>
      <c r="M170" s="353"/>
      <c r="N170" s="354"/>
      <c r="O170" s="354"/>
      <c r="P170" s="354"/>
      <c r="Q170" s="354"/>
      <c r="R170" s="354"/>
      <c r="S170" s="354"/>
      <c r="T170" s="355"/>
      <c r="AT170" s="349" t="s">
        <v>155</v>
      </c>
      <c r="AU170" s="349" t="s">
        <v>83</v>
      </c>
      <c r="AV170" s="347" t="s">
        <v>153</v>
      </c>
      <c r="AW170" s="347" t="s">
        <v>34</v>
      </c>
      <c r="AX170" s="347" t="s">
        <v>81</v>
      </c>
      <c r="AY170" s="349" t="s">
        <v>146</v>
      </c>
    </row>
    <row r="171" spans="1:65" s="225" customFormat="1" ht="24.2" customHeight="1">
      <c r="A171" s="222"/>
      <c r="B171" s="223"/>
      <c r="C171" s="314" t="s">
        <v>340</v>
      </c>
      <c r="D171" s="314" t="s">
        <v>148</v>
      </c>
      <c r="E171" s="315" t="s">
        <v>2202</v>
      </c>
      <c r="F171" s="316" t="s">
        <v>2203</v>
      </c>
      <c r="G171" s="317" t="s">
        <v>158</v>
      </c>
      <c r="H171" s="318">
        <v>56</v>
      </c>
      <c r="I171" s="79"/>
      <c r="J171" s="319">
        <f>ROUND(I171*H171,2)</f>
        <v>0</v>
      </c>
      <c r="K171" s="316" t="s">
        <v>1</v>
      </c>
      <c r="L171" s="223"/>
      <c r="M171" s="320" t="s">
        <v>1</v>
      </c>
      <c r="N171" s="321" t="s">
        <v>42</v>
      </c>
      <c r="O171" s="322">
        <v>0</v>
      </c>
      <c r="P171" s="322">
        <f>O171*H171</f>
        <v>0</v>
      </c>
      <c r="Q171" s="322">
        <v>0</v>
      </c>
      <c r="R171" s="322">
        <f>Q171*H171</f>
        <v>0</v>
      </c>
      <c r="S171" s="322">
        <v>0</v>
      </c>
      <c r="T171" s="323">
        <f>S171*H171</f>
        <v>0</v>
      </c>
      <c r="U171" s="222"/>
      <c r="V171" s="222"/>
      <c r="W171" s="222"/>
      <c r="X171" s="222"/>
      <c r="Y171" s="222"/>
      <c r="Z171" s="222"/>
      <c r="AA171" s="222"/>
      <c r="AB171" s="222"/>
      <c r="AC171" s="222"/>
      <c r="AD171" s="222"/>
      <c r="AE171" s="222"/>
      <c r="AR171" s="324" t="s">
        <v>212</v>
      </c>
      <c r="AT171" s="324" t="s">
        <v>148</v>
      </c>
      <c r="AU171" s="324" t="s">
        <v>83</v>
      </c>
      <c r="AY171" s="214" t="s">
        <v>146</v>
      </c>
      <c r="BE171" s="325">
        <f>IF(N171="základní",J171,0)</f>
        <v>0</v>
      </c>
      <c r="BF171" s="325">
        <f>IF(N171="snížená",J171,0)</f>
        <v>0</v>
      </c>
      <c r="BG171" s="325">
        <f>IF(N171="zákl. přenesená",J171,0)</f>
        <v>0</v>
      </c>
      <c r="BH171" s="325">
        <f>IF(N171="sníž. přenesená",J171,0)</f>
        <v>0</v>
      </c>
      <c r="BI171" s="325">
        <f>IF(N171="nulová",J171,0)</f>
        <v>0</v>
      </c>
      <c r="BJ171" s="214" t="s">
        <v>81</v>
      </c>
      <c r="BK171" s="325">
        <f>ROUND(I171*H171,2)</f>
        <v>0</v>
      </c>
      <c r="BL171" s="214" t="s">
        <v>212</v>
      </c>
      <c r="BM171" s="324" t="s">
        <v>2204</v>
      </c>
    </row>
    <row r="172" spans="2:51" s="335" customFormat="1" ht="12">
      <c r="B172" s="336"/>
      <c r="D172" s="328" t="s">
        <v>155</v>
      </c>
      <c r="E172" s="337" t="s">
        <v>1</v>
      </c>
      <c r="F172" s="338" t="s">
        <v>2205</v>
      </c>
      <c r="H172" s="339">
        <v>56</v>
      </c>
      <c r="I172" s="498"/>
      <c r="L172" s="336"/>
      <c r="M172" s="341"/>
      <c r="N172" s="342"/>
      <c r="O172" s="342"/>
      <c r="P172" s="342"/>
      <c r="Q172" s="342"/>
      <c r="R172" s="342"/>
      <c r="S172" s="342"/>
      <c r="T172" s="343"/>
      <c r="AT172" s="337" t="s">
        <v>155</v>
      </c>
      <c r="AU172" s="337" t="s">
        <v>83</v>
      </c>
      <c r="AV172" s="335" t="s">
        <v>83</v>
      </c>
      <c r="AW172" s="335" t="s">
        <v>34</v>
      </c>
      <c r="AX172" s="335" t="s">
        <v>76</v>
      </c>
      <c r="AY172" s="337" t="s">
        <v>146</v>
      </c>
    </row>
    <row r="173" spans="2:51" s="347" customFormat="1" ht="12">
      <c r="B173" s="348"/>
      <c r="D173" s="328" t="s">
        <v>155</v>
      </c>
      <c r="E173" s="349" t="s">
        <v>1</v>
      </c>
      <c r="F173" s="356" t="s">
        <v>157</v>
      </c>
      <c r="H173" s="351">
        <v>56</v>
      </c>
      <c r="I173" s="499"/>
      <c r="L173" s="348"/>
      <c r="M173" s="353"/>
      <c r="N173" s="354"/>
      <c r="O173" s="354"/>
      <c r="P173" s="354"/>
      <c r="Q173" s="354"/>
      <c r="R173" s="354"/>
      <c r="S173" s="354"/>
      <c r="T173" s="355"/>
      <c r="AT173" s="349" t="s">
        <v>155</v>
      </c>
      <c r="AU173" s="349" t="s">
        <v>83</v>
      </c>
      <c r="AV173" s="347" t="s">
        <v>153</v>
      </c>
      <c r="AW173" s="347" t="s">
        <v>34</v>
      </c>
      <c r="AX173" s="347" t="s">
        <v>81</v>
      </c>
      <c r="AY173" s="349" t="s">
        <v>146</v>
      </c>
    </row>
    <row r="174" spans="1:65" s="225" customFormat="1" ht="24.2" customHeight="1">
      <c r="A174" s="222"/>
      <c r="B174" s="223"/>
      <c r="C174" s="314" t="s">
        <v>345</v>
      </c>
      <c r="D174" s="314" t="s">
        <v>148</v>
      </c>
      <c r="E174" s="315" t="s">
        <v>2206</v>
      </c>
      <c r="F174" s="316" t="s">
        <v>2207</v>
      </c>
      <c r="G174" s="317" t="s">
        <v>158</v>
      </c>
      <c r="H174" s="318">
        <v>340</v>
      </c>
      <c r="I174" s="79"/>
      <c r="J174" s="319">
        <f>ROUND(I174*H174,2)</f>
        <v>0</v>
      </c>
      <c r="K174" s="316" t="s">
        <v>1</v>
      </c>
      <c r="L174" s="223"/>
      <c r="M174" s="320" t="s">
        <v>1</v>
      </c>
      <c r="N174" s="321" t="s">
        <v>42</v>
      </c>
      <c r="O174" s="322">
        <v>0</v>
      </c>
      <c r="P174" s="322">
        <f>O174*H174</f>
        <v>0</v>
      </c>
      <c r="Q174" s="322">
        <v>0</v>
      </c>
      <c r="R174" s="322">
        <f>Q174*H174</f>
        <v>0</v>
      </c>
      <c r="S174" s="322">
        <v>0</v>
      </c>
      <c r="T174" s="323">
        <f>S174*H174</f>
        <v>0</v>
      </c>
      <c r="U174" s="222"/>
      <c r="V174" s="222"/>
      <c r="W174" s="222"/>
      <c r="X174" s="222"/>
      <c r="Y174" s="222"/>
      <c r="Z174" s="222"/>
      <c r="AA174" s="222"/>
      <c r="AB174" s="222"/>
      <c r="AC174" s="222"/>
      <c r="AD174" s="222"/>
      <c r="AE174" s="222"/>
      <c r="AR174" s="324" t="s">
        <v>212</v>
      </c>
      <c r="AT174" s="324" t="s">
        <v>148</v>
      </c>
      <c r="AU174" s="324" t="s">
        <v>83</v>
      </c>
      <c r="AY174" s="214" t="s">
        <v>146</v>
      </c>
      <c r="BE174" s="325">
        <f>IF(N174="základní",J174,0)</f>
        <v>0</v>
      </c>
      <c r="BF174" s="325">
        <f>IF(N174="snížená",J174,0)</f>
        <v>0</v>
      </c>
      <c r="BG174" s="325">
        <f>IF(N174="zákl. přenesená",J174,0)</f>
        <v>0</v>
      </c>
      <c r="BH174" s="325">
        <f>IF(N174="sníž. přenesená",J174,0)</f>
        <v>0</v>
      </c>
      <c r="BI174" s="325">
        <f>IF(N174="nulová",J174,0)</f>
        <v>0</v>
      </c>
      <c r="BJ174" s="214" t="s">
        <v>81</v>
      </c>
      <c r="BK174" s="325">
        <f>ROUND(I174*H174,2)</f>
        <v>0</v>
      </c>
      <c r="BL174" s="214" t="s">
        <v>212</v>
      </c>
      <c r="BM174" s="324" t="s">
        <v>2208</v>
      </c>
    </row>
    <row r="175" spans="2:51" s="335" customFormat="1" ht="12">
      <c r="B175" s="336"/>
      <c r="D175" s="328" t="s">
        <v>155</v>
      </c>
      <c r="E175" s="337" t="s">
        <v>1</v>
      </c>
      <c r="F175" s="338" t="s">
        <v>2209</v>
      </c>
      <c r="H175" s="339">
        <v>340</v>
      </c>
      <c r="I175" s="498"/>
      <c r="L175" s="336"/>
      <c r="M175" s="341"/>
      <c r="N175" s="342"/>
      <c r="O175" s="342"/>
      <c r="P175" s="342"/>
      <c r="Q175" s="342"/>
      <c r="R175" s="342"/>
      <c r="S175" s="342"/>
      <c r="T175" s="343"/>
      <c r="AT175" s="337" t="s">
        <v>155</v>
      </c>
      <c r="AU175" s="337" t="s">
        <v>83</v>
      </c>
      <c r="AV175" s="335" t="s">
        <v>83</v>
      </c>
      <c r="AW175" s="335" t="s">
        <v>34</v>
      </c>
      <c r="AX175" s="335" t="s">
        <v>76</v>
      </c>
      <c r="AY175" s="337" t="s">
        <v>146</v>
      </c>
    </row>
    <row r="176" spans="2:51" s="347" customFormat="1" ht="12">
      <c r="B176" s="348"/>
      <c r="D176" s="328" t="s">
        <v>155</v>
      </c>
      <c r="E176" s="349" t="s">
        <v>1</v>
      </c>
      <c r="F176" s="356" t="s">
        <v>157</v>
      </c>
      <c r="H176" s="351">
        <v>340</v>
      </c>
      <c r="I176" s="499"/>
      <c r="L176" s="348"/>
      <c r="M176" s="353"/>
      <c r="N176" s="354"/>
      <c r="O176" s="354"/>
      <c r="P176" s="354"/>
      <c r="Q176" s="354"/>
      <c r="R176" s="354"/>
      <c r="S176" s="354"/>
      <c r="T176" s="355"/>
      <c r="AT176" s="349" t="s">
        <v>155</v>
      </c>
      <c r="AU176" s="349" t="s">
        <v>83</v>
      </c>
      <c r="AV176" s="347" t="s">
        <v>153</v>
      </c>
      <c r="AW176" s="347" t="s">
        <v>34</v>
      </c>
      <c r="AX176" s="347" t="s">
        <v>81</v>
      </c>
      <c r="AY176" s="349" t="s">
        <v>146</v>
      </c>
    </row>
    <row r="177" spans="1:65" s="225" customFormat="1" ht="24.2" customHeight="1">
      <c r="A177" s="222"/>
      <c r="B177" s="223"/>
      <c r="C177" s="314" t="s">
        <v>355</v>
      </c>
      <c r="D177" s="314" t="s">
        <v>148</v>
      </c>
      <c r="E177" s="315" t="s">
        <v>2210</v>
      </c>
      <c r="F177" s="316" t="s">
        <v>2211</v>
      </c>
      <c r="G177" s="317" t="s">
        <v>158</v>
      </c>
      <c r="H177" s="318">
        <v>31</v>
      </c>
      <c r="I177" s="79"/>
      <c r="J177" s="319">
        <f>ROUND(I177*H177,2)</f>
        <v>0</v>
      </c>
      <c r="K177" s="316" t="s">
        <v>1</v>
      </c>
      <c r="L177" s="223"/>
      <c r="M177" s="320" t="s">
        <v>1</v>
      </c>
      <c r="N177" s="321" t="s">
        <v>42</v>
      </c>
      <c r="O177" s="322">
        <v>0</v>
      </c>
      <c r="P177" s="322">
        <f>O177*H177</f>
        <v>0</v>
      </c>
      <c r="Q177" s="322">
        <v>0</v>
      </c>
      <c r="R177" s="322">
        <f>Q177*H177</f>
        <v>0</v>
      </c>
      <c r="S177" s="322">
        <v>0</v>
      </c>
      <c r="T177" s="323">
        <f>S177*H177</f>
        <v>0</v>
      </c>
      <c r="U177" s="222"/>
      <c r="V177" s="222"/>
      <c r="W177" s="222"/>
      <c r="X177" s="222"/>
      <c r="Y177" s="222"/>
      <c r="Z177" s="222"/>
      <c r="AA177" s="222"/>
      <c r="AB177" s="222"/>
      <c r="AC177" s="222"/>
      <c r="AD177" s="222"/>
      <c r="AE177" s="222"/>
      <c r="AR177" s="324" t="s">
        <v>212</v>
      </c>
      <c r="AT177" s="324" t="s">
        <v>148</v>
      </c>
      <c r="AU177" s="324" t="s">
        <v>83</v>
      </c>
      <c r="AY177" s="214" t="s">
        <v>146</v>
      </c>
      <c r="BE177" s="325">
        <f>IF(N177="základní",J177,0)</f>
        <v>0</v>
      </c>
      <c r="BF177" s="325">
        <f>IF(N177="snížená",J177,0)</f>
        <v>0</v>
      </c>
      <c r="BG177" s="325">
        <f>IF(N177="zákl. přenesená",J177,0)</f>
        <v>0</v>
      </c>
      <c r="BH177" s="325">
        <f>IF(N177="sníž. přenesená",J177,0)</f>
        <v>0</v>
      </c>
      <c r="BI177" s="325">
        <f>IF(N177="nulová",J177,0)</f>
        <v>0</v>
      </c>
      <c r="BJ177" s="214" t="s">
        <v>81</v>
      </c>
      <c r="BK177" s="325">
        <f>ROUND(I177*H177,2)</f>
        <v>0</v>
      </c>
      <c r="BL177" s="214" t="s">
        <v>212</v>
      </c>
      <c r="BM177" s="324" t="s">
        <v>2212</v>
      </c>
    </row>
    <row r="178" spans="2:51" s="335" customFormat="1" ht="12">
      <c r="B178" s="336"/>
      <c r="D178" s="328" t="s">
        <v>155</v>
      </c>
      <c r="E178" s="337" t="s">
        <v>1</v>
      </c>
      <c r="F178" s="338" t="s">
        <v>2213</v>
      </c>
      <c r="H178" s="339">
        <v>31</v>
      </c>
      <c r="I178" s="498"/>
      <c r="L178" s="336"/>
      <c r="M178" s="341"/>
      <c r="N178" s="342"/>
      <c r="O178" s="342"/>
      <c r="P178" s="342"/>
      <c r="Q178" s="342"/>
      <c r="R178" s="342"/>
      <c r="S178" s="342"/>
      <c r="T178" s="343"/>
      <c r="AT178" s="337" t="s">
        <v>155</v>
      </c>
      <c r="AU178" s="337" t="s">
        <v>83</v>
      </c>
      <c r="AV178" s="335" t="s">
        <v>83</v>
      </c>
      <c r="AW178" s="335" t="s">
        <v>34</v>
      </c>
      <c r="AX178" s="335" t="s">
        <v>76</v>
      </c>
      <c r="AY178" s="337" t="s">
        <v>146</v>
      </c>
    </row>
    <row r="179" spans="2:51" s="347" customFormat="1" ht="12">
      <c r="B179" s="348"/>
      <c r="D179" s="328" t="s">
        <v>155</v>
      </c>
      <c r="E179" s="349" t="s">
        <v>1</v>
      </c>
      <c r="F179" s="356" t="s">
        <v>157</v>
      </c>
      <c r="H179" s="351">
        <v>31</v>
      </c>
      <c r="I179" s="499"/>
      <c r="L179" s="348"/>
      <c r="M179" s="353"/>
      <c r="N179" s="354"/>
      <c r="O179" s="354"/>
      <c r="P179" s="354"/>
      <c r="Q179" s="354"/>
      <c r="R179" s="354"/>
      <c r="S179" s="354"/>
      <c r="T179" s="355"/>
      <c r="AT179" s="349" t="s">
        <v>155</v>
      </c>
      <c r="AU179" s="349" t="s">
        <v>83</v>
      </c>
      <c r="AV179" s="347" t="s">
        <v>153</v>
      </c>
      <c r="AW179" s="347" t="s">
        <v>34</v>
      </c>
      <c r="AX179" s="347" t="s">
        <v>81</v>
      </c>
      <c r="AY179" s="349" t="s">
        <v>146</v>
      </c>
    </row>
    <row r="180" spans="1:65" s="225" customFormat="1" ht="24.2" customHeight="1">
      <c r="A180" s="222"/>
      <c r="B180" s="223"/>
      <c r="C180" s="314" t="s">
        <v>360</v>
      </c>
      <c r="D180" s="314" t="s">
        <v>148</v>
      </c>
      <c r="E180" s="315" t="s">
        <v>2214</v>
      </c>
      <c r="F180" s="316" t="s">
        <v>2215</v>
      </c>
      <c r="G180" s="317" t="s">
        <v>158</v>
      </c>
      <c r="H180" s="318">
        <v>52</v>
      </c>
      <c r="I180" s="79"/>
      <c r="J180" s="319">
        <f>ROUND(I180*H180,2)</f>
        <v>0</v>
      </c>
      <c r="K180" s="316" t="s">
        <v>1</v>
      </c>
      <c r="L180" s="223"/>
      <c r="M180" s="320" t="s">
        <v>1</v>
      </c>
      <c r="N180" s="321" t="s">
        <v>42</v>
      </c>
      <c r="O180" s="322">
        <v>0</v>
      </c>
      <c r="P180" s="322">
        <f>O180*H180</f>
        <v>0</v>
      </c>
      <c r="Q180" s="322">
        <v>0</v>
      </c>
      <c r="R180" s="322">
        <f>Q180*H180</f>
        <v>0</v>
      </c>
      <c r="S180" s="322">
        <v>0</v>
      </c>
      <c r="T180" s="323">
        <f>S180*H180</f>
        <v>0</v>
      </c>
      <c r="U180" s="222"/>
      <c r="V180" s="222"/>
      <c r="W180" s="222"/>
      <c r="X180" s="222"/>
      <c r="Y180" s="222"/>
      <c r="Z180" s="222"/>
      <c r="AA180" s="222"/>
      <c r="AB180" s="222"/>
      <c r="AC180" s="222"/>
      <c r="AD180" s="222"/>
      <c r="AE180" s="222"/>
      <c r="AR180" s="324" t="s">
        <v>212</v>
      </c>
      <c r="AT180" s="324" t="s">
        <v>148</v>
      </c>
      <c r="AU180" s="324" t="s">
        <v>83</v>
      </c>
      <c r="AY180" s="214" t="s">
        <v>146</v>
      </c>
      <c r="BE180" s="325">
        <f>IF(N180="základní",J180,0)</f>
        <v>0</v>
      </c>
      <c r="BF180" s="325">
        <f>IF(N180="snížená",J180,0)</f>
        <v>0</v>
      </c>
      <c r="BG180" s="325">
        <f>IF(N180="zákl. přenesená",J180,0)</f>
        <v>0</v>
      </c>
      <c r="BH180" s="325">
        <f>IF(N180="sníž. přenesená",J180,0)</f>
        <v>0</v>
      </c>
      <c r="BI180" s="325">
        <f>IF(N180="nulová",J180,0)</f>
        <v>0</v>
      </c>
      <c r="BJ180" s="214" t="s">
        <v>81</v>
      </c>
      <c r="BK180" s="325">
        <f>ROUND(I180*H180,2)</f>
        <v>0</v>
      </c>
      <c r="BL180" s="214" t="s">
        <v>212</v>
      </c>
      <c r="BM180" s="324" t="s">
        <v>2216</v>
      </c>
    </row>
    <row r="181" spans="1:65" s="225" customFormat="1" ht="16.5" customHeight="1">
      <c r="A181" s="222"/>
      <c r="B181" s="223"/>
      <c r="C181" s="314" t="s">
        <v>374</v>
      </c>
      <c r="D181" s="314" t="s">
        <v>148</v>
      </c>
      <c r="E181" s="315" t="s">
        <v>2217</v>
      </c>
      <c r="F181" s="316" t="s">
        <v>2218</v>
      </c>
      <c r="G181" s="317" t="s">
        <v>158</v>
      </c>
      <c r="H181" s="318">
        <v>726</v>
      </c>
      <c r="I181" s="79"/>
      <c r="J181" s="319">
        <f>ROUND(I181*H181,2)</f>
        <v>0</v>
      </c>
      <c r="K181" s="316" t="s">
        <v>1</v>
      </c>
      <c r="L181" s="223"/>
      <c r="M181" s="320" t="s">
        <v>1</v>
      </c>
      <c r="N181" s="321" t="s">
        <v>42</v>
      </c>
      <c r="O181" s="322">
        <v>0</v>
      </c>
      <c r="P181" s="322">
        <f>O181*H181</f>
        <v>0</v>
      </c>
      <c r="Q181" s="322">
        <v>0</v>
      </c>
      <c r="R181" s="322">
        <f>Q181*H181</f>
        <v>0</v>
      </c>
      <c r="S181" s="322">
        <v>0</v>
      </c>
      <c r="T181" s="323">
        <f>S181*H181</f>
        <v>0</v>
      </c>
      <c r="U181" s="222"/>
      <c r="V181" s="222"/>
      <c r="W181" s="222"/>
      <c r="X181" s="222"/>
      <c r="Y181" s="222"/>
      <c r="Z181" s="222"/>
      <c r="AA181" s="222"/>
      <c r="AB181" s="222"/>
      <c r="AC181" s="222"/>
      <c r="AD181" s="222"/>
      <c r="AE181" s="222"/>
      <c r="AR181" s="324" t="s">
        <v>212</v>
      </c>
      <c r="AT181" s="324" t="s">
        <v>148</v>
      </c>
      <c r="AU181" s="324" t="s">
        <v>83</v>
      </c>
      <c r="AY181" s="214" t="s">
        <v>146</v>
      </c>
      <c r="BE181" s="325">
        <f>IF(N181="základní",J181,0)</f>
        <v>0</v>
      </c>
      <c r="BF181" s="325">
        <f>IF(N181="snížená",J181,0)</f>
        <v>0</v>
      </c>
      <c r="BG181" s="325">
        <f>IF(N181="zákl. přenesená",J181,0)</f>
        <v>0</v>
      </c>
      <c r="BH181" s="325">
        <f>IF(N181="sníž. přenesená",J181,0)</f>
        <v>0</v>
      </c>
      <c r="BI181" s="325">
        <f>IF(N181="nulová",J181,0)</f>
        <v>0</v>
      </c>
      <c r="BJ181" s="214" t="s">
        <v>81</v>
      </c>
      <c r="BK181" s="325">
        <f>ROUND(I181*H181,2)</f>
        <v>0</v>
      </c>
      <c r="BL181" s="214" t="s">
        <v>212</v>
      </c>
      <c r="BM181" s="324" t="s">
        <v>2219</v>
      </c>
    </row>
    <row r="182" spans="2:51" s="335" customFormat="1" ht="12">
      <c r="B182" s="336"/>
      <c r="D182" s="328" t="s">
        <v>155</v>
      </c>
      <c r="E182" s="337" t="s">
        <v>1</v>
      </c>
      <c r="F182" s="338" t="s">
        <v>2220</v>
      </c>
      <c r="H182" s="339">
        <v>726</v>
      </c>
      <c r="I182" s="498"/>
      <c r="L182" s="336"/>
      <c r="M182" s="341"/>
      <c r="N182" s="342"/>
      <c r="O182" s="342"/>
      <c r="P182" s="342"/>
      <c r="Q182" s="342"/>
      <c r="R182" s="342"/>
      <c r="S182" s="342"/>
      <c r="T182" s="343"/>
      <c r="AT182" s="337" t="s">
        <v>155</v>
      </c>
      <c r="AU182" s="337" t="s">
        <v>83</v>
      </c>
      <c r="AV182" s="335" t="s">
        <v>83</v>
      </c>
      <c r="AW182" s="335" t="s">
        <v>34</v>
      </c>
      <c r="AX182" s="335" t="s">
        <v>76</v>
      </c>
      <c r="AY182" s="337" t="s">
        <v>146</v>
      </c>
    </row>
    <row r="183" spans="2:51" s="347" customFormat="1" ht="12">
      <c r="B183" s="348"/>
      <c r="D183" s="328" t="s">
        <v>155</v>
      </c>
      <c r="E183" s="349" t="s">
        <v>1</v>
      </c>
      <c r="F183" s="356" t="s">
        <v>157</v>
      </c>
      <c r="H183" s="351">
        <v>726</v>
      </c>
      <c r="I183" s="499"/>
      <c r="L183" s="348"/>
      <c r="M183" s="353"/>
      <c r="N183" s="354"/>
      <c r="O183" s="354"/>
      <c r="P183" s="354"/>
      <c r="Q183" s="354"/>
      <c r="R183" s="354"/>
      <c r="S183" s="354"/>
      <c r="T183" s="355"/>
      <c r="AT183" s="349" t="s">
        <v>155</v>
      </c>
      <c r="AU183" s="349" t="s">
        <v>83</v>
      </c>
      <c r="AV183" s="347" t="s">
        <v>153</v>
      </c>
      <c r="AW183" s="347" t="s">
        <v>34</v>
      </c>
      <c r="AX183" s="347" t="s">
        <v>81</v>
      </c>
      <c r="AY183" s="349" t="s">
        <v>146</v>
      </c>
    </row>
    <row r="184" spans="1:65" s="225" customFormat="1" ht="33" customHeight="1">
      <c r="A184" s="222"/>
      <c r="B184" s="223"/>
      <c r="C184" s="314" t="s">
        <v>378</v>
      </c>
      <c r="D184" s="314" t="s">
        <v>148</v>
      </c>
      <c r="E184" s="315" t="s">
        <v>2221</v>
      </c>
      <c r="F184" s="316" t="s">
        <v>2222</v>
      </c>
      <c r="G184" s="317" t="s">
        <v>158</v>
      </c>
      <c r="H184" s="318">
        <v>643</v>
      </c>
      <c r="I184" s="79"/>
      <c r="J184" s="319">
        <f>ROUND(I184*H184,2)</f>
        <v>0</v>
      </c>
      <c r="K184" s="316" t="s">
        <v>1</v>
      </c>
      <c r="L184" s="223"/>
      <c r="M184" s="320" t="s">
        <v>1</v>
      </c>
      <c r="N184" s="321" t="s">
        <v>42</v>
      </c>
      <c r="O184" s="322">
        <v>0</v>
      </c>
      <c r="P184" s="322">
        <f>O184*H184</f>
        <v>0</v>
      </c>
      <c r="Q184" s="322">
        <v>0</v>
      </c>
      <c r="R184" s="322">
        <f>Q184*H184</f>
        <v>0</v>
      </c>
      <c r="S184" s="322">
        <v>0</v>
      </c>
      <c r="T184" s="323">
        <f>S184*H184</f>
        <v>0</v>
      </c>
      <c r="U184" s="222"/>
      <c r="V184" s="222"/>
      <c r="W184" s="222"/>
      <c r="X184" s="222"/>
      <c r="Y184" s="222"/>
      <c r="Z184" s="222"/>
      <c r="AA184" s="222"/>
      <c r="AB184" s="222"/>
      <c r="AC184" s="222"/>
      <c r="AD184" s="222"/>
      <c r="AE184" s="222"/>
      <c r="AR184" s="324" t="s">
        <v>212</v>
      </c>
      <c r="AT184" s="324" t="s">
        <v>148</v>
      </c>
      <c r="AU184" s="324" t="s">
        <v>83</v>
      </c>
      <c r="AY184" s="214" t="s">
        <v>146</v>
      </c>
      <c r="BE184" s="325">
        <f>IF(N184="základní",J184,0)</f>
        <v>0</v>
      </c>
      <c r="BF184" s="325">
        <f>IF(N184="snížená",J184,0)</f>
        <v>0</v>
      </c>
      <c r="BG184" s="325">
        <f>IF(N184="zákl. přenesená",J184,0)</f>
        <v>0</v>
      </c>
      <c r="BH184" s="325">
        <f>IF(N184="sníž. přenesená",J184,0)</f>
        <v>0</v>
      </c>
      <c r="BI184" s="325">
        <f>IF(N184="nulová",J184,0)</f>
        <v>0</v>
      </c>
      <c r="BJ184" s="214" t="s">
        <v>81</v>
      </c>
      <c r="BK184" s="325">
        <f>ROUND(I184*H184,2)</f>
        <v>0</v>
      </c>
      <c r="BL184" s="214" t="s">
        <v>212</v>
      </c>
      <c r="BM184" s="324" t="s">
        <v>2223</v>
      </c>
    </row>
    <row r="185" spans="2:51" s="335" customFormat="1" ht="12">
      <c r="B185" s="336"/>
      <c r="D185" s="328" t="s">
        <v>155</v>
      </c>
      <c r="E185" s="337" t="s">
        <v>1</v>
      </c>
      <c r="F185" s="338" t="s">
        <v>2224</v>
      </c>
      <c r="H185" s="339">
        <v>643</v>
      </c>
      <c r="I185" s="498"/>
      <c r="L185" s="336"/>
      <c r="M185" s="341"/>
      <c r="N185" s="342"/>
      <c r="O185" s="342"/>
      <c r="P185" s="342"/>
      <c r="Q185" s="342"/>
      <c r="R185" s="342"/>
      <c r="S185" s="342"/>
      <c r="T185" s="343"/>
      <c r="AT185" s="337" t="s">
        <v>155</v>
      </c>
      <c r="AU185" s="337" t="s">
        <v>83</v>
      </c>
      <c r="AV185" s="335" t="s">
        <v>83</v>
      </c>
      <c r="AW185" s="335" t="s">
        <v>34</v>
      </c>
      <c r="AX185" s="335" t="s">
        <v>76</v>
      </c>
      <c r="AY185" s="337" t="s">
        <v>146</v>
      </c>
    </row>
    <row r="186" spans="2:51" s="347" customFormat="1" ht="12">
      <c r="B186" s="348"/>
      <c r="D186" s="328" t="s">
        <v>155</v>
      </c>
      <c r="E186" s="349" t="s">
        <v>1</v>
      </c>
      <c r="F186" s="356" t="s">
        <v>157</v>
      </c>
      <c r="H186" s="351">
        <v>643</v>
      </c>
      <c r="I186" s="499"/>
      <c r="L186" s="348"/>
      <c r="M186" s="353"/>
      <c r="N186" s="354"/>
      <c r="O186" s="354"/>
      <c r="P186" s="354"/>
      <c r="Q186" s="354"/>
      <c r="R186" s="354"/>
      <c r="S186" s="354"/>
      <c r="T186" s="355"/>
      <c r="AT186" s="349" t="s">
        <v>155</v>
      </c>
      <c r="AU186" s="349" t="s">
        <v>83</v>
      </c>
      <c r="AV186" s="347" t="s">
        <v>153</v>
      </c>
      <c r="AW186" s="347" t="s">
        <v>34</v>
      </c>
      <c r="AX186" s="347" t="s">
        <v>81</v>
      </c>
      <c r="AY186" s="349" t="s">
        <v>146</v>
      </c>
    </row>
    <row r="187" spans="1:65" s="225" customFormat="1" ht="37.9" customHeight="1">
      <c r="A187" s="222"/>
      <c r="B187" s="223"/>
      <c r="C187" s="314" t="s">
        <v>383</v>
      </c>
      <c r="D187" s="314" t="s">
        <v>148</v>
      </c>
      <c r="E187" s="315" t="s">
        <v>2225</v>
      </c>
      <c r="F187" s="316" t="s">
        <v>2226</v>
      </c>
      <c r="G187" s="317" t="s">
        <v>158</v>
      </c>
      <c r="H187" s="318">
        <v>58</v>
      </c>
      <c r="I187" s="79"/>
      <c r="J187" s="319">
        <f>ROUND(I187*H187,2)</f>
        <v>0</v>
      </c>
      <c r="K187" s="316" t="s">
        <v>1</v>
      </c>
      <c r="L187" s="223"/>
      <c r="M187" s="320" t="s">
        <v>1</v>
      </c>
      <c r="N187" s="321" t="s">
        <v>42</v>
      </c>
      <c r="O187" s="322">
        <v>0</v>
      </c>
      <c r="P187" s="322">
        <f>O187*H187</f>
        <v>0</v>
      </c>
      <c r="Q187" s="322">
        <v>0</v>
      </c>
      <c r="R187" s="322">
        <f>Q187*H187</f>
        <v>0</v>
      </c>
      <c r="S187" s="322">
        <v>0</v>
      </c>
      <c r="T187" s="323">
        <f>S187*H187</f>
        <v>0</v>
      </c>
      <c r="U187" s="222"/>
      <c r="V187" s="222"/>
      <c r="W187" s="222"/>
      <c r="X187" s="222"/>
      <c r="Y187" s="222"/>
      <c r="Z187" s="222"/>
      <c r="AA187" s="222"/>
      <c r="AB187" s="222"/>
      <c r="AC187" s="222"/>
      <c r="AD187" s="222"/>
      <c r="AE187" s="222"/>
      <c r="AR187" s="324" t="s">
        <v>212</v>
      </c>
      <c r="AT187" s="324" t="s">
        <v>148</v>
      </c>
      <c r="AU187" s="324" t="s">
        <v>83</v>
      </c>
      <c r="AY187" s="214" t="s">
        <v>146</v>
      </c>
      <c r="BE187" s="325">
        <f>IF(N187="základní",J187,0)</f>
        <v>0</v>
      </c>
      <c r="BF187" s="325">
        <f>IF(N187="snížená",J187,0)</f>
        <v>0</v>
      </c>
      <c r="BG187" s="325">
        <f>IF(N187="zákl. přenesená",J187,0)</f>
        <v>0</v>
      </c>
      <c r="BH187" s="325">
        <f>IF(N187="sníž. přenesená",J187,0)</f>
        <v>0</v>
      </c>
      <c r="BI187" s="325">
        <f>IF(N187="nulová",J187,0)</f>
        <v>0</v>
      </c>
      <c r="BJ187" s="214" t="s">
        <v>81</v>
      </c>
      <c r="BK187" s="325">
        <f>ROUND(I187*H187,2)</f>
        <v>0</v>
      </c>
      <c r="BL187" s="214" t="s">
        <v>212</v>
      </c>
      <c r="BM187" s="324" t="s">
        <v>2227</v>
      </c>
    </row>
    <row r="188" spans="2:51" s="335" customFormat="1" ht="12">
      <c r="B188" s="336"/>
      <c r="D188" s="328" t="s">
        <v>155</v>
      </c>
      <c r="E188" s="337" t="s">
        <v>1</v>
      </c>
      <c r="F188" s="338" t="s">
        <v>2228</v>
      </c>
      <c r="H188" s="339">
        <v>58</v>
      </c>
      <c r="I188" s="498"/>
      <c r="L188" s="336"/>
      <c r="M188" s="341"/>
      <c r="N188" s="342"/>
      <c r="O188" s="342"/>
      <c r="P188" s="342"/>
      <c r="Q188" s="342"/>
      <c r="R188" s="342"/>
      <c r="S188" s="342"/>
      <c r="T188" s="343"/>
      <c r="AT188" s="337" t="s">
        <v>155</v>
      </c>
      <c r="AU188" s="337" t="s">
        <v>83</v>
      </c>
      <c r="AV188" s="335" t="s">
        <v>83</v>
      </c>
      <c r="AW188" s="335" t="s">
        <v>34</v>
      </c>
      <c r="AX188" s="335" t="s">
        <v>76</v>
      </c>
      <c r="AY188" s="337" t="s">
        <v>146</v>
      </c>
    </row>
    <row r="189" spans="2:51" s="347" customFormat="1" ht="12">
      <c r="B189" s="348"/>
      <c r="D189" s="328" t="s">
        <v>155</v>
      </c>
      <c r="E189" s="349" t="s">
        <v>1</v>
      </c>
      <c r="F189" s="356" t="s">
        <v>157</v>
      </c>
      <c r="H189" s="351">
        <v>58</v>
      </c>
      <c r="I189" s="499"/>
      <c r="L189" s="348"/>
      <c r="M189" s="353"/>
      <c r="N189" s="354"/>
      <c r="O189" s="354"/>
      <c r="P189" s="354"/>
      <c r="Q189" s="354"/>
      <c r="R189" s="354"/>
      <c r="S189" s="354"/>
      <c r="T189" s="355"/>
      <c r="AT189" s="349" t="s">
        <v>155</v>
      </c>
      <c r="AU189" s="349" t="s">
        <v>83</v>
      </c>
      <c r="AV189" s="347" t="s">
        <v>153</v>
      </c>
      <c r="AW189" s="347" t="s">
        <v>34</v>
      </c>
      <c r="AX189" s="347" t="s">
        <v>81</v>
      </c>
      <c r="AY189" s="349" t="s">
        <v>146</v>
      </c>
    </row>
    <row r="190" spans="1:65" s="225" customFormat="1" ht="24.2" customHeight="1">
      <c r="A190" s="222"/>
      <c r="B190" s="223"/>
      <c r="C190" s="314" t="s">
        <v>387</v>
      </c>
      <c r="D190" s="314" t="s">
        <v>148</v>
      </c>
      <c r="E190" s="315" t="s">
        <v>2229</v>
      </c>
      <c r="F190" s="316" t="s">
        <v>3839</v>
      </c>
      <c r="G190" s="317" t="s">
        <v>194</v>
      </c>
      <c r="H190" s="318">
        <v>0.632</v>
      </c>
      <c r="I190" s="79"/>
      <c r="J190" s="319">
        <f>ROUND(I190*H190,2)</f>
        <v>0</v>
      </c>
      <c r="K190" s="316" t="s">
        <v>1</v>
      </c>
      <c r="L190" s="223"/>
      <c r="M190" s="320" t="s">
        <v>1</v>
      </c>
      <c r="N190" s="321" t="s">
        <v>42</v>
      </c>
      <c r="O190" s="322">
        <v>0</v>
      </c>
      <c r="P190" s="322">
        <f>O190*H190</f>
        <v>0</v>
      </c>
      <c r="Q190" s="322">
        <v>0</v>
      </c>
      <c r="R190" s="322">
        <f>Q190*H190</f>
        <v>0</v>
      </c>
      <c r="S190" s="322">
        <v>0</v>
      </c>
      <c r="T190" s="323">
        <f>S190*H190</f>
        <v>0</v>
      </c>
      <c r="U190" s="222"/>
      <c r="V190" s="222"/>
      <c r="W190" s="222"/>
      <c r="X190" s="222"/>
      <c r="Y190" s="222"/>
      <c r="Z190" s="222"/>
      <c r="AA190" s="222"/>
      <c r="AB190" s="222"/>
      <c r="AC190" s="222"/>
      <c r="AD190" s="222"/>
      <c r="AE190" s="222"/>
      <c r="AR190" s="324" t="s">
        <v>212</v>
      </c>
      <c r="AT190" s="324" t="s">
        <v>148</v>
      </c>
      <c r="AU190" s="324" t="s">
        <v>83</v>
      </c>
      <c r="AY190" s="214" t="s">
        <v>146</v>
      </c>
      <c r="BE190" s="325">
        <f>IF(N190="základní",J190,0)</f>
        <v>0</v>
      </c>
      <c r="BF190" s="325">
        <f>IF(N190="snížená",J190,0)</f>
        <v>0</v>
      </c>
      <c r="BG190" s="325">
        <f>IF(N190="zákl. přenesená",J190,0)</f>
        <v>0</v>
      </c>
      <c r="BH190" s="325">
        <f>IF(N190="sníž. přenesená",J190,0)</f>
        <v>0</v>
      </c>
      <c r="BI190" s="325">
        <f>IF(N190="nulová",J190,0)</f>
        <v>0</v>
      </c>
      <c r="BJ190" s="214" t="s">
        <v>81</v>
      </c>
      <c r="BK190" s="325">
        <f>ROUND(I190*H190,2)</f>
        <v>0</v>
      </c>
      <c r="BL190" s="214" t="s">
        <v>212</v>
      </c>
      <c r="BM190" s="324" t="s">
        <v>2230</v>
      </c>
    </row>
    <row r="191" spans="2:63" s="297" customFormat="1" ht="22.9" customHeight="1">
      <c r="B191" s="298"/>
      <c r="D191" s="299" t="s">
        <v>75</v>
      </c>
      <c r="E191" s="660" t="s">
        <v>2231</v>
      </c>
      <c r="F191" s="660" t="s">
        <v>2232</v>
      </c>
      <c r="I191" s="501"/>
      <c r="J191" s="311">
        <f>SUM(J192:J211)</f>
        <v>0</v>
      </c>
      <c r="L191" s="298"/>
      <c r="M191" s="303"/>
      <c r="N191" s="304"/>
      <c r="O191" s="304"/>
      <c r="P191" s="305">
        <f>SUM(P192:P211)</f>
        <v>0</v>
      </c>
      <c r="Q191" s="304"/>
      <c r="R191" s="305">
        <f>SUM(R192:R211)</f>
        <v>0</v>
      </c>
      <c r="S191" s="304"/>
      <c r="T191" s="313">
        <f>SUM(T192:T211)</f>
        <v>0</v>
      </c>
      <c r="AR191" s="299" t="s">
        <v>83</v>
      </c>
      <c r="AT191" s="308" t="s">
        <v>75</v>
      </c>
      <c r="AU191" s="308" t="s">
        <v>81</v>
      </c>
      <c r="AY191" s="299" t="s">
        <v>146</v>
      </c>
      <c r="BK191" s="309">
        <f>SUM(BK192:BK211)</f>
        <v>0</v>
      </c>
    </row>
    <row r="192" spans="1:65" s="225" customFormat="1" ht="33" customHeight="1">
      <c r="A192" s="222"/>
      <c r="B192" s="223"/>
      <c r="C192" s="314" t="s">
        <v>389</v>
      </c>
      <c r="D192" s="314" t="s">
        <v>148</v>
      </c>
      <c r="E192" s="315" t="s">
        <v>2233</v>
      </c>
      <c r="F192" s="316" t="s">
        <v>2234</v>
      </c>
      <c r="G192" s="317" t="s">
        <v>301</v>
      </c>
      <c r="H192" s="318">
        <v>20</v>
      </c>
      <c r="I192" s="79"/>
      <c r="J192" s="319">
        <f aca="true" t="shared" si="10" ref="J192:J203">ROUND(I192*H192,2)</f>
        <v>0</v>
      </c>
      <c r="K192" s="316" t="s">
        <v>1</v>
      </c>
      <c r="L192" s="223"/>
      <c r="M192" s="320" t="s">
        <v>1</v>
      </c>
      <c r="N192" s="321" t="s">
        <v>42</v>
      </c>
      <c r="O192" s="322">
        <v>0</v>
      </c>
      <c r="P192" s="322">
        <f aca="true" t="shared" si="11" ref="P192:P203">O192*H192</f>
        <v>0</v>
      </c>
      <c r="Q192" s="322">
        <v>0</v>
      </c>
      <c r="R192" s="322">
        <f aca="true" t="shared" si="12" ref="R192:R203">Q192*H192</f>
        <v>0</v>
      </c>
      <c r="S192" s="322">
        <v>0</v>
      </c>
      <c r="T192" s="323">
        <f aca="true" t="shared" si="13" ref="T192:T203">S192*H192</f>
        <v>0</v>
      </c>
      <c r="U192" s="222"/>
      <c r="V192" s="222"/>
      <c r="W192" s="222"/>
      <c r="X192" s="222"/>
      <c r="Y192" s="222"/>
      <c r="Z192" s="222"/>
      <c r="AA192" s="222"/>
      <c r="AB192" s="222"/>
      <c r="AC192" s="222"/>
      <c r="AD192" s="222"/>
      <c r="AE192" s="222"/>
      <c r="AR192" s="324" t="s">
        <v>212</v>
      </c>
      <c r="AT192" s="324" t="s">
        <v>148</v>
      </c>
      <c r="AU192" s="324" t="s">
        <v>83</v>
      </c>
      <c r="AY192" s="214" t="s">
        <v>146</v>
      </c>
      <c r="BE192" s="325">
        <f aca="true" t="shared" si="14" ref="BE192:BE203">IF(N192="základní",J192,0)</f>
        <v>0</v>
      </c>
      <c r="BF192" s="325">
        <f aca="true" t="shared" si="15" ref="BF192:BF203">IF(N192="snížená",J192,0)</f>
        <v>0</v>
      </c>
      <c r="BG192" s="325">
        <f aca="true" t="shared" si="16" ref="BG192:BG203">IF(N192="zákl. přenesená",J192,0)</f>
        <v>0</v>
      </c>
      <c r="BH192" s="325">
        <f aca="true" t="shared" si="17" ref="BH192:BH203">IF(N192="sníž. přenesená",J192,0)</f>
        <v>0</v>
      </c>
      <c r="BI192" s="325">
        <f aca="true" t="shared" si="18" ref="BI192:BI203">IF(N192="nulová",J192,0)</f>
        <v>0</v>
      </c>
      <c r="BJ192" s="214" t="s">
        <v>81</v>
      </c>
      <c r="BK192" s="325">
        <f aca="true" t="shared" si="19" ref="BK192:BK203">ROUND(I192*H192,2)</f>
        <v>0</v>
      </c>
      <c r="BL192" s="214" t="s">
        <v>212</v>
      </c>
      <c r="BM192" s="324" t="s">
        <v>2235</v>
      </c>
    </row>
    <row r="193" spans="1:65" s="225" customFormat="1" ht="24.2" customHeight="1">
      <c r="A193" s="222"/>
      <c r="B193" s="223"/>
      <c r="C193" s="314" t="s">
        <v>390</v>
      </c>
      <c r="D193" s="314" t="s">
        <v>148</v>
      </c>
      <c r="E193" s="315" t="s">
        <v>2236</v>
      </c>
      <c r="F193" s="316" t="s">
        <v>2237</v>
      </c>
      <c r="G193" s="317" t="s">
        <v>301</v>
      </c>
      <c r="H193" s="318">
        <v>34</v>
      </c>
      <c r="I193" s="79"/>
      <c r="J193" s="319">
        <f t="shared" si="10"/>
        <v>0</v>
      </c>
      <c r="K193" s="316" t="s">
        <v>1</v>
      </c>
      <c r="L193" s="223"/>
      <c r="M193" s="320" t="s">
        <v>1</v>
      </c>
      <c r="N193" s="321" t="s">
        <v>42</v>
      </c>
      <c r="O193" s="322">
        <v>0</v>
      </c>
      <c r="P193" s="322">
        <f t="shared" si="11"/>
        <v>0</v>
      </c>
      <c r="Q193" s="322">
        <v>0</v>
      </c>
      <c r="R193" s="322">
        <f t="shared" si="12"/>
        <v>0</v>
      </c>
      <c r="S193" s="322">
        <v>0</v>
      </c>
      <c r="T193" s="323">
        <f t="shared" si="13"/>
        <v>0</v>
      </c>
      <c r="U193" s="222"/>
      <c r="V193" s="222"/>
      <c r="W193" s="222"/>
      <c r="X193" s="222"/>
      <c r="Y193" s="222"/>
      <c r="Z193" s="222"/>
      <c r="AA193" s="222"/>
      <c r="AB193" s="222"/>
      <c r="AC193" s="222"/>
      <c r="AD193" s="222"/>
      <c r="AE193" s="222"/>
      <c r="AR193" s="324" t="s">
        <v>212</v>
      </c>
      <c r="AT193" s="324" t="s">
        <v>148</v>
      </c>
      <c r="AU193" s="324" t="s">
        <v>83</v>
      </c>
      <c r="AY193" s="214" t="s">
        <v>146</v>
      </c>
      <c r="BE193" s="325">
        <f t="shared" si="14"/>
        <v>0</v>
      </c>
      <c r="BF193" s="325">
        <f t="shared" si="15"/>
        <v>0</v>
      </c>
      <c r="BG193" s="325">
        <f t="shared" si="16"/>
        <v>0</v>
      </c>
      <c r="BH193" s="325">
        <f t="shared" si="17"/>
        <v>0</v>
      </c>
      <c r="BI193" s="325">
        <f t="shared" si="18"/>
        <v>0</v>
      </c>
      <c r="BJ193" s="214" t="s">
        <v>81</v>
      </c>
      <c r="BK193" s="325">
        <f t="shared" si="19"/>
        <v>0</v>
      </c>
      <c r="BL193" s="214" t="s">
        <v>212</v>
      </c>
      <c r="BM193" s="324" t="s">
        <v>2238</v>
      </c>
    </row>
    <row r="194" spans="1:65" s="225" customFormat="1" ht="21.75" customHeight="1">
      <c r="A194" s="222"/>
      <c r="B194" s="223"/>
      <c r="C194" s="314" t="s">
        <v>395</v>
      </c>
      <c r="D194" s="314" t="s">
        <v>148</v>
      </c>
      <c r="E194" s="315" t="s">
        <v>2239</v>
      </c>
      <c r="F194" s="316" t="s">
        <v>2240</v>
      </c>
      <c r="G194" s="317" t="s">
        <v>301</v>
      </c>
      <c r="H194" s="318">
        <v>4</v>
      </c>
      <c r="I194" s="79"/>
      <c r="J194" s="319">
        <f t="shared" si="10"/>
        <v>0</v>
      </c>
      <c r="K194" s="316" t="s">
        <v>1</v>
      </c>
      <c r="L194" s="223"/>
      <c r="M194" s="320" t="s">
        <v>1</v>
      </c>
      <c r="N194" s="321" t="s">
        <v>42</v>
      </c>
      <c r="O194" s="322">
        <v>0</v>
      </c>
      <c r="P194" s="322">
        <f t="shared" si="11"/>
        <v>0</v>
      </c>
      <c r="Q194" s="322">
        <v>0</v>
      </c>
      <c r="R194" s="322">
        <f t="shared" si="12"/>
        <v>0</v>
      </c>
      <c r="S194" s="322">
        <v>0</v>
      </c>
      <c r="T194" s="323">
        <f t="shared" si="13"/>
        <v>0</v>
      </c>
      <c r="U194" s="222"/>
      <c r="V194" s="222"/>
      <c r="W194" s="222"/>
      <c r="X194" s="222"/>
      <c r="Y194" s="222"/>
      <c r="Z194" s="222"/>
      <c r="AA194" s="222"/>
      <c r="AB194" s="222"/>
      <c r="AC194" s="222"/>
      <c r="AD194" s="222"/>
      <c r="AE194" s="222"/>
      <c r="AR194" s="324" t="s">
        <v>212</v>
      </c>
      <c r="AT194" s="324" t="s">
        <v>148</v>
      </c>
      <c r="AU194" s="324" t="s">
        <v>83</v>
      </c>
      <c r="AY194" s="214" t="s">
        <v>146</v>
      </c>
      <c r="BE194" s="325">
        <f t="shared" si="14"/>
        <v>0</v>
      </c>
      <c r="BF194" s="325">
        <f t="shared" si="15"/>
        <v>0</v>
      </c>
      <c r="BG194" s="325">
        <f t="shared" si="16"/>
        <v>0</v>
      </c>
      <c r="BH194" s="325">
        <f t="shared" si="17"/>
        <v>0</v>
      </c>
      <c r="BI194" s="325">
        <f t="shared" si="18"/>
        <v>0</v>
      </c>
      <c r="BJ194" s="214" t="s">
        <v>81</v>
      </c>
      <c r="BK194" s="325">
        <f t="shared" si="19"/>
        <v>0</v>
      </c>
      <c r="BL194" s="214" t="s">
        <v>212</v>
      </c>
      <c r="BM194" s="324" t="s">
        <v>2241</v>
      </c>
    </row>
    <row r="195" spans="1:65" s="225" customFormat="1" ht="21.75" customHeight="1">
      <c r="A195" s="222"/>
      <c r="B195" s="223"/>
      <c r="C195" s="314" t="s">
        <v>397</v>
      </c>
      <c r="D195" s="314" t="s">
        <v>148</v>
      </c>
      <c r="E195" s="315" t="s">
        <v>2242</v>
      </c>
      <c r="F195" s="316" t="s">
        <v>2243</v>
      </c>
      <c r="G195" s="317" t="s">
        <v>301</v>
      </c>
      <c r="H195" s="318">
        <v>2</v>
      </c>
      <c r="I195" s="79"/>
      <c r="J195" s="319">
        <f t="shared" si="10"/>
        <v>0</v>
      </c>
      <c r="K195" s="316" t="s">
        <v>1</v>
      </c>
      <c r="L195" s="223"/>
      <c r="M195" s="320" t="s">
        <v>1</v>
      </c>
      <c r="N195" s="321" t="s">
        <v>42</v>
      </c>
      <c r="O195" s="322">
        <v>0</v>
      </c>
      <c r="P195" s="322">
        <f t="shared" si="11"/>
        <v>0</v>
      </c>
      <c r="Q195" s="322">
        <v>0</v>
      </c>
      <c r="R195" s="322">
        <f t="shared" si="12"/>
        <v>0</v>
      </c>
      <c r="S195" s="322">
        <v>0</v>
      </c>
      <c r="T195" s="323">
        <f t="shared" si="13"/>
        <v>0</v>
      </c>
      <c r="U195" s="222"/>
      <c r="V195" s="222"/>
      <c r="W195" s="222"/>
      <c r="X195" s="222"/>
      <c r="Y195" s="222"/>
      <c r="Z195" s="222"/>
      <c r="AA195" s="222"/>
      <c r="AB195" s="222"/>
      <c r="AC195" s="222"/>
      <c r="AD195" s="222"/>
      <c r="AE195" s="222"/>
      <c r="AR195" s="324" t="s">
        <v>212</v>
      </c>
      <c r="AT195" s="324" t="s">
        <v>148</v>
      </c>
      <c r="AU195" s="324" t="s">
        <v>83</v>
      </c>
      <c r="AY195" s="214" t="s">
        <v>146</v>
      </c>
      <c r="BE195" s="325">
        <f t="shared" si="14"/>
        <v>0</v>
      </c>
      <c r="BF195" s="325">
        <f t="shared" si="15"/>
        <v>0</v>
      </c>
      <c r="BG195" s="325">
        <f t="shared" si="16"/>
        <v>0</v>
      </c>
      <c r="BH195" s="325">
        <f t="shared" si="17"/>
        <v>0</v>
      </c>
      <c r="BI195" s="325">
        <f t="shared" si="18"/>
        <v>0</v>
      </c>
      <c r="BJ195" s="214" t="s">
        <v>81</v>
      </c>
      <c r="BK195" s="325">
        <f t="shared" si="19"/>
        <v>0</v>
      </c>
      <c r="BL195" s="214" t="s">
        <v>212</v>
      </c>
      <c r="BM195" s="324" t="s">
        <v>2244</v>
      </c>
    </row>
    <row r="196" spans="1:65" s="225" customFormat="1" ht="24.2" customHeight="1">
      <c r="A196" s="222"/>
      <c r="B196" s="223"/>
      <c r="C196" s="314" t="s">
        <v>400</v>
      </c>
      <c r="D196" s="314" t="s">
        <v>148</v>
      </c>
      <c r="E196" s="315" t="s">
        <v>2245</v>
      </c>
      <c r="F196" s="316" t="s">
        <v>2246</v>
      </c>
      <c r="G196" s="317" t="s">
        <v>301</v>
      </c>
      <c r="H196" s="318">
        <v>4</v>
      </c>
      <c r="I196" s="79"/>
      <c r="J196" s="319">
        <f t="shared" si="10"/>
        <v>0</v>
      </c>
      <c r="K196" s="316" t="s">
        <v>1</v>
      </c>
      <c r="L196" s="223"/>
      <c r="M196" s="320" t="s">
        <v>1</v>
      </c>
      <c r="N196" s="321" t="s">
        <v>42</v>
      </c>
      <c r="O196" s="322">
        <v>0</v>
      </c>
      <c r="P196" s="322">
        <f t="shared" si="11"/>
        <v>0</v>
      </c>
      <c r="Q196" s="322">
        <v>0</v>
      </c>
      <c r="R196" s="322">
        <f t="shared" si="12"/>
        <v>0</v>
      </c>
      <c r="S196" s="322">
        <v>0</v>
      </c>
      <c r="T196" s="323">
        <f t="shared" si="13"/>
        <v>0</v>
      </c>
      <c r="U196" s="222"/>
      <c r="V196" s="222"/>
      <c r="W196" s="222"/>
      <c r="X196" s="222"/>
      <c r="Y196" s="222"/>
      <c r="Z196" s="222"/>
      <c r="AA196" s="222"/>
      <c r="AB196" s="222"/>
      <c r="AC196" s="222"/>
      <c r="AD196" s="222"/>
      <c r="AE196" s="222"/>
      <c r="AR196" s="324" t="s">
        <v>212</v>
      </c>
      <c r="AT196" s="324" t="s">
        <v>148</v>
      </c>
      <c r="AU196" s="324" t="s">
        <v>83</v>
      </c>
      <c r="AY196" s="214" t="s">
        <v>146</v>
      </c>
      <c r="BE196" s="325">
        <f t="shared" si="14"/>
        <v>0</v>
      </c>
      <c r="BF196" s="325">
        <f t="shared" si="15"/>
        <v>0</v>
      </c>
      <c r="BG196" s="325">
        <f t="shared" si="16"/>
        <v>0</v>
      </c>
      <c r="BH196" s="325">
        <f t="shared" si="17"/>
        <v>0</v>
      </c>
      <c r="BI196" s="325">
        <f t="shared" si="18"/>
        <v>0</v>
      </c>
      <c r="BJ196" s="214" t="s">
        <v>81</v>
      </c>
      <c r="BK196" s="325">
        <f t="shared" si="19"/>
        <v>0</v>
      </c>
      <c r="BL196" s="214" t="s">
        <v>212</v>
      </c>
      <c r="BM196" s="324" t="s">
        <v>2247</v>
      </c>
    </row>
    <row r="197" spans="1:65" s="225" customFormat="1" ht="24.2" customHeight="1">
      <c r="A197" s="222"/>
      <c r="B197" s="223"/>
      <c r="C197" s="314" t="s">
        <v>404</v>
      </c>
      <c r="D197" s="314" t="s">
        <v>148</v>
      </c>
      <c r="E197" s="315" t="s">
        <v>2248</v>
      </c>
      <c r="F197" s="316" t="s">
        <v>2249</v>
      </c>
      <c r="G197" s="317" t="s">
        <v>301</v>
      </c>
      <c r="H197" s="318">
        <v>29</v>
      </c>
      <c r="I197" s="79"/>
      <c r="J197" s="319">
        <f t="shared" si="10"/>
        <v>0</v>
      </c>
      <c r="K197" s="316" t="s">
        <v>1</v>
      </c>
      <c r="L197" s="223"/>
      <c r="M197" s="320" t="s">
        <v>1</v>
      </c>
      <c r="N197" s="321" t="s">
        <v>42</v>
      </c>
      <c r="O197" s="322">
        <v>0</v>
      </c>
      <c r="P197" s="322">
        <f t="shared" si="11"/>
        <v>0</v>
      </c>
      <c r="Q197" s="322">
        <v>0</v>
      </c>
      <c r="R197" s="322">
        <f t="shared" si="12"/>
        <v>0</v>
      </c>
      <c r="S197" s="322">
        <v>0</v>
      </c>
      <c r="T197" s="323">
        <f t="shared" si="13"/>
        <v>0</v>
      </c>
      <c r="U197" s="222"/>
      <c r="V197" s="222"/>
      <c r="W197" s="222"/>
      <c r="X197" s="222"/>
      <c r="Y197" s="222"/>
      <c r="Z197" s="222"/>
      <c r="AA197" s="222"/>
      <c r="AB197" s="222"/>
      <c r="AC197" s="222"/>
      <c r="AD197" s="222"/>
      <c r="AE197" s="222"/>
      <c r="AR197" s="324" t="s">
        <v>212</v>
      </c>
      <c r="AT197" s="324" t="s">
        <v>148</v>
      </c>
      <c r="AU197" s="324" t="s">
        <v>83</v>
      </c>
      <c r="AY197" s="214" t="s">
        <v>146</v>
      </c>
      <c r="BE197" s="325">
        <f t="shared" si="14"/>
        <v>0</v>
      </c>
      <c r="BF197" s="325">
        <f t="shared" si="15"/>
        <v>0</v>
      </c>
      <c r="BG197" s="325">
        <f t="shared" si="16"/>
        <v>0</v>
      </c>
      <c r="BH197" s="325">
        <f t="shared" si="17"/>
        <v>0</v>
      </c>
      <c r="BI197" s="325">
        <f t="shared" si="18"/>
        <v>0</v>
      </c>
      <c r="BJ197" s="214" t="s">
        <v>81</v>
      </c>
      <c r="BK197" s="325">
        <f t="shared" si="19"/>
        <v>0</v>
      </c>
      <c r="BL197" s="214" t="s">
        <v>212</v>
      </c>
      <c r="BM197" s="324" t="s">
        <v>2250</v>
      </c>
    </row>
    <row r="198" spans="1:65" s="225" customFormat="1" ht="24.2" customHeight="1">
      <c r="A198" s="222"/>
      <c r="B198" s="223"/>
      <c r="C198" s="314" t="s">
        <v>409</v>
      </c>
      <c r="D198" s="314" t="s">
        <v>148</v>
      </c>
      <c r="E198" s="315" t="s">
        <v>2251</v>
      </c>
      <c r="F198" s="316" t="s">
        <v>2252</v>
      </c>
      <c r="G198" s="317" t="s">
        <v>301</v>
      </c>
      <c r="H198" s="318">
        <v>5</v>
      </c>
      <c r="I198" s="79"/>
      <c r="J198" s="319">
        <f t="shared" si="10"/>
        <v>0</v>
      </c>
      <c r="K198" s="316" t="s">
        <v>1</v>
      </c>
      <c r="L198" s="223"/>
      <c r="M198" s="320" t="s">
        <v>1</v>
      </c>
      <c r="N198" s="321" t="s">
        <v>42</v>
      </c>
      <c r="O198" s="322">
        <v>0</v>
      </c>
      <c r="P198" s="322">
        <f t="shared" si="11"/>
        <v>0</v>
      </c>
      <c r="Q198" s="322">
        <v>0</v>
      </c>
      <c r="R198" s="322">
        <f t="shared" si="12"/>
        <v>0</v>
      </c>
      <c r="S198" s="322">
        <v>0</v>
      </c>
      <c r="T198" s="323">
        <f t="shared" si="13"/>
        <v>0</v>
      </c>
      <c r="U198" s="222"/>
      <c r="V198" s="222"/>
      <c r="W198" s="222"/>
      <c r="X198" s="222"/>
      <c r="Y198" s="222"/>
      <c r="Z198" s="222"/>
      <c r="AA198" s="222"/>
      <c r="AB198" s="222"/>
      <c r="AC198" s="222"/>
      <c r="AD198" s="222"/>
      <c r="AE198" s="222"/>
      <c r="AR198" s="324" t="s">
        <v>212</v>
      </c>
      <c r="AT198" s="324" t="s">
        <v>148</v>
      </c>
      <c r="AU198" s="324" t="s">
        <v>83</v>
      </c>
      <c r="AY198" s="214" t="s">
        <v>146</v>
      </c>
      <c r="BE198" s="325">
        <f t="shared" si="14"/>
        <v>0</v>
      </c>
      <c r="BF198" s="325">
        <f t="shared" si="15"/>
        <v>0</v>
      </c>
      <c r="BG198" s="325">
        <f t="shared" si="16"/>
        <v>0</v>
      </c>
      <c r="BH198" s="325">
        <f t="shared" si="17"/>
        <v>0</v>
      </c>
      <c r="BI198" s="325">
        <f t="shared" si="18"/>
        <v>0</v>
      </c>
      <c r="BJ198" s="214" t="s">
        <v>81</v>
      </c>
      <c r="BK198" s="325">
        <f t="shared" si="19"/>
        <v>0</v>
      </c>
      <c r="BL198" s="214" t="s">
        <v>212</v>
      </c>
      <c r="BM198" s="324" t="s">
        <v>2253</v>
      </c>
    </row>
    <row r="199" spans="1:65" s="225" customFormat="1" ht="24.2" customHeight="1">
      <c r="A199" s="222"/>
      <c r="B199" s="223"/>
      <c r="C199" s="314" t="s">
        <v>413</v>
      </c>
      <c r="D199" s="314" t="s">
        <v>148</v>
      </c>
      <c r="E199" s="315" t="s">
        <v>2254</v>
      </c>
      <c r="F199" s="316" t="s">
        <v>2255</v>
      </c>
      <c r="G199" s="317" t="s">
        <v>301</v>
      </c>
      <c r="H199" s="318">
        <v>20</v>
      </c>
      <c r="I199" s="79"/>
      <c r="J199" s="319">
        <f t="shared" si="10"/>
        <v>0</v>
      </c>
      <c r="K199" s="316" t="s">
        <v>1</v>
      </c>
      <c r="L199" s="223"/>
      <c r="M199" s="320" t="s">
        <v>1</v>
      </c>
      <c r="N199" s="321" t="s">
        <v>42</v>
      </c>
      <c r="O199" s="322">
        <v>0</v>
      </c>
      <c r="P199" s="322">
        <f t="shared" si="11"/>
        <v>0</v>
      </c>
      <c r="Q199" s="322">
        <v>0</v>
      </c>
      <c r="R199" s="322">
        <f t="shared" si="12"/>
        <v>0</v>
      </c>
      <c r="S199" s="322">
        <v>0</v>
      </c>
      <c r="T199" s="323">
        <f t="shared" si="13"/>
        <v>0</v>
      </c>
      <c r="U199" s="222"/>
      <c r="V199" s="222"/>
      <c r="W199" s="222"/>
      <c r="X199" s="222"/>
      <c r="Y199" s="222"/>
      <c r="Z199" s="222"/>
      <c r="AA199" s="222"/>
      <c r="AB199" s="222"/>
      <c r="AC199" s="222"/>
      <c r="AD199" s="222"/>
      <c r="AE199" s="222"/>
      <c r="AR199" s="324" t="s">
        <v>212</v>
      </c>
      <c r="AT199" s="324" t="s">
        <v>148</v>
      </c>
      <c r="AU199" s="324" t="s">
        <v>83</v>
      </c>
      <c r="AY199" s="214" t="s">
        <v>146</v>
      </c>
      <c r="BE199" s="325">
        <f t="shared" si="14"/>
        <v>0</v>
      </c>
      <c r="BF199" s="325">
        <f t="shared" si="15"/>
        <v>0</v>
      </c>
      <c r="BG199" s="325">
        <f t="shared" si="16"/>
        <v>0</v>
      </c>
      <c r="BH199" s="325">
        <f t="shared" si="17"/>
        <v>0</v>
      </c>
      <c r="BI199" s="325">
        <f t="shared" si="18"/>
        <v>0</v>
      </c>
      <c r="BJ199" s="214" t="s">
        <v>81</v>
      </c>
      <c r="BK199" s="325">
        <f t="shared" si="19"/>
        <v>0</v>
      </c>
      <c r="BL199" s="214" t="s">
        <v>212</v>
      </c>
      <c r="BM199" s="324" t="s">
        <v>2256</v>
      </c>
    </row>
    <row r="200" spans="1:65" s="225" customFormat="1" ht="24.2" customHeight="1">
      <c r="A200" s="222"/>
      <c r="B200" s="223"/>
      <c r="C200" s="314" t="s">
        <v>417</v>
      </c>
      <c r="D200" s="314" t="s">
        <v>148</v>
      </c>
      <c r="E200" s="315" t="s">
        <v>2257</v>
      </c>
      <c r="F200" s="316" t="s">
        <v>2258</v>
      </c>
      <c r="G200" s="317" t="s">
        <v>301</v>
      </c>
      <c r="H200" s="318">
        <v>4</v>
      </c>
      <c r="I200" s="79"/>
      <c r="J200" s="319">
        <f t="shared" si="10"/>
        <v>0</v>
      </c>
      <c r="K200" s="316" t="s">
        <v>1</v>
      </c>
      <c r="L200" s="223"/>
      <c r="M200" s="320" t="s">
        <v>1</v>
      </c>
      <c r="N200" s="321" t="s">
        <v>42</v>
      </c>
      <c r="O200" s="322">
        <v>0</v>
      </c>
      <c r="P200" s="322">
        <f t="shared" si="11"/>
        <v>0</v>
      </c>
      <c r="Q200" s="322">
        <v>0</v>
      </c>
      <c r="R200" s="322">
        <f t="shared" si="12"/>
        <v>0</v>
      </c>
      <c r="S200" s="322">
        <v>0</v>
      </c>
      <c r="T200" s="323">
        <f t="shared" si="13"/>
        <v>0</v>
      </c>
      <c r="U200" s="222"/>
      <c r="V200" s="222"/>
      <c r="W200" s="222"/>
      <c r="X200" s="222"/>
      <c r="Y200" s="222"/>
      <c r="Z200" s="222"/>
      <c r="AA200" s="222"/>
      <c r="AB200" s="222"/>
      <c r="AC200" s="222"/>
      <c r="AD200" s="222"/>
      <c r="AE200" s="222"/>
      <c r="AR200" s="324" t="s">
        <v>212</v>
      </c>
      <c r="AT200" s="324" t="s">
        <v>148</v>
      </c>
      <c r="AU200" s="324" t="s">
        <v>83</v>
      </c>
      <c r="AY200" s="214" t="s">
        <v>146</v>
      </c>
      <c r="BE200" s="325">
        <f t="shared" si="14"/>
        <v>0</v>
      </c>
      <c r="BF200" s="325">
        <f t="shared" si="15"/>
        <v>0</v>
      </c>
      <c r="BG200" s="325">
        <f t="shared" si="16"/>
        <v>0</v>
      </c>
      <c r="BH200" s="325">
        <f t="shared" si="17"/>
        <v>0</v>
      </c>
      <c r="BI200" s="325">
        <f t="shared" si="18"/>
        <v>0</v>
      </c>
      <c r="BJ200" s="214" t="s">
        <v>81</v>
      </c>
      <c r="BK200" s="325">
        <f t="shared" si="19"/>
        <v>0</v>
      </c>
      <c r="BL200" s="214" t="s">
        <v>212</v>
      </c>
      <c r="BM200" s="324" t="s">
        <v>2259</v>
      </c>
    </row>
    <row r="201" spans="1:65" s="225" customFormat="1" ht="24.2" customHeight="1">
      <c r="A201" s="222"/>
      <c r="B201" s="223"/>
      <c r="C201" s="314" t="s">
        <v>423</v>
      </c>
      <c r="D201" s="314" t="s">
        <v>148</v>
      </c>
      <c r="E201" s="315" t="s">
        <v>2260</v>
      </c>
      <c r="F201" s="316" t="s">
        <v>2261</v>
      </c>
      <c r="G201" s="317" t="s">
        <v>301</v>
      </c>
      <c r="H201" s="318">
        <v>2</v>
      </c>
      <c r="I201" s="79"/>
      <c r="J201" s="319">
        <f t="shared" si="10"/>
        <v>0</v>
      </c>
      <c r="K201" s="316" t="s">
        <v>1</v>
      </c>
      <c r="L201" s="223"/>
      <c r="M201" s="320" t="s">
        <v>1</v>
      </c>
      <c r="N201" s="321" t="s">
        <v>42</v>
      </c>
      <c r="O201" s="322">
        <v>0</v>
      </c>
      <c r="P201" s="322">
        <f t="shared" si="11"/>
        <v>0</v>
      </c>
      <c r="Q201" s="322">
        <v>0</v>
      </c>
      <c r="R201" s="322">
        <f t="shared" si="12"/>
        <v>0</v>
      </c>
      <c r="S201" s="322">
        <v>0</v>
      </c>
      <c r="T201" s="323">
        <f t="shared" si="13"/>
        <v>0</v>
      </c>
      <c r="U201" s="222"/>
      <c r="V201" s="222"/>
      <c r="W201" s="222"/>
      <c r="X201" s="222"/>
      <c r="Y201" s="222"/>
      <c r="Z201" s="222"/>
      <c r="AA201" s="222"/>
      <c r="AB201" s="222"/>
      <c r="AC201" s="222"/>
      <c r="AD201" s="222"/>
      <c r="AE201" s="222"/>
      <c r="AR201" s="324" t="s">
        <v>212</v>
      </c>
      <c r="AT201" s="324" t="s">
        <v>148</v>
      </c>
      <c r="AU201" s="324" t="s">
        <v>83</v>
      </c>
      <c r="AY201" s="214" t="s">
        <v>146</v>
      </c>
      <c r="BE201" s="325">
        <f t="shared" si="14"/>
        <v>0</v>
      </c>
      <c r="BF201" s="325">
        <f t="shared" si="15"/>
        <v>0</v>
      </c>
      <c r="BG201" s="325">
        <f t="shared" si="16"/>
        <v>0</v>
      </c>
      <c r="BH201" s="325">
        <f t="shared" si="17"/>
        <v>0</v>
      </c>
      <c r="BI201" s="325">
        <f t="shared" si="18"/>
        <v>0</v>
      </c>
      <c r="BJ201" s="214" t="s">
        <v>81</v>
      </c>
      <c r="BK201" s="325">
        <f t="shared" si="19"/>
        <v>0</v>
      </c>
      <c r="BL201" s="214" t="s">
        <v>212</v>
      </c>
      <c r="BM201" s="324" t="s">
        <v>2262</v>
      </c>
    </row>
    <row r="202" spans="1:65" s="225" customFormat="1" ht="21.75" customHeight="1">
      <c r="A202" s="222"/>
      <c r="B202" s="223"/>
      <c r="C202" s="314" t="s">
        <v>429</v>
      </c>
      <c r="D202" s="314" t="s">
        <v>148</v>
      </c>
      <c r="E202" s="315" t="s">
        <v>2263</v>
      </c>
      <c r="F202" s="316" t="s">
        <v>2264</v>
      </c>
      <c r="G202" s="317" t="s">
        <v>301</v>
      </c>
      <c r="H202" s="318">
        <v>16</v>
      </c>
      <c r="I202" s="79"/>
      <c r="J202" s="319">
        <f t="shared" si="10"/>
        <v>0</v>
      </c>
      <c r="K202" s="316" t="s">
        <v>1</v>
      </c>
      <c r="L202" s="223"/>
      <c r="M202" s="320" t="s">
        <v>1</v>
      </c>
      <c r="N202" s="321" t="s">
        <v>42</v>
      </c>
      <c r="O202" s="322">
        <v>0</v>
      </c>
      <c r="P202" s="322">
        <f t="shared" si="11"/>
        <v>0</v>
      </c>
      <c r="Q202" s="322">
        <v>0</v>
      </c>
      <c r="R202" s="322">
        <f t="shared" si="12"/>
        <v>0</v>
      </c>
      <c r="S202" s="322">
        <v>0</v>
      </c>
      <c r="T202" s="323">
        <f t="shared" si="13"/>
        <v>0</v>
      </c>
      <c r="U202" s="222"/>
      <c r="V202" s="222"/>
      <c r="W202" s="222"/>
      <c r="X202" s="222"/>
      <c r="Y202" s="222"/>
      <c r="Z202" s="222"/>
      <c r="AA202" s="222"/>
      <c r="AB202" s="222"/>
      <c r="AC202" s="222"/>
      <c r="AD202" s="222"/>
      <c r="AE202" s="222"/>
      <c r="AR202" s="324" t="s">
        <v>212</v>
      </c>
      <c r="AT202" s="324" t="s">
        <v>148</v>
      </c>
      <c r="AU202" s="324" t="s">
        <v>83</v>
      </c>
      <c r="AY202" s="214" t="s">
        <v>146</v>
      </c>
      <c r="BE202" s="325">
        <f t="shared" si="14"/>
        <v>0</v>
      </c>
      <c r="BF202" s="325">
        <f t="shared" si="15"/>
        <v>0</v>
      </c>
      <c r="BG202" s="325">
        <f t="shared" si="16"/>
        <v>0</v>
      </c>
      <c r="BH202" s="325">
        <f t="shared" si="17"/>
        <v>0</v>
      </c>
      <c r="BI202" s="325">
        <f t="shared" si="18"/>
        <v>0</v>
      </c>
      <c r="BJ202" s="214" t="s">
        <v>81</v>
      </c>
      <c r="BK202" s="325">
        <f t="shared" si="19"/>
        <v>0</v>
      </c>
      <c r="BL202" s="214" t="s">
        <v>212</v>
      </c>
      <c r="BM202" s="324" t="s">
        <v>2265</v>
      </c>
    </row>
    <row r="203" spans="1:65" s="225" customFormat="1" ht="21.75" customHeight="1">
      <c r="A203" s="222"/>
      <c r="B203" s="223"/>
      <c r="C203" s="314" t="s">
        <v>431</v>
      </c>
      <c r="D203" s="314" t="s">
        <v>148</v>
      </c>
      <c r="E203" s="315" t="s">
        <v>2266</v>
      </c>
      <c r="F203" s="316" t="s">
        <v>2267</v>
      </c>
      <c r="G203" s="317" t="s">
        <v>301</v>
      </c>
      <c r="H203" s="318">
        <v>6</v>
      </c>
      <c r="I203" s="79"/>
      <c r="J203" s="319">
        <f t="shared" si="10"/>
        <v>0</v>
      </c>
      <c r="K203" s="316" t="s">
        <v>1</v>
      </c>
      <c r="L203" s="223"/>
      <c r="M203" s="320" t="s">
        <v>1</v>
      </c>
      <c r="N203" s="321" t="s">
        <v>42</v>
      </c>
      <c r="O203" s="322">
        <v>0</v>
      </c>
      <c r="P203" s="322">
        <f t="shared" si="11"/>
        <v>0</v>
      </c>
      <c r="Q203" s="322">
        <v>0</v>
      </c>
      <c r="R203" s="322">
        <f t="shared" si="12"/>
        <v>0</v>
      </c>
      <c r="S203" s="322">
        <v>0</v>
      </c>
      <c r="T203" s="323">
        <f t="shared" si="13"/>
        <v>0</v>
      </c>
      <c r="U203" s="222"/>
      <c r="V203" s="222"/>
      <c r="W203" s="222"/>
      <c r="X203" s="222"/>
      <c r="Y203" s="222"/>
      <c r="Z203" s="222"/>
      <c r="AA203" s="222"/>
      <c r="AB203" s="222"/>
      <c r="AC203" s="222"/>
      <c r="AD203" s="222"/>
      <c r="AE203" s="222"/>
      <c r="AR203" s="324" t="s">
        <v>212</v>
      </c>
      <c r="AT203" s="324" t="s">
        <v>148</v>
      </c>
      <c r="AU203" s="324" t="s">
        <v>83</v>
      </c>
      <c r="AY203" s="214" t="s">
        <v>146</v>
      </c>
      <c r="BE203" s="325">
        <f t="shared" si="14"/>
        <v>0</v>
      </c>
      <c r="BF203" s="325">
        <f t="shared" si="15"/>
        <v>0</v>
      </c>
      <c r="BG203" s="325">
        <f t="shared" si="16"/>
        <v>0</v>
      </c>
      <c r="BH203" s="325">
        <f t="shared" si="17"/>
        <v>0</v>
      </c>
      <c r="BI203" s="325">
        <f t="shared" si="18"/>
        <v>0</v>
      </c>
      <c r="BJ203" s="214" t="s">
        <v>81</v>
      </c>
      <c r="BK203" s="325">
        <f t="shared" si="19"/>
        <v>0</v>
      </c>
      <c r="BL203" s="214" t="s">
        <v>212</v>
      </c>
      <c r="BM203" s="324" t="s">
        <v>2268</v>
      </c>
    </row>
    <row r="204" spans="2:51" s="335" customFormat="1" ht="12">
      <c r="B204" s="336"/>
      <c r="D204" s="328" t="s">
        <v>155</v>
      </c>
      <c r="E204" s="337" t="s">
        <v>1</v>
      </c>
      <c r="F204" s="338" t="s">
        <v>2269</v>
      </c>
      <c r="H204" s="339">
        <v>6</v>
      </c>
      <c r="I204" s="498"/>
      <c r="L204" s="336"/>
      <c r="M204" s="341"/>
      <c r="N204" s="342"/>
      <c r="O204" s="342"/>
      <c r="P204" s="342"/>
      <c r="Q204" s="342"/>
      <c r="R204" s="342"/>
      <c r="S204" s="342"/>
      <c r="T204" s="343"/>
      <c r="AT204" s="337" t="s">
        <v>155</v>
      </c>
      <c r="AU204" s="337" t="s">
        <v>83</v>
      </c>
      <c r="AV204" s="335" t="s">
        <v>83</v>
      </c>
      <c r="AW204" s="335" t="s">
        <v>34</v>
      </c>
      <c r="AX204" s="335" t="s">
        <v>76</v>
      </c>
      <c r="AY204" s="337" t="s">
        <v>146</v>
      </c>
    </row>
    <row r="205" spans="2:51" s="347" customFormat="1" ht="12">
      <c r="B205" s="348"/>
      <c r="D205" s="328" t="s">
        <v>155</v>
      </c>
      <c r="E205" s="349" t="s">
        <v>1</v>
      </c>
      <c r="F205" s="356" t="s">
        <v>157</v>
      </c>
      <c r="H205" s="351">
        <v>6</v>
      </c>
      <c r="I205" s="499"/>
      <c r="L205" s="348"/>
      <c r="M205" s="353"/>
      <c r="N205" s="354"/>
      <c r="O205" s="354"/>
      <c r="P205" s="354"/>
      <c r="Q205" s="354"/>
      <c r="R205" s="354"/>
      <c r="S205" s="354"/>
      <c r="T205" s="355"/>
      <c r="AT205" s="349" t="s">
        <v>155</v>
      </c>
      <c r="AU205" s="349" t="s">
        <v>83</v>
      </c>
      <c r="AV205" s="347" t="s">
        <v>153</v>
      </c>
      <c r="AW205" s="347" t="s">
        <v>34</v>
      </c>
      <c r="AX205" s="347" t="s">
        <v>81</v>
      </c>
      <c r="AY205" s="349" t="s">
        <v>146</v>
      </c>
    </row>
    <row r="206" spans="1:65" s="225" customFormat="1" ht="24.2" customHeight="1">
      <c r="A206" s="222"/>
      <c r="B206" s="223"/>
      <c r="C206" s="314" t="s">
        <v>435</v>
      </c>
      <c r="D206" s="314" t="s">
        <v>148</v>
      </c>
      <c r="E206" s="315" t="s">
        <v>2270</v>
      </c>
      <c r="F206" s="316" t="s">
        <v>2271</v>
      </c>
      <c r="G206" s="317" t="s">
        <v>301</v>
      </c>
      <c r="H206" s="318">
        <v>8</v>
      </c>
      <c r="I206" s="79"/>
      <c r="J206" s="319">
        <f aca="true" t="shared" si="20" ref="J206:J211">ROUND(I206*H206,2)</f>
        <v>0</v>
      </c>
      <c r="K206" s="316" t="s">
        <v>1</v>
      </c>
      <c r="L206" s="223"/>
      <c r="M206" s="320" t="s">
        <v>1</v>
      </c>
      <c r="N206" s="321" t="s">
        <v>42</v>
      </c>
      <c r="O206" s="322">
        <v>0</v>
      </c>
      <c r="P206" s="322">
        <f aca="true" t="shared" si="21" ref="P206:P211">O206*H206</f>
        <v>0</v>
      </c>
      <c r="Q206" s="322">
        <v>0</v>
      </c>
      <c r="R206" s="322">
        <f aca="true" t="shared" si="22" ref="R206:R211">Q206*H206</f>
        <v>0</v>
      </c>
      <c r="S206" s="322">
        <v>0</v>
      </c>
      <c r="T206" s="323">
        <f aca="true" t="shared" si="23" ref="T206:T211">S206*H206</f>
        <v>0</v>
      </c>
      <c r="U206" s="222"/>
      <c r="V206" s="222"/>
      <c r="W206" s="222"/>
      <c r="X206" s="222"/>
      <c r="Y206" s="222"/>
      <c r="Z206" s="222"/>
      <c r="AA206" s="222"/>
      <c r="AB206" s="222"/>
      <c r="AC206" s="222"/>
      <c r="AD206" s="222"/>
      <c r="AE206" s="222"/>
      <c r="AR206" s="324" t="s">
        <v>212</v>
      </c>
      <c r="AT206" s="324" t="s">
        <v>148</v>
      </c>
      <c r="AU206" s="324" t="s">
        <v>83</v>
      </c>
      <c r="AY206" s="214" t="s">
        <v>146</v>
      </c>
      <c r="BE206" s="325">
        <f aca="true" t="shared" si="24" ref="BE206:BE211">IF(N206="základní",J206,0)</f>
        <v>0</v>
      </c>
      <c r="BF206" s="325">
        <f aca="true" t="shared" si="25" ref="BF206:BF211">IF(N206="snížená",J206,0)</f>
        <v>0</v>
      </c>
      <c r="BG206" s="325">
        <f aca="true" t="shared" si="26" ref="BG206:BG211">IF(N206="zákl. přenesená",J206,0)</f>
        <v>0</v>
      </c>
      <c r="BH206" s="325">
        <f aca="true" t="shared" si="27" ref="BH206:BH211">IF(N206="sníž. přenesená",J206,0)</f>
        <v>0</v>
      </c>
      <c r="BI206" s="325">
        <f aca="true" t="shared" si="28" ref="BI206:BI211">IF(N206="nulová",J206,0)</f>
        <v>0</v>
      </c>
      <c r="BJ206" s="214" t="s">
        <v>81</v>
      </c>
      <c r="BK206" s="325">
        <f aca="true" t="shared" si="29" ref="BK206:BK211">ROUND(I206*H206,2)</f>
        <v>0</v>
      </c>
      <c r="BL206" s="214" t="s">
        <v>212</v>
      </c>
      <c r="BM206" s="324" t="s">
        <v>2272</v>
      </c>
    </row>
    <row r="207" spans="1:65" s="225" customFormat="1" ht="24.2" customHeight="1">
      <c r="A207" s="222"/>
      <c r="B207" s="223"/>
      <c r="C207" s="314" t="s">
        <v>440</v>
      </c>
      <c r="D207" s="314" t="s">
        <v>148</v>
      </c>
      <c r="E207" s="315" t="s">
        <v>2273</v>
      </c>
      <c r="F207" s="316" t="s">
        <v>2274</v>
      </c>
      <c r="G207" s="317" t="s">
        <v>301</v>
      </c>
      <c r="H207" s="318">
        <v>4</v>
      </c>
      <c r="I207" s="79"/>
      <c r="J207" s="319">
        <f t="shared" si="20"/>
        <v>0</v>
      </c>
      <c r="K207" s="316" t="s">
        <v>1</v>
      </c>
      <c r="L207" s="223"/>
      <c r="M207" s="320" t="s">
        <v>1</v>
      </c>
      <c r="N207" s="321" t="s">
        <v>42</v>
      </c>
      <c r="O207" s="322">
        <v>0</v>
      </c>
      <c r="P207" s="322">
        <f t="shared" si="21"/>
        <v>0</v>
      </c>
      <c r="Q207" s="322">
        <v>0</v>
      </c>
      <c r="R207" s="322">
        <f t="shared" si="22"/>
        <v>0</v>
      </c>
      <c r="S207" s="322">
        <v>0</v>
      </c>
      <c r="T207" s="323">
        <f t="shared" si="23"/>
        <v>0</v>
      </c>
      <c r="U207" s="222"/>
      <c r="V207" s="222"/>
      <c r="W207" s="222"/>
      <c r="X207" s="222"/>
      <c r="Y207" s="222"/>
      <c r="Z207" s="222"/>
      <c r="AA207" s="222"/>
      <c r="AB207" s="222"/>
      <c r="AC207" s="222"/>
      <c r="AD207" s="222"/>
      <c r="AE207" s="222"/>
      <c r="AR207" s="324" t="s">
        <v>212</v>
      </c>
      <c r="AT207" s="324" t="s">
        <v>148</v>
      </c>
      <c r="AU207" s="324" t="s">
        <v>83</v>
      </c>
      <c r="AY207" s="214" t="s">
        <v>146</v>
      </c>
      <c r="BE207" s="325">
        <f t="shared" si="24"/>
        <v>0</v>
      </c>
      <c r="BF207" s="325">
        <f t="shared" si="25"/>
        <v>0</v>
      </c>
      <c r="BG207" s="325">
        <f t="shared" si="26"/>
        <v>0</v>
      </c>
      <c r="BH207" s="325">
        <f t="shared" si="27"/>
        <v>0</v>
      </c>
      <c r="BI207" s="325">
        <f t="shared" si="28"/>
        <v>0</v>
      </c>
      <c r="BJ207" s="214" t="s">
        <v>81</v>
      </c>
      <c r="BK207" s="325">
        <f t="shared" si="29"/>
        <v>0</v>
      </c>
      <c r="BL207" s="214" t="s">
        <v>212</v>
      </c>
      <c r="BM207" s="324" t="s">
        <v>2275</v>
      </c>
    </row>
    <row r="208" spans="1:65" s="225" customFormat="1" ht="33" customHeight="1">
      <c r="A208" s="222"/>
      <c r="B208" s="223"/>
      <c r="C208" s="314" t="s">
        <v>446</v>
      </c>
      <c r="D208" s="314" t="s">
        <v>148</v>
      </c>
      <c r="E208" s="315" t="s">
        <v>2276</v>
      </c>
      <c r="F208" s="316" t="s">
        <v>2277</v>
      </c>
      <c r="G208" s="317" t="s">
        <v>301</v>
      </c>
      <c r="H208" s="318">
        <v>15</v>
      </c>
      <c r="I208" s="79"/>
      <c r="J208" s="319">
        <f t="shared" si="20"/>
        <v>0</v>
      </c>
      <c r="K208" s="316" t="s">
        <v>1</v>
      </c>
      <c r="L208" s="223"/>
      <c r="M208" s="320" t="s">
        <v>1</v>
      </c>
      <c r="N208" s="321" t="s">
        <v>42</v>
      </c>
      <c r="O208" s="322">
        <v>0</v>
      </c>
      <c r="P208" s="322">
        <f t="shared" si="21"/>
        <v>0</v>
      </c>
      <c r="Q208" s="322">
        <v>0</v>
      </c>
      <c r="R208" s="322">
        <f t="shared" si="22"/>
        <v>0</v>
      </c>
      <c r="S208" s="322">
        <v>0</v>
      </c>
      <c r="T208" s="323">
        <f t="shared" si="23"/>
        <v>0</v>
      </c>
      <c r="U208" s="222"/>
      <c r="V208" s="222"/>
      <c r="W208" s="222"/>
      <c r="X208" s="222"/>
      <c r="Y208" s="222"/>
      <c r="Z208" s="222"/>
      <c r="AA208" s="222"/>
      <c r="AB208" s="222"/>
      <c r="AC208" s="222"/>
      <c r="AD208" s="222"/>
      <c r="AE208" s="222"/>
      <c r="AR208" s="324" t="s">
        <v>212</v>
      </c>
      <c r="AT208" s="324" t="s">
        <v>148</v>
      </c>
      <c r="AU208" s="324" t="s">
        <v>83</v>
      </c>
      <c r="AY208" s="214" t="s">
        <v>146</v>
      </c>
      <c r="BE208" s="325">
        <f t="shared" si="24"/>
        <v>0</v>
      </c>
      <c r="BF208" s="325">
        <f t="shared" si="25"/>
        <v>0</v>
      </c>
      <c r="BG208" s="325">
        <f t="shared" si="26"/>
        <v>0</v>
      </c>
      <c r="BH208" s="325">
        <f t="shared" si="27"/>
        <v>0</v>
      </c>
      <c r="BI208" s="325">
        <f t="shared" si="28"/>
        <v>0</v>
      </c>
      <c r="BJ208" s="214" t="s">
        <v>81</v>
      </c>
      <c r="BK208" s="325">
        <f t="shared" si="29"/>
        <v>0</v>
      </c>
      <c r="BL208" s="214" t="s">
        <v>212</v>
      </c>
      <c r="BM208" s="324" t="s">
        <v>2278</v>
      </c>
    </row>
    <row r="209" spans="1:65" s="225" customFormat="1" ht="24.2" customHeight="1">
      <c r="A209" s="222"/>
      <c r="B209" s="223"/>
      <c r="C209" s="314" t="s">
        <v>450</v>
      </c>
      <c r="D209" s="314" t="s">
        <v>148</v>
      </c>
      <c r="E209" s="315" t="s">
        <v>2279</v>
      </c>
      <c r="F209" s="316" t="s">
        <v>2280</v>
      </c>
      <c r="G209" s="317" t="s">
        <v>301</v>
      </c>
      <c r="H209" s="318">
        <v>4</v>
      </c>
      <c r="I209" s="79"/>
      <c r="J209" s="319">
        <f t="shared" si="20"/>
        <v>0</v>
      </c>
      <c r="K209" s="316" t="s">
        <v>1</v>
      </c>
      <c r="L209" s="223"/>
      <c r="M209" s="320" t="s">
        <v>1</v>
      </c>
      <c r="N209" s="321" t="s">
        <v>42</v>
      </c>
      <c r="O209" s="322">
        <v>0</v>
      </c>
      <c r="P209" s="322">
        <f t="shared" si="21"/>
        <v>0</v>
      </c>
      <c r="Q209" s="322">
        <v>0</v>
      </c>
      <c r="R209" s="322">
        <f t="shared" si="22"/>
        <v>0</v>
      </c>
      <c r="S209" s="322">
        <v>0</v>
      </c>
      <c r="T209" s="323">
        <f t="shared" si="23"/>
        <v>0</v>
      </c>
      <c r="U209" s="222"/>
      <c r="V209" s="222"/>
      <c r="W209" s="222"/>
      <c r="X209" s="222"/>
      <c r="Y209" s="222"/>
      <c r="Z209" s="222"/>
      <c r="AA209" s="222"/>
      <c r="AB209" s="222"/>
      <c r="AC209" s="222"/>
      <c r="AD209" s="222"/>
      <c r="AE209" s="222"/>
      <c r="AR209" s="324" t="s">
        <v>212</v>
      </c>
      <c r="AT209" s="324" t="s">
        <v>148</v>
      </c>
      <c r="AU209" s="324" t="s">
        <v>83</v>
      </c>
      <c r="AY209" s="214" t="s">
        <v>146</v>
      </c>
      <c r="BE209" s="325">
        <f t="shared" si="24"/>
        <v>0</v>
      </c>
      <c r="BF209" s="325">
        <f t="shared" si="25"/>
        <v>0</v>
      </c>
      <c r="BG209" s="325">
        <f t="shared" si="26"/>
        <v>0</v>
      </c>
      <c r="BH209" s="325">
        <f t="shared" si="27"/>
        <v>0</v>
      </c>
      <c r="BI209" s="325">
        <f t="shared" si="28"/>
        <v>0</v>
      </c>
      <c r="BJ209" s="214" t="s">
        <v>81</v>
      </c>
      <c r="BK209" s="325">
        <f t="shared" si="29"/>
        <v>0</v>
      </c>
      <c r="BL209" s="214" t="s">
        <v>212</v>
      </c>
      <c r="BM209" s="324" t="s">
        <v>2281</v>
      </c>
    </row>
    <row r="210" spans="1:65" s="225" customFormat="1" ht="24.2" customHeight="1">
      <c r="A210" s="222"/>
      <c r="B210" s="223"/>
      <c r="C210" s="314" t="s">
        <v>455</v>
      </c>
      <c r="D210" s="314" t="s">
        <v>148</v>
      </c>
      <c r="E210" s="315" t="s">
        <v>2282</v>
      </c>
      <c r="F210" s="316" t="s">
        <v>2283</v>
      </c>
      <c r="G210" s="317" t="s">
        <v>301</v>
      </c>
      <c r="H210" s="318">
        <v>4</v>
      </c>
      <c r="I210" s="79"/>
      <c r="J210" s="319">
        <f t="shared" si="20"/>
        <v>0</v>
      </c>
      <c r="K210" s="316" t="s">
        <v>1</v>
      </c>
      <c r="L210" s="223"/>
      <c r="M210" s="320" t="s">
        <v>1</v>
      </c>
      <c r="N210" s="321" t="s">
        <v>42</v>
      </c>
      <c r="O210" s="322">
        <v>0</v>
      </c>
      <c r="P210" s="322">
        <f t="shared" si="21"/>
        <v>0</v>
      </c>
      <c r="Q210" s="322">
        <v>0</v>
      </c>
      <c r="R210" s="322">
        <f t="shared" si="22"/>
        <v>0</v>
      </c>
      <c r="S210" s="322">
        <v>0</v>
      </c>
      <c r="T210" s="323">
        <f t="shared" si="23"/>
        <v>0</v>
      </c>
      <c r="U210" s="222"/>
      <c r="V210" s="222"/>
      <c r="W210" s="222"/>
      <c r="X210" s="222"/>
      <c r="Y210" s="222"/>
      <c r="Z210" s="222"/>
      <c r="AA210" s="222"/>
      <c r="AB210" s="222"/>
      <c r="AC210" s="222"/>
      <c r="AD210" s="222"/>
      <c r="AE210" s="222"/>
      <c r="AR210" s="324" t="s">
        <v>212</v>
      </c>
      <c r="AT210" s="324" t="s">
        <v>148</v>
      </c>
      <c r="AU210" s="324" t="s">
        <v>83</v>
      </c>
      <c r="AY210" s="214" t="s">
        <v>146</v>
      </c>
      <c r="BE210" s="325">
        <f t="shared" si="24"/>
        <v>0</v>
      </c>
      <c r="BF210" s="325">
        <f t="shared" si="25"/>
        <v>0</v>
      </c>
      <c r="BG210" s="325">
        <f t="shared" si="26"/>
        <v>0</v>
      </c>
      <c r="BH210" s="325">
        <f t="shared" si="27"/>
        <v>0</v>
      </c>
      <c r="BI210" s="325">
        <f t="shared" si="28"/>
        <v>0</v>
      </c>
      <c r="BJ210" s="214" t="s">
        <v>81</v>
      </c>
      <c r="BK210" s="325">
        <f t="shared" si="29"/>
        <v>0</v>
      </c>
      <c r="BL210" s="214" t="s">
        <v>212</v>
      </c>
      <c r="BM210" s="324" t="s">
        <v>2284</v>
      </c>
    </row>
    <row r="211" spans="1:65" s="225" customFormat="1" ht="21.75" customHeight="1">
      <c r="A211" s="222"/>
      <c r="B211" s="223"/>
      <c r="C211" s="314" t="s">
        <v>457</v>
      </c>
      <c r="D211" s="314" t="s">
        <v>148</v>
      </c>
      <c r="E211" s="315" t="s">
        <v>2285</v>
      </c>
      <c r="F211" s="316" t="s">
        <v>3838</v>
      </c>
      <c r="G211" s="317" t="s">
        <v>194</v>
      </c>
      <c r="H211" s="318">
        <v>0.082</v>
      </c>
      <c r="I211" s="79"/>
      <c r="J211" s="319">
        <f t="shared" si="20"/>
        <v>0</v>
      </c>
      <c r="K211" s="316" t="s">
        <v>1</v>
      </c>
      <c r="L211" s="223"/>
      <c r="M211" s="320" t="s">
        <v>1</v>
      </c>
      <c r="N211" s="321" t="s">
        <v>42</v>
      </c>
      <c r="O211" s="322">
        <v>0</v>
      </c>
      <c r="P211" s="322">
        <f t="shared" si="21"/>
        <v>0</v>
      </c>
      <c r="Q211" s="322">
        <v>0</v>
      </c>
      <c r="R211" s="322">
        <f t="shared" si="22"/>
        <v>0</v>
      </c>
      <c r="S211" s="322">
        <v>0</v>
      </c>
      <c r="T211" s="323">
        <f t="shared" si="23"/>
        <v>0</v>
      </c>
      <c r="U211" s="222"/>
      <c r="V211" s="222"/>
      <c r="W211" s="222"/>
      <c r="X211" s="222"/>
      <c r="Y211" s="222"/>
      <c r="Z211" s="222"/>
      <c r="AA211" s="222"/>
      <c r="AB211" s="222"/>
      <c r="AC211" s="222"/>
      <c r="AD211" s="222"/>
      <c r="AE211" s="222"/>
      <c r="AR211" s="324" t="s">
        <v>212</v>
      </c>
      <c r="AT211" s="324" t="s">
        <v>148</v>
      </c>
      <c r="AU211" s="324" t="s">
        <v>83</v>
      </c>
      <c r="AY211" s="214" t="s">
        <v>146</v>
      </c>
      <c r="BE211" s="325">
        <f t="shared" si="24"/>
        <v>0</v>
      </c>
      <c r="BF211" s="325">
        <f t="shared" si="25"/>
        <v>0</v>
      </c>
      <c r="BG211" s="325">
        <f t="shared" si="26"/>
        <v>0</v>
      </c>
      <c r="BH211" s="325">
        <f t="shared" si="27"/>
        <v>0</v>
      </c>
      <c r="BI211" s="325">
        <f t="shared" si="28"/>
        <v>0</v>
      </c>
      <c r="BJ211" s="214" t="s">
        <v>81</v>
      </c>
      <c r="BK211" s="325">
        <f t="shared" si="29"/>
        <v>0</v>
      </c>
      <c r="BL211" s="214" t="s">
        <v>212</v>
      </c>
      <c r="BM211" s="324" t="s">
        <v>2286</v>
      </c>
    </row>
    <row r="212" spans="2:63" s="297" customFormat="1" ht="22.9" customHeight="1">
      <c r="B212" s="298"/>
      <c r="D212" s="299" t="s">
        <v>75</v>
      </c>
      <c r="E212" s="660" t="s">
        <v>2287</v>
      </c>
      <c r="F212" s="660" t="s">
        <v>2288</v>
      </c>
      <c r="I212" s="501"/>
      <c r="J212" s="311">
        <f>SUM(J213:J243)</f>
        <v>0</v>
      </c>
      <c r="L212" s="298"/>
      <c r="M212" s="303"/>
      <c r="N212" s="304"/>
      <c r="O212" s="304"/>
      <c r="P212" s="305">
        <f>SUM(P213:P243)</f>
        <v>0</v>
      </c>
      <c r="Q212" s="304"/>
      <c r="R212" s="305">
        <f>SUM(R213:R243)</f>
        <v>0</v>
      </c>
      <c r="S212" s="304"/>
      <c r="T212" s="313">
        <f>SUM(T213:T243)</f>
        <v>0</v>
      </c>
      <c r="AR212" s="299" t="s">
        <v>83</v>
      </c>
      <c r="AT212" s="308" t="s">
        <v>75</v>
      </c>
      <c r="AU212" s="308" t="s">
        <v>81</v>
      </c>
      <c r="AY212" s="299" t="s">
        <v>146</v>
      </c>
      <c r="BK212" s="309">
        <f>SUM(BK213:BK243)</f>
        <v>0</v>
      </c>
    </row>
    <row r="213" spans="1:65" s="225" customFormat="1" ht="24.2" customHeight="1">
      <c r="A213" s="222"/>
      <c r="B213" s="223"/>
      <c r="C213" s="314" t="s">
        <v>463</v>
      </c>
      <c r="D213" s="314" t="s">
        <v>148</v>
      </c>
      <c r="E213" s="315" t="s">
        <v>2289</v>
      </c>
      <c r="F213" s="316" t="s">
        <v>2290</v>
      </c>
      <c r="G213" s="317" t="s">
        <v>301</v>
      </c>
      <c r="H213" s="318">
        <v>52</v>
      </c>
      <c r="I213" s="79"/>
      <c r="J213" s="319">
        <f aca="true" t="shared" si="30" ref="J213:J239">ROUND(I213*H213,2)</f>
        <v>0</v>
      </c>
      <c r="K213" s="316" t="s">
        <v>1</v>
      </c>
      <c r="L213" s="223"/>
      <c r="M213" s="320" t="s">
        <v>1</v>
      </c>
      <c r="N213" s="321" t="s">
        <v>42</v>
      </c>
      <c r="O213" s="322">
        <v>0</v>
      </c>
      <c r="P213" s="322">
        <f aca="true" t="shared" si="31" ref="P213:P239">O213*H213</f>
        <v>0</v>
      </c>
      <c r="Q213" s="322">
        <v>0</v>
      </c>
      <c r="R213" s="322">
        <f aca="true" t="shared" si="32" ref="R213:R239">Q213*H213</f>
        <v>0</v>
      </c>
      <c r="S213" s="322">
        <v>0</v>
      </c>
      <c r="T213" s="323">
        <f aca="true" t="shared" si="33" ref="T213:T239">S213*H213</f>
        <v>0</v>
      </c>
      <c r="U213" s="222"/>
      <c r="V213" s="222"/>
      <c r="W213" s="222"/>
      <c r="X213" s="222"/>
      <c r="Y213" s="222"/>
      <c r="Z213" s="222"/>
      <c r="AA213" s="222"/>
      <c r="AB213" s="222"/>
      <c r="AC213" s="222"/>
      <c r="AD213" s="222"/>
      <c r="AE213" s="222"/>
      <c r="AR213" s="324" t="s">
        <v>212</v>
      </c>
      <c r="AT213" s="324" t="s">
        <v>148</v>
      </c>
      <c r="AU213" s="324" t="s">
        <v>83</v>
      </c>
      <c r="AY213" s="214" t="s">
        <v>146</v>
      </c>
      <c r="BE213" s="325">
        <f aca="true" t="shared" si="34" ref="BE213:BE239">IF(N213="základní",J213,0)</f>
        <v>0</v>
      </c>
      <c r="BF213" s="325">
        <f aca="true" t="shared" si="35" ref="BF213:BF239">IF(N213="snížená",J213,0)</f>
        <v>0</v>
      </c>
      <c r="BG213" s="325">
        <f aca="true" t="shared" si="36" ref="BG213:BG239">IF(N213="zákl. přenesená",J213,0)</f>
        <v>0</v>
      </c>
      <c r="BH213" s="325">
        <f aca="true" t="shared" si="37" ref="BH213:BH239">IF(N213="sníž. přenesená",J213,0)</f>
        <v>0</v>
      </c>
      <c r="BI213" s="325">
        <f aca="true" t="shared" si="38" ref="BI213:BI239">IF(N213="nulová",J213,0)</f>
        <v>0</v>
      </c>
      <c r="BJ213" s="214" t="s">
        <v>81</v>
      </c>
      <c r="BK213" s="325">
        <f aca="true" t="shared" si="39" ref="BK213:BK239">ROUND(I213*H213,2)</f>
        <v>0</v>
      </c>
      <c r="BL213" s="214" t="s">
        <v>212</v>
      </c>
      <c r="BM213" s="324" t="s">
        <v>2291</v>
      </c>
    </row>
    <row r="214" spans="1:65" s="225" customFormat="1" ht="16.5" customHeight="1">
      <c r="A214" s="222"/>
      <c r="B214" s="223"/>
      <c r="C214" s="314" t="s">
        <v>469</v>
      </c>
      <c r="D214" s="314" t="s">
        <v>148</v>
      </c>
      <c r="E214" s="315" t="s">
        <v>2292</v>
      </c>
      <c r="F214" s="316" t="s">
        <v>2293</v>
      </c>
      <c r="G214" s="317" t="s">
        <v>151</v>
      </c>
      <c r="H214" s="318">
        <v>150</v>
      </c>
      <c r="I214" s="79"/>
      <c r="J214" s="319">
        <f t="shared" si="30"/>
        <v>0</v>
      </c>
      <c r="K214" s="316" t="s">
        <v>1</v>
      </c>
      <c r="L214" s="223"/>
      <c r="M214" s="320" t="s">
        <v>1</v>
      </c>
      <c r="N214" s="321" t="s">
        <v>42</v>
      </c>
      <c r="O214" s="322">
        <v>0</v>
      </c>
      <c r="P214" s="322">
        <f t="shared" si="31"/>
        <v>0</v>
      </c>
      <c r="Q214" s="322">
        <v>0</v>
      </c>
      <c r="R214" s="322">
        <f t="shared" si="32"/>
        <v>0</v>
      </c>
      <c r="S214" s="322">
        <v>0</v>
      </c>
      <c r="T214" s="323">
        <f t="shared" si="33"/>
        <v>0</v>
      </c>
      <c r="U214" s="222"/>
      <c r="V214" s="222"/>
      <c r="W214" s="222"/>
      <c r="X214" s="222"/>
      <c r="Y214" s="222"/>
      <c r="Z214" s="222"/>
      <c r="AA214" s="222"/>
      <c r="AB214" s="222"/>
      <c r="AC214" s="222"/>
      <c r="AD214" s="222"/>
      <c r="AE214" s="222"/>
      <c r="AR214" s="324" t="s">
        <v>212</v>
      </c>
      <c r="AT214" s="324" t="s">
        <v>148</v>
      </c>
      <c r="AU214" s="324" t="s">
        <v>83</v>
      </c>
      <c r="AY214" s="214" t="s">
        <v>146</v>
      </c>
      <c r="BE214" s="325">
        <f t="shared" si="34"/>
        <v>0</v>
      </c>
      <c r="BF214" s="325">
        <f t="shared" si="35"/>
        <v>0</v>
      </c>
      <c r="BG214" s="325">
        <f t="shared" si="36"/>
        <v>0</v>
      </c>
      <c r="BH214" s="325">
        <f t="shared" si="37"/>
        <v>0</v>
      </c>
      <c r="BI214" s="325">
        <f t="shared" si="38"/>
        <v>0</v>
      </c>
      <c r="BJ214" s="214" t="s">
        <v>81</v>
      </c>
      <c r="BK214" s="325">
        <f t="shared" si="39"/>
        <v>0</v>
      </c>
      <c r="BL214" s="214" t="s">
        <v>212</v>
      </c>
      <c r="BM214" s="324" t="s">
        <v>2294</v>
      </c>
    </row>
    <row r="215" spans="1:65" s="225" customFormat="1" ht="37.9" customHeight="1">
      <c r="A215" s="222"/>
      <c r="B215" s="223"/>
      <c r="C215" s="314" t="s">
        <v>473</v>
      </c>
      <c r="D215" s="314" t="s">
        <v>148</v>
      </c>
      <c r="E215" s="315" t="s">
        <v>2295</v>
      </c>
      <c r="F215" s="316" t="s">
        <v>2296</v>
      </c>
      <c r="G215" s="317" t="s">
        <v>301</v>
      </c>
      <c r="H215" s="318">
        <v>1</v>
      </c>
      <c r="I215" s="79"/>
      <c r="J215" s="319">
        <f t="shared" si="30"/>
        <v>0</v>
      </c>
      <c r="K215" s="316" t="s">
        <v>1</v>
      </c>
      <c r="L215" s="223"/>
      <c r="M215" s="320" t="s">
        <v>1</v>
      </c>
      <c r="N215" s="321" t="s">
        <v>42</v>
      </c>
      <c r="O215" s="322">
        <v>0</v>
      </c>
      <c r="P215" s="322">
        <f t="shared" si="31"/>
        <v>0</v>
      </c>
      <c r="Q215" s="322">
        <v>0</v>
      </c>
      <c r="R215" s="322">
        <f t="shared" si="32"/>
        <v>0</v>
      </c>
      <c r="S215" s="322">
        <v>0</v>
      </c>
      <c r="T215" s="323">
        <f t="shared" si="33"/>
        <v>0</v>
      </c>
      <c r="U215" s="222"/>
      <c r="V215" s="222"/>
      <c r="W215" s="222"/>
      <c r="X215" s="222"/>
      <c r="Y215" s="222"/>
      <c r="Z215" s="222"/>
      <c r="AA215" s="222"/>
      <c r="AB215" s="222"/>
      <c r="AC215" s="222"/>
      <c r="AD215" s="222"/>
      <c r="AE215" s="222"/>
      <c r="AR215" s="324" t="s">
        <v>212</v>
      </c>
      <c r="AT215" s="324" t="s">
        <v>148</v>
      </c>
      <c r="AU215" s="324" t="s">
        <v>83</v>
      </c>
      <c r="AY215" s="214" t="s">
        <v>146</v>
      </c>
      <c r="BE215" s="325">
        <f t="shared" si="34"/>
        <v>0</v>
      </c>
      <c r="BF215" s="325">
        <f t="shared" si="35"/>
        <v>0</v>
      </c>
      <c r="BG215" s="325">
        <f t="shared" si="36"/>
        <v>0</v>
      </c>
      <c r="BH215" s="325">
        <f t="shared" si="37"/>
        <v>0</v>
      </c>
      <c r="BI215" s="325">
        <f t="shared" si="38"/>
        <v>0</v>
      </c>
      <c r="BJ215" s="214" t="s">
        <v>81</v>
      </c>
      <c r="BK215" s="325">
        <f t="shared" si="39"/>
        <v>0</v>
      </c>
      <c r="BL215" s="214" t="s">
        <v>212</v>
      </c>
      <c r="BM215" s="324" t="s">
        <v>2297</v>
      </c>
    </row>
    <row r="216" spans="1:65" s="225" customFormat="1" ht="37.9" customHeight="1">
      <c r="A216" s="222"/>
      <c r="B216" s="223"/>
      <c r="C216" s="314" t="s">
        <v>474</v>
      </c>
      <c r="D216" s="314" t="s">
        <v>148</v>
      </c>
      <c r="E216" s="315" t="s">
        <v>2298</v>
      </c>
      <c r="F216" s="316" t="s">
        <v>2299</v>
      </c>
      <c r="G216" s="317" t="s">
        <v>301</v>
      </c>
      <c r="H216" s="318">
        <v>1</v>
      </c>
      <c r="I216" s="79"/>
      <c r="J216" s="319">
        <f t="shared" si="30"/>
        <v>0</v>
      </c>
      <c r="K216" s="316" t="s">
        <v>1</v>
      </c>
      <c r="L216" s="223"/>
      <c r="M216" s="320" t="s">
        <v>1</v>
      </c>
      <c r="N216" s="321" t="s">
        <v>42</v>
      </c>
      <c r="O216" s="322">
        <v>0</v>
      </c>
      <c r="P216" s="322">
        <f t="shared" si="31"/>
        <v>0</v>
      </c>
      <c r="Q216" s="322">
        <v>0</v>
      </c>
      <c r="R216" s="322">
        <f t="shared" si="32"/>
        <v>0</v>
      </c>
      <c r="S216" s="322">
        <v>0</v>
      </c>
      <c r="T216" s="323">
        <f t="shared" si="33"/>
        <v>0</v>
      </c>
      <c r="U216" s="222"/>
      <c r="V216" s="222"/>
      <c r="W216" s="222"/>
      <c r="X216" s="222"/>
      <c r="Y216" s="222"/>
      <c r="Z216" s="222"/>
      <c r="AA216" s="222"/>
      <c r="AB216" s="222"/>
      <c r="AC216" s="222"/>
      <c r="AD216" s="222"/>
      <c r="AE216" s="222"/>
      <c r="AR216" s="324" t="s">
        <v>212</v>
      </c>
      <c r="AT216" s="324" t="s">
        <v>148</v>
      </c>
      <c r="AU216" s="324" t="s">
        <v>83</v>
      </c>
      <c r="AY216" s="214" t="s">
        <v>146</v>
      </c>
      <c r="BE216" s="325">
        <f t="shared" si="34"/>
        <v>0</v>
      </c>
      <c r="BF216" s="325">
        <f t="shared" si="35"/>
        <v>0</v>
      </c>
      <c r="BG216" s="325">
        <f t="shared" si="36"/>
        <v>0</v>
      </c>
      <c r="BH216" s="325">
        <f t="shared" si="37"/>
        <v>0</v>
      </c>
      <c r="BI216" s="325">
        <f t="shared" si="38"/>
        <v>0</v>
      </c>
      <c r="BJ216" s="214" t="s">
        <v>81</v>
      </c>
      <c r="BK216" s="325">
        <f t="shared" si="39"/>
        <v>0</v>
      </c>
      <c r="BL216" s="214" t="s">
        <v>212</v>
      </c>
      <c r="BM216" s="324" t="s">
        <v>2300</v>
      </c>
    </row>
    <row r="217" spans="1:65" s="225" customFormat="1" ht="37.9" customHeight="1">
      <c r="A217" s="222"/>
      <c r="B217" s="223"/>
      <c r="C217" s="314" t="s">
        <v>478</v>
      </c>
      <c r="D217" s="314" t="s">
        <v>148</v>
      </c>
      <c r="E217" s="315" t="s">
        <v>2301</v>
      </c>
      <c r="F217" s="316" t="s">
        <v>2302</v>
      </c>
      <c r="G217" s="317" t="s">
        <v>301</v>
      </c>
      <c r="H217" s="318">
        <v>1</v>
      </c>
      <c r="I217" s="79"/>
      <c r="J217" s="319">
        <f t="shared" si="30"/>
        <v>0</v>
      </c>
      <c r="K217" s="316" t="s">
        <v>1</v>
      </c>
      <c r="L217" s="223"/>
      <c r="M217" s="320" t="s">
        <v>1</v>
      </c>
      <c r="N217" s="321" t="s">
        <v>42</v>
      </c>
      <c r="O217" s="322">
        <v>0</v>
      </c>
      <c r="P217" s="322">
        <f t="shared" si="31"/>
        <v>0</v>
      </c>
      <c r="Q217" s="322">
        <v>0</v>
      </c>
      <c r="R217" s="322">
        <f t="shared" si="32"/>
        <v>0</v>
      </c>
      <c r="S217" s="322">
        <v>0</v>
      </c>
      <c r="T217" s="323">
        <f t="shared" si="33"/>
        <v>0</v>
      </c>
      <c r="U217" s="222"/>
      <c r="V217" s="222"/>
      <c r="W217" s="222"/>
      <c r="X217" s="222"/>
      <c r="Y217" s="222"/>
      <c r="Z217" s="222"/>
      <c r="AA217" s="222"/>
      <c r="AB217" s="222"/>
      <c r="AC217" s="222"/>
      <c r="AD217" s="222"/>
      <c r="AE217" s="222"/>
      <c r="AR217" s="324" t="s">
        <v>212</v>
      </c>
      <c r="AT217" s="324" t="s">
        <v>148</v>
      </c>
      <c r="AU217" s="324" t="s">
        <v>83</v>
      </c>
      <c r="AY217" s="214" t="s">
        <v>146</v>
      </c>
      <c r="BE217" s="325">
        <f t="shared" si="34"/>
        <v>0</v>
      </c>
      <c r="BF217" s="325">
        <f t="shared" si="35"/>
        <v>0</v>
      </c>
      <c r="BG217" s="325">
        <f t="shared" si="36"/>
        <v>0</v>
      </c>
      <c r="BH217" s="325">
        <f t="shared" si="37"/>
        <v>0</v>
      </c>
      <c r="BI217" s="325">
        <f t="shared" si="38"/>
        <v>0</v>
      </c>
      <c r="BJ217" s="214" t="s">
        <v>81</v>
      </c>
      <c r="BK217" s="325">
        <f t="shared" si="39"/>
        <v>0</v>
      </c>
      <c r="BL217" s="214" t="s">
        <v>212</v>
      </c>
      <c r="BM217" s="324" t="s">
        <v>2303</v>
      </c>
    </row>
    <row r="218" spans="1:65" s="225" customFormat="1" ht="37.9" customHeight="1">
      <c r="A218" s="222"/>
      <c r="B218" s="223"/>
      <c r="C218" s="314" t="s">
        <v>482</v>
      </c>
      <c r="D218" s="314" t="s">
        <v>148</v>
      </c>
      <c r="E218" s="315" t="s">
        <v>2304</v>
      </c>
      <c r="F218" s="316" t="s">
        <v>2305</v>
      </c>
      <c r="G218" s="317" t="s">
        <v>301</v>
      </c>
      <c r="H218" s="318">
        <v>3</v>
      </c>
      <c r="I218" s="79"/>
      <c r="J218" s="319">
        <f t="shared" si="30"/>
        <v>0</v>
      </c>
      <c r="K218" s="316" t="s">
        <v>1</v>
      </c>
      <c r="L218" s="223"/>
      <c r="M218" s="320" t="s">
        <v>1</v>
      </c>
      <c r="N218" s="321" t="s">
        <v>42</v>
      </c>
      <c r="O218" s="322">
        <v>0</v>
      </c>
      <c r="P218" s="322">
        <f t="shared" si="31"/>
        <v>0</v>
      </c>
      <c r="Q218" s="322">
        <v>0</v>
      </c>
      <c r="R218" s="322">
        <f t="shared" si="32"/>
        <v>0</v>
      </c>
      <c r="S218" s="322">
        <v>0</v>
      </c>
      <c r="T218" s="323">
        <f t="shared" si="33"/>
        <v>0</v>
      </c>
      <c r="U218" s="222"/>
      <c r="V218" s="222"/>
      <c r="W218" s="222"/>
      <c r="X218" s="222"/>
      <c r="Y218" s="222"/>
      <c r="Z218" s="222"/>
      <c r="AA218" s="222"/>
      <c r="AB218" s="222"/>
      <c r="AC218" s="222"/>
      <c r="AD218" s="222"/>
      <c r="AE218" s="222"/>
      <c r="AR218" s="324" t="s">
        <v>212</v>
      </c>
      <c r="AT218" s="324" t="s">
        <v>148</v>
      </c>
      <c r="AU218" s="324" t="s">
        <v>83</v>
      </c>
      <c r="AY218" s="214" t="s">
        <v>146</v>
      </c>
      <c r="BE218" s="325">
        <f t="shared" si="34"/>
        <v>0</v>
      </c>
      <c r="BF218" s="325">
        <f t="shared" si="35"/>
        <v>0</v>
      </c>
      <c r="BG218" s="325">
        <f t="shared" si="36"/>
        <v>0</v>
      </c>
      <c r="BH218" s="325">
        <f t="shared" si="37"/>
        <v>0</v>
      </c>
      <c r="BI218" s="325">
        <f t="shared" si="38"/>
        <v>0</v>
      </c>
      <c r="BJ218" s="214" t="s">
        <v>81</v>
      </c>
      <c r="BK218" s="325">
        <f t="shared" si="39"/>
        <v>0</v>
      </c>
      <c r="BL218" s="214" t="s">
        <v>212</v>
      </c>
      <c r="BM218" s="324" t="s">
        <v>2306</v>
      </c>
    </row>
    <row r="219" spans="1:65" s="225" customFormat="1" ht="37.9" customHeight="1">
      <c r="A219" s="222"/>
      <c r="B219" s="223"/>
      <c r="C219" s="314" t="s">
        <v>487</v>
      </c>
      <c r="D219" s="314" t="s">
        <v>148</v>
      </c>
      <c r="E219" s="315" t="s">
        <v>2307</v>
      </c>
      <c r="F219" s="316" t="s">
        <v>2308</v>
      </c>
      <c r="G219" s="317" t="s">
        <v>301</v>
      </c>
      <c r="H219" s="318">
        <v>5</v>
      </c>
      <c r="I219" s="79"/>
      <c r="J219" s="319">
        <f t="shared" si="30"/>
        <v>0</v>
      </c>
      <c r="K219" s="316" t="s">
        <v>1</v>
      </c>
      <c r="L219" s="223"/>
      <c r="M219" s="320" t="s">
        <v>1</v>
      </c>
      <c r="N219" s="321" t="s">
        <v>42</v>
      </c>
      <c r="O219" s="322">
        <v>0</v>
      </c>
      <c r="P219" s="322">
        <f t="shared" si="31"/>
        <v>0</v>
      </c>
      <c r="Q219" s="322">
        <v>0</v>
      </c>
      <c r="R219" s="322">
        <f t="shared" si="32"/>
        <v>0</v>
      </c>
      <c r="S219" s="322">
        <v>0</v>
      </c>
      <c r="T219" s="323">
        <f t="shared" si="33"/>
        <v>0</v>
      </c>
      <c r="U219" s="222"/>
      <c r="V219" s="222"/>
      <c r="W219" s="222"/>
      <c r="X219" s="222"/>
      <c r="Y219" s="222"/>
      <c r="Z219" s="222"/>
      <c r="AA219" s="222"/>
      <c r="AB219" s="222"/>
      <c r="AC219" s="222"/>
      <c r="AD219" s="222"/>
      <c r="AE219" s="222"/>
      <c r="AR219" s="324" t="s">
        <v>212</v>
      </c>
      <c r="AT219" s="324" t="s">
        <v>148</v>
      </c>
      <c r="AU219" s="324" t="s">
        <v>83</v>
      </c>
      <c r="AY219" s="214" t="s">
        <v>146</v>
      </c>
      <c r="BE219" s="325">
        <f t="shared" si="34"/>
        <v>0</v>
      </c>
      <c r="BF219" s="325">
        <f t="shared" si="35"/>
        <v>0</v>
      </c>
      <c r="BG219" s="325">
        <f t="shared" si="36"/>
        <v>0</v>
      </c>
      <c r="BH219" s="325">
        <f t="shared" si="37"/>
        <v>0</v>
      </c>
      <c r="BI219" s="325">
        <f t="shared" si="38"/>
        <v>0</v>
      </c>
      <c r="BJ219" s="214" t="s">
        <v>81</v>
      </c>
      <c r="BK219" s="325">
        <f t="shared" si="39"/>
        <v>0</v>
      </c>
      <c r="BL219" s="214" t="s">
        <v>212</v>
      </c>
      <c r="BM219" s="324" t="s">
        <v>2309</v>
      </c>
    </row>
    <row r="220" spans="1:65" s="225" customFormat="1" ht="37.9" customHeight="1">
      <c r="A220" s="222"/>
      <c r="B220" s="223"/>
      <c r="C220" s="314" t="s">
        <v>491</v>
      </c>
      <c r="D220" s="314" t="s">
        <v>148</v>
      </c>
      <c r="E220" s="315" t="s">
        <v>2310</v>
      </c>
      <c r="F220" s="316" t="s">
        <v>2311</v>
      </c>
      <c r="G220" s="317" t="s">
        <v>301</v>
      </c>
      <c r="H220" s="318">
        <v>1</v>
      </c>
      <c r="I220" s="79"/>
      <c r="J220" s="319">
        <f t="shared" si="30"/>
        <v>0</v>
      </c>
      <c r="K220" s="316" t="s">
        <v>1</v>
      </c>
      <c r="L220" s="223"/>
      <c r="M220" s="320" t="s">
        <v>1</v>
      </c>
      <c r="N220" s="321" t="s">
        <v>42</v>
      </c>
      <c r="O220" s="322">
        <v>0</v>
      </c>
      <c r="P220" s="322">
        <f t="shared" si="31"/>
        <v>0</v>
      </c>
      <c r="Q220" s="322">
        <v>0</v>
      </c>
      <c r="R220" s="322">
        <f t="shared" si="32"/>
        <v>0</v>
      </c>
      <c r="S220" s="322">
        <v>0</v>
      </c>
      <c r="T220" s="323">
        <f t="shared" si="33"/>
        <v>0</v>
      </c>
      <c r="U220" s="222"/>
      <c r="V220" s="222"/>
      <c r="W220" s="222"/>
      <c r="X220" s="222"/>
      <c r="Y220" s="222"/>
      <c r="Z220" s="222"/>
      <c r="AA220" s="222"/>
      <c r="AB220" s="222"/>
      <c r="AC220" s="222"/>
      <c r="AD220" s="222"/>
      <c r="AE220" s="222"/>
      <c r="AR220" s="324" t="s">
        <v>212</v>
      </c>
      <c r="AT220" s="324" t="s">
        <v>148</v>
      </c>
      <c r="AU220" s="324" t="s">
        <v>83</v>
      </c>
      <c r="AY220" s="214" t="s">
        <v>146</v>
      </c>
      <c r="BE220" s="325">
        <f t="shared" si="34"/>
        <v>0</v>
      </c>
      <c r="BF220" s="325">
        <f t="shared" si="35"/>
        <v>0</v>
      </c>
      <c r="BG220" s="325">
        <f t="shared" si="36"/>
        <v>0</v>
      </c>
      <c r="BH220" s="325">
        <f t="shared" si="37"/>
        <v>0</v>
      </c>
      <c r="BI220" s="325">
        <f t="shared" si="38"/>
        <v>0</v>
      </c>
      <c r="BJ220" s="214" t="s">
        <v>81</v>
      </c>
      <c r="BK220" s="325">
        <f t="shared" si="39"/>
        <v>0</v>
      </c>
      <c r="BL220" s="214" t="s">
        <v>212</v>
      </c>
      <c r="BM220" s="324" t="s">
        <v>2312</v>
      </c>
    </row>
    <row r="221" spans="1:65" s="225" customFormat="1" ht="37.9" customHeight="1">
      <c r="A221" s="222"/>
      <c r="B221" s="223"/>
      <c r="C221" s="314" t="s">
        <v>496</v>
      </c>
      <c r="D221" s="314" t="s">
        <v>148</v>
      </c>
      <c r="E221" s="315" t="s">
        <v>2313</v>
      </c>
      <c r="F221" s="316" t="s">
        <v>2314</v>
      </c>
      <c r="G221" s="317" t="s">
        <v>301</v>
      </c>
      <c r="H221" s="318">
        <v>2</v>
      </c>
      <c r="I221" s="79"/>
      <c r="J221" s="319">
        <f t="shared" si="30"/>
        <v>0</v>
      </c>
      <c r="K221" s="316" t="s">
        <v>1</v>
      </c>
      <c r="L221" s="223"/>
      <c r="M221" s="320" t="s">
        <v>1</v>
      </c>
      <c r="N221" s="321" t="s">
        <v>42</v>
      </c>
      <c r="O221" s="322">
        <v>0</v>
      </c>
      <c r="P221" s="322">
        <f t="shared" si="31"/>
        <v>0</v>
      </c>
      <c r="Q221" s="322">
        <v>0</v>
      </c>
      <c r="R221" s="322">
        <f t="shared" si="32"/>
        <v>0</v>
      </c>
      <c r="S221" s="322">
        <v>0</v>
      </c>
      <c r="T221" s="323">
        <f t="shared" si="33"/>
        <v>0</v>
      </c>
      <c r="U221" s="222"/>
      <c r="V221" s="222"/>
      <c r="W221" s="222"/>
      <c r="X221" s="222"/>
      <c r="Y221" s="222"/>
      <c r="Z221" s="222"/>
      <c r="AA221" s="222"/>
      <c r="AB221" s="222"/>
      <c r="AC221" s="222"/>
      <c r="AD221" s="222"/>
      <c r="AE221" s="222"/>
      <c r="AR221" s="324" t="s">
        <v>212</v>
      </c>
      <c r="AT221" s="324" t="s">
        <v>148</v>
      </c>
      <c r="AU221" s="324" t="s">
        <v>83</v>
      </c>
      <c r="AY221" s="214" t="s">
        <v>146</v>
      </c>
      <c r="BE221" s="325">
        <f t="shared" si="34"/>
        <v>0</v>
      </c>
      <c r="BF221" s="325">
        <f t="shared" si="35"/>
        <v>0</v>
      </c>
      <c r="BG221" s="325">
        <f t="shared" si="36"/>
        <v>0</v>
      </c>
      <c r="BH221" s="325">
        <f t="shared" si="37"/>
        <v>0</v>
      </c>
      <c r="BI221" s="325">
        <f t="shared" si="38"/>
        <v>0</v>
      </c>
      <c r="BJ221" s="214" t="s">
        <v>81</v>
      </c>
      <c r="BK221" s="325">
        <f t="shared" si="39"/>
        <v>0</v>
      </c>
      <c r="BL221" s="214" t="s">
        <v>212</v>
      </c>
      <c r="BM221" s="324" t="s">
        <v>2315</v>
      </c>
    </row>
    <row r="222" spans="1:65" s="225" customFormat="1" ht="37.9" customHeight="1">
      <c r="A222" s="222"/>
      <c r="B222" s="223"/>
      <c r="C222" s="314" t="s">
        <v>500</v>
      </c>
      <c r="D222" s="314" t="s">
        <v>148</v>
      </c>
      <c r="E222" s="315" t="s">
        <v>2316</v>
      </c>
      <c r="F222" s="316" t="s">
        <v>2317</v>
      </c>
      <c r="G222" s="317" t="s">
        <v>301</v>
      </c>
      <c r="H222" s="318">
        <v>4</v>
      </c>
      <c r="I222" s="79"/>
      <c r="J222" s="319">
        <f t="shared" si="30"/>
        <v>0</v>
      </c>
      <c r="K222" s="316" t="s">
        <v>1</v>
      </c>
      <c r="L222" s="223"/>
      <c r="M222" s="320" t="s">
        <v>1</v>
      </c>
      <c r="N222" s="321" t="s">
        <v>42</v>
      </c>
      <c r="O222" s="322">
        <v>0</v>
      </c>
      <c r="P222" s="322">
        <f t="shared" si="31"/>
        <v>0</v>
      </c>
      <c r="Q222" s="322">
        <v>0</v>
      </c>
      <c r="R222" s="322">
        <f t="shared" si="32"/>
        <v>0</v>
      </c>
      <c r="S222" s="322">
        <v>0</v>
      </c>
      <c r="T222" s="323">
        <f t="shared" si="33"/>
        <v>0</v>
      </c>
      <c r="U222" s="222"/>
      <c r="V222" s="222"/>
      <c r="W222" s="222"/>
      <c r="X222" s="222"/>
      <c r="Y222" s="222"/>
      <c r="Z222" s="222"/>
      <c r="AA222" s="222"/>
      <c r="AB222" s="222"/>
      <c r="AC222" s="222"/>
      <c r="AD222" s="222"/>
      <c r="AE222" s="222"/>
      <c r="AR222" s="324" t="s">
        <v>212</v>
      </c>
      <c r="AT222" s="324" t="s">
        <v>148</v>
      </c>
      <c r="AU222" s="324" t="s">
        <v>83</v>
      </c>
      <c r="AY222" s="214" t="s">
        <v>146</v>
      </c>
      <c r="BE222" s="325">
        <f t="shared" si="34"/>
        <v>0</v>
      </c>
      <c r="BF222" s="325">
        <f t="shared" si="35"/>
        <v>0</v>
      </c>
      <c r="BG222" s="325">
        <f t="shared" si="36"/>
        <v>0</v>
      </c>
      <c r="BH222" s="325">
        <f t="shared" si="37"/>
        <v>0</v>
      </c>
      <c r="BI222" s="325">
        <f t="shared" si="38"/>
        <v>0</v>
      </c>
      <c r="BJ222" s="214" t="s">
        <v>81</v>
      </c>
      <c r="BK222" s="325">
        <f t="shared" si="39"/>
        <v>0</v>
      </c>
      <c r="BL222" s="214" t="s">
        <v>212</v>
      </c>
      <c r="BM222" s="324" t="s">
        <v>2318</v>
      </c>
    </row>
    <row r="223" spans="1:65" s="225" customFormat="1" ht="37.9" customHeight="1">
      <c r="A223" s="222"/>
      <c r="B223" s="223"/>
      <c r="C223" s="314" t="s">
        <v>502</v>
      </c>
      <c r="D223" s="314" t="s">
        <v>148</v>
      </c>
      <c r="E223" s="315" t="s">
        <v>2319</v>
      </c>
      <c r="F223" s="316" t="s">
        <v>2320</v>
      </c>
      <c r="G223" s="317" t="s">
        <v>301</v>
      </c>
      <c r="H223" s="318">
        <v>2</v>
      </c>
      <c r="I223" s="79"/>
      <c r="J223" s="319">
        <f t="shared" si="30"/>
        <v>0</v>
      </c>
      <c r="K223" s="316" t="s">
        <v>1</v>
      </c>
      <c r="L223" s="223"/>
      <c r="M223" s="320" t="s">
        <v>1</v>
      </c>
      <c r="N223" s="321" t="s">
        <v>42</v>
      </c>
      <c r="O223" s="322">
        <v>0</v>
      </c>
      <c r="P223" s="322">
        <f t="shared" si="31"/>
        <v>0</v>
      </c>
      <c r="Q223" s="322">
        <v>0</v>
      </c>
      <c r="R223" s="322">
        <f t="shared" si="32"/>
        <v>0</v>
      </c>
      <c r="S223" s="322">
        <v>0</v>
      </c>
      <c r="T223" s="323">
        <f t="shared" si="33"/>
        <v>0</v>
      </c>
      <c r="U223" s="222"/>
      <c r="V223" s="222"/>
      <c r="W223" s="222"/>
      <c r="X223" s="222"/>
      <c r="Y223" s="222"/>
      <c r="Z223" s="222"/>
      <c r="AA223" s="222"/>
      <c r="AB223" s="222"/>
      <c r="AC223" s="222"/>
      <c r="AD223" s="222"/>
      <c r="AE223" s="222"/>
      <c r="AR223" s="324" t="s">
        <v>212</v>
      </c>
      <c r="AT223" s="324" t="s">
        <v>148</v>
      </c>
      <c r="AU223" s="324" t="s">
        <v>83</v>
      </c>
      <c r="AY223" s="214" t="s">
        <v>146</v>
      </c>
      <c r="BE223" s="325">
        <f t="shared" si="34"/>
        <v>0</v>
      </c>
      <c r="BF223" s="325">
        <f t="shared" si="35"/>
        <v>0</v>
      </c>
      <c r="BG223" s="325">
        <f t="shared" si="36"/>
        <v>0</v>
      </c>
      <c r="BH223" s="325">
        <f t="shared" si="37"/>
        <v>0</v>
      </c>
      <c r="BI223" s="325">
        <f t="shared" si="38"/>
        <v>0</v>
      </c>
      <c r="BJ223" s="214" t="s">
        <v>81</v>
      </c>
      <c r="BK223" s="325">
        <f t="shared" si="39"/>
        <v>0</v>
      </c>
      <c r="BL223" s="214" t="s">
        <v>212</v>
      </c>
      <c r="BM223" s="324" t="s">
        <v>2321</v>
      </c>
    </row>
    <row r="224" spans="1:65" s="225" customFormat="1" ht="37.9" customHeight="1">
      <c r="A224" s="222"/>
      <c r="B224" s="223"/>
      <c r="C224" s="314" t="s">
        <v>503</v>
      </c>
      <c r="D224" s="314" t="s">
        <v>148</v>
      </c>
      <c r="E224" s="315" t="s">
        <v>2322</v>
      </c>
      <c r="F224" s="316" t="s">
        <v>2323</v>
      </c>
      <c r="G224" s="317" t="s">
        <v>301</v>
      </c>
      <c r="H224" s="318">
        <v>4</v>
      </c>
      <c r="I224" s="79"/>
      <c r="J224" s="319">
        <f t="shared" si="30"/>
        <v>0</v>
      </c>
      <c r="K224" s="316" t="s">
        <v>1</v>
      </c>
      <c r="L224" s="223"/>
      <c r="M224" s="320" t="s">
        <v>1</v>
      </c>
      <c r="N224" s="321" t="s">
        <v>42</v>
      </c>
      <c r="O224" s="322">
        <v>0</v>
      </c>
      <c r="P224" s="322">
        <f t="shared" si="31"/>
        <v>0</v>
      </c>
      <c r="Q224" s="322">
        <v>0</v>
      </c>
      <c r="R224" s="322">
        <f t="shared" si="32"/>
        <v>0</v>
      </c>
      <c r="S224" s="322">
        <v>0</v>
      </c>
      <c r="T224" s="323">
        <f t="shared" si="33"/>
        <v>0</v>
      </c>
      <c r="U224" s="222"/>
      <c r="V224" s="222"/>
      <c r="W224" s="222"/>
      <c r="X224" s="222"/>
      <c r="Y224" s="222"/>
      <c r="Z224" s="222"/>
      <c r="AA224" s="222"/>
      <c r="AB224" s="222"/>
      <c r="AC224" s="222"/>
      <c r="AD224" s="222"/>
      <c r="AE224" s="222"/>
      <c r="AR224" s="324" t="s">
        <v>212</v>
      </c>
      <c r="AT224" s="324" t="s">
        <v>148</v>
      </c>
      <c r="AU224" s="324" t="s">
        <v>83</v>
      </c>
      <c r="AY224" s="214" t="s">
        <v>146</v>
      </c>
      <c r="BE224" s="325">
        <f t="shared" si="34"/>
        <v>0</v>
      </c>
      <c r="BF224" s="325">
        <f t="shared" si="35"/>
        <v>0</v>
      </c>
      <c r="BG224" s="325">
        <f t="shared" si="36"/>
        <v>0</v>
      </c>
      <c r="BH224" s="325">
        <f t="shared" si="37"/>
        <v>0</v>
      </c>
      <c r="BI224" s="325">
        <f t="shared" si="38"/>
        <v>0</v>
      </c>
      <c r="BJ224" s="214" t="s">
        <v>81</v>
      </c>
      <c r="BK224" s="325">
        <f t="shared" si="39"/>
        <v>0</v>
      </c>
      <c r="BL224" s="214" t="s">
        <v>212</v>
      </c>
      <c r="BM224" s="324" t="s">
        <v>2324</v>
      </c>
    </row>
    <row r="225" spans="1:65" s="225" customFormat="1" ht="37.9" customHeight="1">
      <c r="A225" s="222"/>
      <c r="B225" s="223"/>
      <c r="C225" s="314" t="s">
        <v>513</v>
      </c>
      <c r="D225" s="314" t="s">
        <v>148</v>
      </c>
      <c r="E225" s="315" t="s">
        <v>2325</v>
      </c>
      <c r="F225" s="316" t="s">
        <v>2326</v>
      </c>
      <c r="G225" s="317" t="s">
        <v>301</v>
      </c>
      <c r="H225" s="318">
        <v>2</v>
      </c>
      <c r="I225" s="79"/>
      <c r="J225" s="319">
        <f t="shared" si="30"/>
        <v>0</v>
      </c>
      <c r="K225" s="316" t="s">
        <v>1</v>
      </c>
      <c r="L225" s="223"/>
      <c r="M225" s="320" t="s">
        <v>1</v>
      </c>
      <c r="N225" s="321" t="s">
        <v>42</v>
      </c>
      <c r="O225" s="322">
        <v>0</v>
      </c>
      <c r="P225" s="322">
        <f t="shared" si="31"/>
        <v>0</v>
      </c>
      <c r="Q225" s="322">
        <v>0</v>
      </c>
      <c r="R225" s="322">
        <f t="shared" si="32"/>
        <v>0</v>
      </c>
      <c r="S225" s="322">
        <v>0</v>
      </c>
      <c r="T225" s="323">
        <f t="shared" si="33"/>
        <v>0</v>
      </c>
      <c r="U225" s="222"/>
      <c r="V225" s="222"/>
      <c r="W225" s="222"/>
      <c r="X225" s="222"/>
      <c r="Y225" s="222"/>
      <c r="Z225" s="222"/>
      <c r="AA225" s="222"/>
      <c r="AB225" s="222"/>
      <c r="AC225" s="222"/>
      <c r="AD225" s="222"/>
      <c r="AE225" s="222"/>
      <c r="AR225" s="324" t="s">
        <v>212</v>
      </c>
      <c r="AT225" s="324" t="s">
        <v>148</v>
      </c>
      <c r="AU225" s="324" t="s">
        <v>83</v>
      </c>
      <c r="AY225" s="214" t="s">
        <v>146</v>
      </c>
      <c r="BE225" s="325">
        <f t="shared" si="34"/>
        <v>0</v>
      </c>
      <c r="BF225" s="325">
        <f t="shared" si="35"/>
        <v>0</v>
      </c>
      <c r="BG225" s="325">
        <f t="shared" si="36"/>
        <v>0</v>
      </c>
      <c r="BH225" s="325">
        <f t="shared" si="37"/>
        <v>0</v>
      </c>
      <c r="BI225" s="325">
        <f t="shared" si="38"/>
        <v>0</v>
      </c>
      <c r="BJ225" s="214" t="s">
        <v>81</v>
      </c>
      <c r="BK225" s="325">
        <f t="shared" si="39"/>
        <v>0</v>
      </c>
      <c r="BL225" s="214" t="s">
        <v>212</v>
      </c>
      <c r="BM225" s="324" t="s">
        <v>2327</v>
      </c>
    </row>
    <row r="226" spans="1:65" s="225" customFormat="1" ht="37.9" customHeight="1">
      <c r="A226" s="222"/>
      <c r="B226" s="223"/>
      <c r="C226" s="314" t="s">
        <v>517</v>
      </c>
      <c r="D226" s="314" t="s">
        <v>148</v>
      </c>
      <c r="E226" s="315" t="s">
        <v>2328</v>
      </c>
      <c r="F226" s="316" t="s">
        <v>2329</v>
      </c>
      <c r="G226" s="317" t="s">
        <v>301</v>
      </c>
      <c r="H226" s="318">
        <v>1</v>
      </c>
      <c r="I226" s="79"/>
      <c r="J226" s="319">
        <f t="shared" si="30"/>
        <v>0</v>
      </c>
      <c r="K226" s="316" t="s">
        <v>1</v>
      </c>
      <c r="L226" s="223"/>
      <c r="M226" s="320" t="s">
        <v>1</v>
      </c>
      <c r="N226" s="321" t="s">
        <v>42</v>
      </c>
      <c r="O226" s="322">
        <v>0</v>
      </c>
      <c r="P226" s="322">
        <f t="shared" si="31"/>
        <v>0</v>
      </c>
      <c r="Q226" s="322">
        <v>0</v>
      </c>
      <c r="R226" s="322">
        <f t="shared" si="32"/>
        <v>0</v>
      </c>
      <c r="S226" s="322">
        <v>0</v>
      </c>
      <c r="T226" s="323">
        <f t="shared" si="33"/>
        <v>0</v>
      </c>
      <c r="U226" s="222"/>
      <c r="V226" s="222"/>
      <c r="W226" s="222"/>
      <c r="X226" s="222"/>
      <c r="Y226" s="222"/>
      <c r="Z226" s="222"/>
      <c r="AA226" s="222"/>
      <c r="AB226" s="222"/>
      <c r="AC226" s="222"/>
      <c r="AD226" s="222"/>
      <c r="AE226" s="222"/>
      <c r="AR226" s="324" t="s">
        <v>212</v>
      </c>
      <c r="AT226" s="324" t="s">
        <v>148</v>
      </c>
      <c r="AU226" s="324" t="s">
        <v>83</v>
      </c>
      <c r="AY226" s="214" t="s">
        <v>146</v>
      </c>
      <c r="BE226" s="325">
        <f t="shared" si="34"/>
        <v>0</v>
      </c>
      <c r="BF226" s="325">
        <f t="shared" si="35"/>
        <v>0</v>
      </c>
      <c r="BG226" s="325">
        <f t="shared" si="36"/>
        <v>0</v>
      </c>
      <c r="BH226" s="325">
        <f t="shared" si="37"/>
        <v>0</v>
      </c>
      <c r="BI226" s="325">
        <f t="shared" si="38"/>
        <v>0</v>
      </c>
      <c r="BJ226" s="214" t="s">
        <v>81</v>
      </c>
      <c r="BK226" s="325">
        <f t="shared" si="39"/>
        <v>0</v>
      </c>
      <c r="BL226" s="214" t="s">
        <v>212</v>
      </c>
      <c r="BM226" s="324" t="s">
        <v>2330</v>
      </c>
    </row>
    <row r="227" spans="1:65" s="225" customFormat="1" ht="37.9" customHeight="1">
      <c r="A227" s="222"/>
      <c r="B227" s="223"/>
      <c r="C227" s="314" t="s">
        <v>520</v>
      </c>
      <c r="D227" s="314" t="s">
        <v>148</v>
      </c>
      <c r="E227" s="315" t="s">
        <v>2331</v>
      </c>
      <c r="F227" s="316" t="s">
        <v>2332</v>
      </c>
      <c r="G227" s="317" t="s">
        <v>301</v>
      </c>
      <c r="H227" s="318">
        <v>1</v>
      </c>
      <c r="I227" s="79"/>
      <c r="J227" s="319">
        <f t="shared" si="30"/>
        <v>0</v>
      </c>
      <c r="K227" s="316" t="s">
        <v>1</v>
      </c>
      <c r="L227" s="223"/>
      <c r="M227" s="320" t="s">
        <v>1</v>
      </c>
      <c r="N227" s="321" t="s">
        <v>42</v>
      </c>
      <c r="O227" s="322">
        <v>0</v>
      </c>
      <c r="P227" s="322">
        <f t="shared" si="31"/>
        <v>0</v>
      </c>
      <c r="Q227" s="322">
        <v>0</v>
      </c>
      <c r="R227" s="322">
        <f t="shared" si="32"/>
        <v>0</v>
      </c>
      <c r="S227" s="322">
        <v>0</v>
      </c>
      <c r="T227" s="323">
        <f t="shared" si="33"/>
        <v>0</v>
      </c>
      <c r="U227" s="222"/>
      <c r="V227" s="222"/>
      <c r="W227" s="222"/>
      <c r="X227" s="222"/>
      <c r="Y227" s="222"/>
      <c r="Z227" s="222"/>
      <c r="AA227" s="222"/>
      <c r="AB227" s="222"/>
      <c r="AC227" s="222"/>
      <c r="AD227" s="222"/>
      <c r="AE227" s="222"/>
      <c r="AR227" s="324" t="s">
        <v>212</v>
      </c>
      <c r="AT227" s="324" t="s">
        <v>148</v>
      </c>
      <c r="AU227" s="324" t="s">
        <v>83</v>
      </c>
      <c r="AY227" s="214" t="s">
        <v>146</v>
      </c>
      <c r="BE227" s="325">
        <f t="shared" si="34"/>
        <v>0</v>
      </c>
      <c r="BF227" s="325">
        <f t="shared" si="35"/>
        <v>0</v>
      </c>
      <c r="BG227" s="325">
        <f t="shared" si="36"/>
        <v>0</v>
      </c>
      <c r="BH227" s="325">
        <f t="shared" si="37"/>
        <v>0</v>
      </c>
      <c r="BI227" s="325">
        <f t="shared" si="38"/>
        <v>0</v>
      </c>
      <c r="BJ227" s="214" t="s">
        <v>81</v>
      </c>
      <c r="BK227" s="325">
        <f t="shared" si="39"/>
        <v>0</v>
      </c>
      <c r="BL227" s="214" t="s">
        <v>212</v>
      </c>
      <c r="BM227" s="324" t="s">
        <v>2333</v>
      </c>
    </row>
    <row r="228" spans="1:65" s="225" customFormat="1" ht="37.9" customHeight="1">
      <c r="A228" s="222"/>
      <c r="B228" s="223"/>
      <c r="C228" s="314" t="s">
        <v>523</v>
      </c>
      <c r="D228" s="314" t="s">
        <v>148</v>
      </c>
      <c r="E228" s="315" t="s">
        <v>2334</v>
      </c>
      <c r="F228" s="316" t="s">
        <v>2335</v>
      </c>
      <c r="G228" s="317" t="s">
        <v>301</v>
      </c>
      <c r="H228" s="318">
        <v>1</v>
      </c>
      <c r="I228" s="79"/>
      <c r="J228" s="319">
        <f t="shared" si="30"/>
        <v>0</v>
      </c>
      <c r="K228" s="316" t="s">
        <v>1</v>
      </c>
      <c r="L228" s="223"/>
      <c r="M228" s="320" t="s">
        <v>1</v>
      </c>
      <c r="N228" s="321" t="s">
        <v>42</v>
      </c>
      <c r="O228" s="322">
        <v>0</v>
      </c>
      <c r="P228" s="322">
        <f t="shared" si="31"/>
        <v>0</v>
      </c>
      <c r="Q228" s="322">
        <v>0</v>
      </c>
      <c r="R228" s="322">
        <f t="shared" si="32"/>
        <v>0</v>
      </c>
      <c r="S228" s="322">
        <v>0</v>
      </c>
      <c r="T228" s="323">
        <f t="shared" si="33"/>
        <v>0</v>
      </c>
      <c r="U228" s="222"/>
      <c r="V228" s="222"/>
      <c r="W228" s="222"/>
      <c r="X228" s="222"/>
      <c r="Y228" s="222"/>
      <c r="Z228" s="222"/>
      <c r="AA228" s="222"/>
      <c r="AB228" s="222"/>
      <c r="AC228" s="222"/>
      <c r="AD228" s="222"/>
      <c r="AE228" s="222"/>
      <c r="AR228" s="324" t="s">
        <v>212</v>
      </c>
      <c r="AT228" s="324" t="s">
        <v>148</v>
      </c>
      <c r="AU228" s="324" t="s">
        <v>83</v>
      </c>
      <c r="AY228" s="214" t="s">
        <v>146</v>
      </c>
      <c r="BE228" s="325">
        <f t="shared" si="34"/>
        <v>0</v>
      </c>
      <c r="BF228" s="325">
        <f t="shared" si="35"/>
        <v>0</v>
      </c>
      <c r="BG228" s="325">
        <f t="shared" si="36"/>
        <v>0</v>
      </c>
      <c r="BH228" s="325">
        <f t="shared" si="37"/>
        <v>0</v>
      </c>
      <c r="BI228" s="325">
        <f t="shared" si="38"/>
        <v>0</v>
      </c>
      <c r="BJ228" s="214" t="s">
        <v>81</v>
      </c>
      <c r="BK228" s="325">
        <f t="shared" si="39"/>
        <v>0</v>
      </c>
      <c r="BL228" s="214" t="s">
        <v>212</v>
      </c>
      <c r="BM228" s="324" t="s">
        <v>2336</v>
      </c>
    </row>
    <row r="229" spans="1:65" s="225" customFormat="1" ht="24.2" customHeight="1">
      <c r="A229" s="222"/>
      <c r="B229" s="223"/>
      <c r="C229" s="314" t="s">
        <v>529</v>
      </c>
      <c r="D229" s="314" t="s">
        <v>148</v>
      </c>
      <c r="E229" s="315" t="s">
        <v>2337</v>
      </c>
      <c r="F229" s="316" t="s">
        <v>2338</v>
      </c>
      <c r="G229" s="317" t="s">
        <v>301</v>
      </c>
      <c r="H229" s="318">
        <v>28</v>
      </c>
      <c r="I229" s="79"/>
      <c r="J229" s="319">
        <f t="shared" si="30"/>
        <v>0</v>
      </c>
      <c r="K229" s="316" t="s">
        <v>1</v>
      </c>
      <c r="L229" s="223"/>
      <c r="M229" s="320" t="s">
        <v>1</v>
      </c>
      <c r="N229" s="321" t="s">
        <v>42</v>
      </c>
      <c r="O229" s="322">
        <v>0</v>
      </c>
      <c r="P229" s="322">
        <f t="shared" si="31"/>
        <v>0</v>
      </c>
      <c r="Q229" s="322">
        <v>0</v>
      </c>
      <c r="R229" s="322">
        <f t="shared" si="32"/>
        <v>0</v>
      </c>
      <c r="S229" s="322">
        <v>0</v>
      </c>
      <c r="T229" s="323">
        <f t="shared" si="33"/>
        <v>0</v>
      </c>
      <c r="U229" s="222"/>
      <c r="V229" s="222"/>
      <c r="W229" s="222"/>
      <c r="X229" s="222"/>
      <c r="Y229" s="222"/>
      <c r="Z229" s="222"/>
      <c r="AA229" s="222"/>
      <c r="AB229" s="222"/>
      <c r="AC229" s="222"/>
      <c r="AD229" s="222"/>
      <c r="AE229" s="222"/>
      <c r="AR229" s="324" t="s">
        <v>212</v>
      </c>
      <c r="AT229" s="324" t="s">
        <v>148</v>
      </c>
      <c r="AU229" s="324" t="s">
        <v>83</v>
      </c>
      <c r="AY229" s="214" t="s">
        <v>146</v>
      </c>
      <c r="BE229" s="325">
        <f t="shared" si="34"/>
        <v>0</v>
      </c>
      <c r="BF229" s="325">
        <f t="shared" si="35"/>
        <v>0</v>
      </c>
      <c r="BG229" s="325">
        <f t="shared" si="36"/>
        <v>0</v>
      </c>
      <c r="BH229" s="325">
        <f t="shared" si="37"/>
        <v>0</v>
      </c>
      <c r="BI229" s="325">
        <f t="shared" si="38"/>
        <v>0</v>
      </c>
      <c r="BJ229" s="214" t="s">
        <v>81</v>
      </c>
      <c r="BK229" s="325">
        <f t="shared" si="39"/>
        <v>0</v>
      </c>
      <c r="BL229" s="214" t="s">
        <v>212</v>
      </c>
      <c r="BM229" s="324" t="s">
        <v>2339</v>
      </c>
    </row>
    <row r="230" spans="1:65" s="225" customFormat="1" ht="24.2" customHeight="1">
      <c r="A230" s="222"/>
      <c r="B230" s="223"/>
      <c r="C230" s="314" t="s">
        <v>539</v>
      </c>
      <c r="D230" s="314" t="s">
        <v>148</v>
      </c>
      <c r="E230" s="315" t="s">
        <v>2340</v>
      </c>
      <c r="F230" s="316" t="s">
        <v>2341</v>
      </c>
      <c r="G230" s="317" t="s">
        <v>301</v>
      </c>
      <c r="H230" s="318">
        <v>1</v>
      </c>
      <c r="I230" s="79"/>
      <c r="J230" s="319">
        <f t="shared" si="30"/>
        <v>0</v>
      </c>
      <c r="K230" s="316" t="s">
        <v>1</v>
      </c>
      <c r="L230" s="223"/>
      <c r="M230" s="320" t="s">
        <v>1</v>
      </c>
      <c r="N230" s="321" t="s">
        <v>42</v>
      </c>
      <c r="O230" s="322">
        <v>0</v>
      </c>
      <c r="P230" s="322">
        <f t="shared" si="31"/>
        <v>0</v>
      </c>
      <c r="Q230" s="322">
        <v>0</v>
      </c>
      <c r="R230" s="322">
        <f t="shared" si="32"/>
        <v>0</v>
      </c>
      <c r="S230" s="322">
        <v>0</v>
      </c>
      <c r="T230" s="323">
        <f t="shared" si="33"/>
        <v>0</v>
      </c>
      <c r="U230" s="222"/>
      <c r="V230" s="222"/>
      <c r="W230" s="222"/>
      <c r="X230" s="222"/>
      <c r="Y230" s="222"/>
      <c r="Z230" s="222"/>
      <c r="AA230" s="222"/>
      <c r="AB230" s="222"/>
      <c r="AC230" s="222"/>
      <c r="AD230" s="222"/>
      <c r="AE230" s="222"/>
      <c r="AR230" s="324" t="s">
        <v>212</v>
      </c>
      <c r="AT230" s="324" t="s">
        <v>148</v>
      </c>
      <c r="AU230" s="324" t="s">
        <v>83</v>
      </c>
      <c r="AY230" s="214" t="s">
        <v>146</v>
      </c>
      <c r="BE230" s="325">
        <f t="shared" si="34"/>
        <v>0</v>
      </c>
      <c r="BF230" s="325">
        <f t="shared" si="35"/>
        <v>0</v>
      </c>
      <c r="BG230" s="325">
        <f t="shared" si="36"/>
        <v>0</v>
      </c>
      <c r="BH230" s="325">
        <f t="shared" si="37"/>
        <v>0</v>
      </c>
      <c r="BI230" s="325">
        <f t="shared" si="38"/>
        <v>0</v>
      </c>
      <c r="BJ230" s="214" t="s">
        <v>81</v>
      </c>
      <c r="BK230" s="325">
        <f t="shared" si="39"/>
        <v>0</v>
      </c>
      <c r="BL230" s="214" t="s">
        <v>212</v>
      </c>
      <c r="BM230" s="324" t="s">
        <v>2342</v>
      </c>
    </row>
    <row r="231" spans="1:65" s="225" customFormat="1" ht="24.2" customHeight="1">
      <c r="A231" s="222"/>
      <c r="B231" s="223"/>
      <c r="C231" s="314" t="s">
        <v>542</v>
      </c>
      <c r="D231" s="314" t="s">
        <v>148</v>
      </c>
      <c r="E231" s="315" t="s">
        <v>2343</v>
      </c>
      <c r="F231" s="316" t="s">
        <v>2344</v>
      </c>
      <c r="G231" s="317" t="s">
        <v>301</v>
      </c>
      <c r="H231" s="318">
        <v>1</v>
      </c>
      <c r="I231" s="79"/>
      <c r="J231" s="319">
        <f t="shared" si="30"/>
        <v>0</v>
      </c>
      <c r="K231" s="316" t="s">
        <v>1</v>
      </c>
      <c r="L231" s="223"/>
      <c r="M231" s="320" t="s">
        <v>1</v>
      </c>
      <c r="N231" s="321" t="s">
        <v>42</v>
      </c>
      <c r="O231" s="322">
        <v>0</v>
      </c>
      <c r="P231" s="322">
        <f t="shared" si="31"/>
        <v>0</v>
      </c>
      <c r="Q231" s="322">
        <v>0</v>
      </c>
      <c r="R231" s="322">
        <f t="shared" si="32"/>
        <v>0</v>
      </c>
      <c r="S231" s="322">
        <v>0</v>
      </c>
      <c r="T231" s="323">
        <f t="shared" si="33"/>
        <v>0</v>
      </c>
      <c r="U231" s="222"/>
      <c r="V231" s="222"/>
      <c r="W231" s="222"/>
      <c r="X231" s="222"/>
      <c r="Y231" s="222"/>
      <c r="Z231" s="222"/>
      <c r="AA231" s="222"/>
      <c r="AB231" s="222"/>
      <c r="AC231" s="222"/>
      <c r="AD231" s="222"/>
      <c r="AE231" s="222"/>
      <c r="AR231" s="324" t="s">
        <v>212</v>
      </c>
      <c r="AT231" s="324" t="s">
        <v>148</v>
      </c>
      <c r="AU231" s="324" t="s">
        <v>83</v>
      </c>
      <c r="AY231" s="214" t="s">
        <v>146</v>
      </c>
      <c r="BE231" s="325">
        <f t="shared" si="34"/>
        <v>0</v>
      </c>
      <c r="BF231" s="325">
        <f t="shared" si="35"/>
        <v>0</v>
      </c>
      <c r="BG231" s="325">
        <f t="shared" si="36"/>
        <v>0</v>
      </c>
      <c r="BH231" s="325">
        <f t="shared" si="37"/>
        <v>0</v>
      </c>
      <c r="BI231" s="325">
        <f t="shared" si="38"/>
        <v>0</v>
      </c>
      <c r="BJ231" s="214" t="s">
        <v>81</v>
      </c>
      <c r="BK231" s="325">
        <f t="shared" si="39"/>
        <v>0</v>
      </c>
      <c r="BL231" s="214" t="s">
        <v>212</v>
      </c>
      <c r="BM231" s="324" t="s">
        <v>2345</v>
      </c>
    </row>
    <row r="232" spans="1:65" s="225" customFormat="1" ht="24.2" customHeight="1">
      <c r="A232" s="222"/>
      <c r="B232" s="223"/>
      <c r="C232" s="314" t="s">
        <v>550</v>
      </c>
      <c r="D232" s="314" t="s">
        <v>148</v>
      </c>
      <c r="E232" s="315" t="s">
        <v>2346</v>
      </c>
      <c r="F232" s="316" t="s">
        <v>2347</v>
      </c>
      <c r="G232" s="317" t="s">
        <v>301</v>
      </c>
      <c r="H232" s="318">
        <v>1</v>
      </c>
      <c r="I232" s="79"/>
      <c r="J232" s="319">
        <f t="shared" si="30"/>
        <v>0</v>
      </c>
      <c r="K232" s="316" t="s">
        <v>1</v>
      </c>
      <c r="L232" s="223"/>
      <c r="M232" s="320" t="s">
        <v>1</v>
      </c>
      <c r="N232" s="321" t="s">
        <v>42</v>
      </c>
      <c r="O232" s="322">
        <v>0</v>
      </c>
      <c r="P232" s="322">
        <f t="shared" si="31"/>
        <v>0</v>
      </c>
      <c r="Q232" s="322">
        <v>0</v>
      </c>
      <c r="R232" s="322">
        <f t="shared" si="32"/>
        <v>0</v>
      </c>
      <c r="S232" s="322">
        <v>0</v>
      </c>
      <c r="T232" s="323">
        <f t="shared" si="33"/>
        <v>0</v>
      </c>
      <c r="U232" s="222"/>
      <c r="V232" s="222"/>
      <c r="W232" s="222"/>
      <c r="X232" s="222"/>
      <c r="Y232" s="222"/>
      <c r="Z232" s="222"/>
      <c r="AA232" s="222"/>
      <c r="AB232" s="222"/>
      <c r="AC232" s="222"/>
      <c r="AD232" s="222"/>
      <c r="AE232" s="222"/>
      <c r="AR232" s="324" t="s">
        <v>212</v>
      </c>
      <c r="AT232" s="324" t="s">
        <v>148</v>
      </c>
      <c r="AU232" s="324" t="s">
        <v>83</v>
      </c>
      <c r="AY232" s="214" t="s">
        <v>146</v>
      </c>
      <c r="BE232" s="325">
        <f t="shared" si="34"/>
        <v>0</v>
      </c>
      <c r="BF232" s="325">
        <f t="shared" si="35"/>
        <v>0</v>
      </c>
      <c r="BG232" s="325">
        <f t="shared" si="36"/>
        <v>0</v>
      </c>
      <c r="BH232" s="325">
        <f t="shared" si="37"/>
        <v>0</v>
      </c>
      <c r="BI232" s="325">
        <f t="shared" si="38"/>
        <v>0</v>
      </c>
      <c r="BJ232" s="214" t="s">
        <v>81</v>
      </c>
      <c r="BK232" s="325">
        <f t="shared" si="39"/>
        <v>0</v>
      </c>
      <c r="BL232" s="214" t="s">
        <v>212</v>
      </c>
      <c r="BM232" s="324" t="s">
        <v>2348</v>
      </c>
    </row>
    <row r="233" spans="1:65" s="225" customFormat="1" ht="24.2" customHeight="1">
      <c r="A233" s="222"/>
      <c r="B233" s="223"/>
      <c r="C233" s="314" t="s">
        <v>551</v>
      </c>
      <c r="D233" s="314" t="s">
        <v>148</v>
      </c>
      <c r="E233" s="315" t="s">
        <v>2349</v>
      </c>
      <c r="F233" s="316" t="s">
        <v>2350</v>
      </c>
      <c r="G233" s="317" t="s">
        <v>301</v>
      </c>
      <c r="H233" s="318">
        <v>1</v>
      </c>
      <c r="I233" s="79"/>
      <c r="J233" s="319">
        <f t="shared" si="30"/>
        <v>0</v>
      </c>
      <c r="K233" s="316" t="s">
        <v>1</v>
      </c>
      <c r="L233" s="223"/>
      <c r="M233" s="320" t="s">
        <v>1</v>
      </c>
      <c r="N233" s="321" t="s">
        <v>42</v>
      </c>
      <c r="O233" s="322">
        <v>0</v>
      </c>
      <c r="P233" s="322">
        <f t="shared" si="31"/>
        <v>0</v>
      </c>
      <c r="Q233" s="322">
        <v>0</v>
      </c>
      <c r="R233" s="322">
        <f t="shared" si="32"/>
        <v>0</v>
      </c>
      <c r="S233" s="322">
        <v>0</v>
      </c>
      <c r="T233" s="323">
        <f t="shared" si="33"/>
        <v>0</v>
      </c>
      <c r="U233" s="222"/>
      <c r="V233" s="222"/>
      <c r="W233" s="222"/>
      <c r="X233" s="222"/>
      <c r="Y233" s="222"/>
      <c r="Z233" s="222"/>
      <c r="AA233" s="222"/>
      <c r="AB233" s="222"/>
      <c r="AC233" s="222"/>
      <c r="AD233" s="222"/>
      <c r="AE233" s="222"/>
      <c r="AR233" s="324" t="s">
        <v>212</v>
      </c>
      <c r="AT233" s="324" t="s">
        <v>148</v>
      </c>
      <c r="AU233" s="324" t="s">
        <v>83</v>
      </c>
      <c r="AY233" s="214" t="s">
        <v>146</v>
      </c>
      <c r="BE233" s="325">
        <f t="shared" si="34"/>
        <v>0</v>
      </c>
      <c r="BF233" s="325">
        <f t="shared" si="35"/>
        <v>0</v>
      </c>
      <c r="BG233" s="325">
        <f t="shared" si="36"/>
        <v>0</v>
      </c>
      <c r="BH233" s="325">
        <f t="shared" si="37"/>
        <v>0</v>
      </c>
      <c r="BI233" s="325">
        <f t="shared" si="38"/>
        <v>0</v>
      </c>
      <c r="BJ233" s="214" t="s">
        <v>81</v>
      </c>
      <c r="BK233" s="325">
        <f t="shared" si="39"/>
        <v>0</v>
      </c>
      <c r="BL233" s="214" t="s">
        <v>212</v>
      </c>
      <c r="BM233" s="324" t="s">
        <v>2351</v>
      </c>
    </row>
    <row r="234" spans="1:65" s="225" customFormat="1" ht="24.2" customHeight="1">
      <c r="A234" s="222"/>
      <c r="B234" s="223"/>
      <c r="C234" s="314" t="s">
        <v>552</v>
      </c>
      <c r="D234" s="314" t="s">
        <v>148</v>
      </c>
      <c r="E234" s="315" t="s">
        <v>2352</v>
      </c>
      <c r="F234" s="316" t="s">
        <v>2353</v>
      </c>
      <c r="G234" s="317" t="s">
        <v>301</v>
      </c>
      <c r="H234" s="318">
        <v>1</v>
      </c>
      <c r="I234" s="79"/>
      <c r="J234" s="319">
        <f t="shared" si="30"/>
        <v>0</v>
      </c>
      <c r="K234" s="316" t="s">
        <v>1</v>
      </c>
      <c r="L234" s="223"/>
      <c r="M234" s="320" t="s">
        <v>1</v>
      </c>
      <c r="N234" s="321" t="s">
        <v>42</v>
      </c>
      <c r="O234" s="322">
        <v>0</v>
      </c>
      <c r="P234" s="322">
        <f t="shared" si="31"/>
        <v>0</v>
      </c>
      <c r="Q234" s="322">
        <v>0</v>
      </c>
      <c r="R234" s="322">
        <f t="shared" si="32"/>
        <v>0</v>
      </c>
      <c r="S234" s="322">
        <v>0</v>
      </c>
      <c r="T234" s="323">
        <f t="shared" si="33"/>
        <v>0</v>
      </c>
      <c r="U234" s="222"/>
      <c r="V234" s="222"/>
      <c r="W234" s="222"/>
      <c r="X234" s="222"/>
      <c r="Y234" s="222"/>
      <c r="Z234" s="222"/>
      <c r="AA234" s="222"/>
      <c r="AB234" s="222"/>
      <c r="AC234" s="222"/>
      <c r="AD234" s="222"/>
      <c r="AE234" s="222"/>
      <c r="AR234" s="324" t="s">
        <v>212</v>
      </c>
      <c r="AT234" s="324" t="s">
        <v>148</v>
      </c>
      <c r="AU234" s="324" t="s">
        <v>83</v>
      </c>
      <c r="AY234" s="214" t="s">
        <v>146</v>
      </c>
      <c r="BE234" s="325">
        <f t="shared" si="34"/>
        <v>0</v>
      </c>
      <c r="BF234" s="325">
        <f t="shared" si="35"/>
        <v>0</v>
      </c>
      <c r="BG234" s="325">
        <f t="shared" si="36"/>
        <v>0</v>
      </c>
      <c r="BH234" s="325">
        <f t="shared" si="37"/>
        <v>0</v>
      </c>
      <c r="BI234" s="325">
        <f t="shared" si="38"/>
        <v>0</v>
      </c>
      <c r="BJ234" s="214" t="s">
        <v>81</v>
      </c>
      <c r="BK234" s="325">
        <f t="shared" si="39"/>
        <v>0</v>
      </c>
      <c r="BL234" s="214" t="s">
        <v>212</v>
      </c>
      <c r="BM234" s="324" t="s">
        <v>2354</v>
      </c>
    </row>
    <row r="235" spans="1:65" s="225" customFormat="1" ht="24.2" customHeight="1">
      <c r="A235" s="222"/>
      <c r="B235" s="223"/>
      <c r="C235" s="314" t="s">
        <v>553</v>
      </c>
      <c r="D235" s="314" t="s">
        <v>148</v>
      </c>
      <c r="E235" s="315" t="s">
        <v>2355</v>
      </c>
      <c r="F235" s="316" t="s">
        <v>2356</v>
      </c>
      <c r="G235" s="317" t="s">
        <v>301</v>
      </c>
      <c r="H235" s="318">
        <v>1</v>
      </c>
      <c r="I235" s="79"/>
      <c r="J235" s="319">
        <f t="shared" si="30"/>
        <v>0</v>
      </c>
      <c r="K235" s="316" t="s">
        <v>1</v>
      </c>
      <c r="L235" s="223"/>
      <c r="M235" s="320" t="s">
        <v>1</v>
      </c>
      <c r="N235" s="321" t="s">
        <v>42</v>
      </c>
      <c r="O235" s="322">
        <v>0</v>
      </c>
      <c r="P235" s="322">
        <f t="shared" si="31"/>
        <v>0</v>
      </c>
      <c r="Q235" s="322">
        <v>0</v>
      </c>
      <c r="R235" s="322">
        <f t="shared" si="32"/>
        <v>0</v>
      </c>
      <c r="S235" s="322">
        <v>0</v>
      </c>
      <c r="T235" s="323">
        <f t="shared" si="33"/>
        <v>0</v>
      </c>
      <c r="U235" s="222"/>
      <c r="V235" s="222"/>
      <c r="W235" s="222"/>
      <c r="X235" s="222"/>
      <c r="Y235" s="222"/>
      <c r="Z235" s="222"/>
      <c r="AA235" s="222"/>
      <c r="AB235" s="222"/>
      <c r="AC235" s="222"/>
      <c r="AD235" s="222"/>
      <c r="AE235" s="222"/>
      <c r="AR235" s="324" t="s">
        <v>212</v>
      </c>
      <c r="AT235" s="324" t="s">
        <v>148</v>
      </c>
      <c r="AU235" s="324" t="s">
        <v>83</v>
      </c>
      <c r="AY235" s="214" t="s">
        <v>146</v>
      </c>
      <c r="BE235" s="325">
        <f t="shared" si="34"/>
        <v>0</v>
      </c>
      <c r="BF235" s="325">
        <f t="shared" si="35"/>
        <v>0</v>
      </c>
      <c r="BG235" s="325">
        <f t="shared" si="36"/>
        <v>0</v>
      </c>
      <c r="BH235" s="325">
        <f t="shared" si="37"/>
        <v>0</v>
      </c>
      <c r="BI235" s="325">
        <f t="shared" si="38"/>
        <v>0</v>
      </c>
      <c r="BJ235" s="214" t="s">
        <v>81</v>
      </c>
      <c r="BK235" s="325">
        <f t="shared" si="39"/>
        <v>0</v>
      </c>
      <c r="BL235" s="214" t="s">
        <v>212</v>
      </c>
      <c r="BM235" s="324" t="s">
        <v>2357</v>
      </c>
    </row>
    <row r="236" spans="1:65" s="225" customFormat="1" ht="24.2" customHeight="1">
      <c r="A236" s="222"/>
      <c r="B236" s="223"/>
      <c r="C236" s="314" t="s">
        <v>554</v>
      </c>
      <c r="D236" s="314" t="s">
        <v>148</v>
      </c>
      <c r="E236" s="315" t="s">
        <v>2358</v>
      </c>
      <c r="F236" s="316" t="s">
        <v>2359</v>
      </c>
      <c r="G236" s="317" t="s">
        <v>301</v>
      </c>
      <c r="H236" s="318">
        <v>2</v>
      </c>
      <c r="I236" s="79"/>
      <c r="J236" s="319">
        <f t="shared" si="30"/>
        <v>0</v>
      </c>
      <c r="K236" s="316" t="s">
        <v>1</v>
      </c>
      <c r="L236" s="223"/>
      <c r="M236" s="320" t="s">
        <v>1</v>
      </c>
      <c r="N236" s="321" t="s">
        <v>42</v>
      </c>
      <c r="O236" s="322">
        <v>0</v>
      </c>
      <c r="P236" s="322">
        <f t="shared" si="31"/>
        <v>0</v>
      </c>
      <c r="Q236" s="322">
        <v>0</v>
      </c>
      <c r="R236" s="322">
        <f t="shared" si="32"/>
        <v>0</v>
      </c>
      <c r="S236" s="322">
        <v>0</v>
      </c>
      <c r="T236" s="323">
        <f t="shared" si="33"/>
        <v>0</v>
      </c>
      <c r="U236" s="222"/>
      <c r="V236" s="222"/>
      <c r="W236" s="222"/>
      <c r="X236" s="222"/>
      <c r="Y236" s="222"/>
      <c r="Z236" s="222"/>
      <c r="AA236" s="222"/>
      <c r="AB236" s="222"/>
      <c r="AC236" s="222"/>
      <c r="AD236" s="222"/>
      <c r="AE236" s="222"/>
      <c r="AR236" s="324" t="s">
        <v>212</v>
      </c>
      <c r="AT236" s="324" t="s">
        <v>148</v>
      </c>
      <c r="AU236" s="324" t="s">
        <v>83</v>
      </c>
      <c r="AY236" s="214" t="s">
        <v>146</v>
      </c>
      <c r="BE236" s="325">
        <f t="shared" si="34"/>
        <v>0</v>
      </c>
      <c r="BF236" s="325">
        <f t="shared" si="35"/>
        <v>0</v>
      </c>
      <c r="BG236" s="325">
        <f t="shared" si="36"/>
        <v>0</v>
      </c>
      <c r="BH236" s="325">
        <f t="shared" si="37"/>
        <v>0</v>
      </c>
      <c r="BI236" s="325">
        <f t="shared" si="38"/>
        <v>0</v>
      </c>
      <c r="BJ236" s="214" t="s">
        <v>81</v>
      </c>
      <c r="BK236" s="325">
        <f t="shared" si="39"/>
        <v>0</v>
      </c>
      <c r="BL236" s="214" t="s">
        <v>212</v>
      </c>
      <c r="BM236" s="324" t="s">
        <v>2360</v>
      </c>
    </row>
    <row r="237" spans="1:65" s="225" customFormat="1" ht="24.2" customHeight="1">
      <c r="A237" s="222"/>
      <c r="B237" s="223"/>
      <c r="C237" s="314" t="s">
        <v>559</v>
      </c>
      <c r="D237" s="314" t="s">
        <v>148</v>
      </c>
      <c r="E237" s="315" t="s">
        <v>2361</v>
      </c>
      <c r="F237" s="316" t="s">
        <v>2362</v>
      </c>
      <c r="G237" s="317" t="s">
        <v>301</v>
      </c>
      <c r="H237" s="318">
        <v>3</v>
      </c>
      <c r="I237" s="79"/>
      <c r="J237" s="319">
        <f t="shared" si="30"/>
        <v>0</v>
      </c>
      <c r="K237" s="316" t="s">
        <v>1</v>
      </c>
      <c r="L237" s="223"/>
      <c r="M237" s="320" t="s">
        <v>1</v>
      </c>
      <c r="N237" s="321" t="s">
        <v>42</v>
      </c>
      <c r="O237" s="322">
        <v>0</v>
      </c>
      <c r="P237" s="322">
        <f t="shared" si="31"/>
        <v>0</v>
      </c>
      <c r="Q237" s="322">
        <v>0</v>
      </c>
      <c r="R237" s="322">
        <f t="shared" si="32"/>
        <v>0</v>
      </c>
      <c r="S237" s="322">
        <v>0</v>
      </c>
      <c r="T237" s="323">
        <f t="shared" si="33"/>
        <v>0</v>
      </c>
      <c r="U237" s="222"/>
      <c r="V237" s="222"/>
      <c r="W237" s="222"/>
      <c r="X237" s="222"/>
      <c r="Y237" s="222"/>
      <c r="Z237" s="222"/>
      <c r="AA237" s="222"/>
      <c r="AB237" s="222"/>
      <c r="AC237" s="222"/>
      <c r="AD237" s="222"/>
      <c r="AE237" s="222"/>
      <c r="AR237" s="324" t="s">
        <v>212</v>
      </c>
      <c r="AT237" s="324" t="s">
        <v>148</v>
      </c>
      <c r="AU237" s="324" t="s">
        <v>83</v>
      </c>
      <c r="AY237" s="214" t="s">
        <v>146</v>
      </c>
      <c r="BE237" s="325">
        <f t="shared" si="34"/>
        <v>0</v>
      </c>
      <c r="BF237" s="325">
        <f t="shared" si="35"/>
        <v>0</v>
      </c>
      <c r="BG237" s="325">
        <f t="shared" si="36"/>
        <v>0</v>
      </c>
      <c r="BH237" s="325">
        <f t="shared" si="37"/>
        <v>0</v>
      </c>
      <c r="BI237" s="325">
        <f t="shared" si="38"/>
        <v>0</v>
      </c>
      <c r="BJ237" s="214" t="s">
        <v>81</v>
      </c>
      <c r="BK237" s="325">
        <f t="shared" si="39"/>
        <v>0</v>
      </c>
      <c r="BL237" s="214" t="s">
        <v>212</v>
      </c>
      <c r="BM237" s="324" t="s">
        <v>2363</v>
      </c>
    </row>
    <row r="238" spans="1:65" s="225" customFormat="1" ht="16.5" customHeight="1">
      <c r="A238" s="222"/>
      <c r="B238" s="223"/>
      <c r="C238" s="314" t="s">
        <v>561</v>
      </c>
      <c r="D238" s="314" t="s">
        <v>148</v>
      </c>
      <c r="E238" s="315" t="s">
        <v>2364</v>
      </c>
      <c r="F238" s="316" t="s">
        <v>2365</v>
      </c>
      <c r="G238" s="317" t="s">
        <v>301</v>
      </c>
      <c r="H238" s="318">
        <v>52</v>
      </c>
      <c r="I238" s="79"/>
      <c r="J238" s="319">
        <f t="shared" si="30"/>
        <v>0</v>
      </c>
      <c r="K238" s="316" t="s">
        <v>1</v>
      </c>
      <c r="L238" s="223"/>
      <c r="M238" s="320" t="s">
        <v>1</v>
      </c>
      <c r="N238" s="321" t="s">
        <v>42</v>
      </c>
      <c r="O238" s="322">
        <v>0</v>
      </c>
      <c r="P238" s="322">
        <f t="shared" si="31"/>
        <v>0</v>
      </c>
      <c r="Q238" s="322">
        <v>0</v>
      </c>
      <c r="R238" s="322">
        <f t="shared" si="32"/>
        <v>0</v>
      </c>
      <c r="S238" s="322">
        <v>0</v>
      </c>
      <c r="T238" s="323">
        <f t="shared" si="33"/>
        <v>0</v>
      </c>
      <c r="U238" s="222"/>
      <c r="V238" s="222"/>
      <c r="W238" s="222"/>
      <c r="X238" s="222"/>
      <c r="Y238" s="222"/>
      <c r="Z238" s="222"/>
      <c r="AA238" s="222"/>
      <c r="AB238" s="222"/>
      <c r="AC238" s="222"/>
      <c r="AD238" s="222"/>
      <c r="AE238" s="222"/>
      <c r="AR238" s="324" t="s">
        <v>212</v>
      </c>
      <c r="AT238" s="324" t="s">
        <v>148</v>
      </c>
      <c r="AU238" s="324" t="s">
        <v>83</v>
      </c>
      <c r="AY238" s="214" t="s">
        <v>146</v>
      </c>
      <c r="BE238" s="325">
        <f t="shared" si="34"/>
        <v>0</v>
      </c>
      <c r="BF238" s="325">
        <f t="shared" si="35"/>
        <v>0</v>
      </c>
      <c r="BG238" s="325">
        <f t="shared" si="36"/>
        <v>0</v>
      </c>
      <c r="BH238" s="325">
        <f t="shared" si="37"/>
        <v>0</v>
      </c>
      <c r="BI238" s="325">
        <f t="shared" si="38"/>
        <v>0</v>
      </c>
      <c r="BJ238" s="214" t="s">
        <v>81</v>
      </c>
      <c r="BK238" s="325">
        <f t="shared" si="39"/>
        <v>0</v>
      </c>
      <c r="BL238" s="214" t="s">
        <v>212</v>
      </c>
      <c r="BM238" s="324" t="s">
        <v>2366</v>
      </c>
    </row>
    <row r="239" spans="1:65" s="225" customFormat="1" ht="16.5" customHeight="1">
      <c r="A239" s="222"/>
      <c r="B239" s="223"/>
      <c r="C239" s="314" t="s">
        <v>565</v>
      </c>
      <c r="D239" s="314" t="s">
        <v>148</v>
      </c>
      <c r="E239" s="315" t="s">
        <v>2367</v>
      </c>
      <c r="F239" s="316" t="s">
        <v>2368</v>
      </c>
      <c r="G239" s="317" t="s">
        <v>151</v>
      </c>
      <c r="H239" s="318">
        <v>644.45</v>
      </c>
      <c r="I239" s="79"/>
      <c r="J239" s="319">
        <f t="shared" si="30"/>
        <v>0</v>
      </c>
      <c r="K239" s="316" t="s">
        <v>1</v>
      </c>
      <c r="L239" s="223"/>
      <c r="M239" s="320" t="s">
        <v>1</v>
      </c>
      <c r="N239" s="321" t="s">
        <v>42</v>
      </c>
      <c r="O239" s="322">
        <v>0</v>
      </c>
      <c r="P239" s="322">
        <f t="shared" si="31"/>
        <v>0</v>
      </c>
      <c r="Q239" s="322">
        <v>0</v>
      </c>
      <c r="R239" s="322">
        <f t="shared" si="32"/>
        <v>0</v>
      </c>
      <c r="S239" s="322">
        <v>0</v>
      </c>
      <c r="T239" s="323">
        <f t="shared" si="33"/>
        <v>0</v>
      </c>
      <c r="U239" s="222"/>
      <c r="V239" s="222"/>
      <c r="W239" s="222"/>
      <c r="X239" s="222"/>
      <c r="Y239" s="222"/>
      <c r="Z239" s="222"/>
      <c r="AA239" s="222"/>
      <c r="AB239" s="222"/>
      <c r="AC239" s="222"/>
      <c r="AD239" s="222"/>
      <c r="AE239" s="222"/>
      <c r="AR239" s="324" t="s">
        <v>212</v>
      </c>
      <c r="AT239" s="324" t="s">
        <v>148</v>
      </c>
      <c r="AU239" s="324" t="s">
        <v>83</v>
      </c>
      <c r="AY239" s="214" t="s">
        <v>146</v>
      </c>
      <c r="BE239" s="325">
        <f t="shared" si="34"/>
        <v>0</v>
      </c>
      <c r="BF239" s="325">
        <f t="shared" si="35"/>
        <v>0</v>
      </c>
      <c r="BG239" s="325">
        <f t="shared" si="36"/>
        <v>0</v>
      </c>
      <c r="BH239" s="325">
        <f t="shared" si="37"/>
        <v>0</v>
      </c>
      <c r="BI239" s="325">
        <f t="shared" si="38"/>
        <v>0</v>
      </c>
      <c r="BJ239" s="214" t="s">
        <v>81</v>
      </c>
      <c r="BK239" s="325">
        <f t="shared" si="39"/>
        <v>0</v>
      </c>
      <c r="BL239" s="214" t="s">
        <v>212</v>
      </c>
      <c r="BM239" s="324" t="s">
        <v>2369</v>
      </c>
    </row>
    <row r="240" spans="2:51" s="335" customFormat="1" ht="12">
      <c r="B240" s="336"/>
      <c r="D240" s="328" t="s">
        <v>155</v>
      </c>
      <c r="E240" s="337" t="s">
        <v>1</v>
      </c>
      <c r="F240" s="338" t="s">
        <v>2370</v>
      </c>
      <c r="H240" s="339">
        <v>644.45</v>
      </c>
      <c r="I240" s="498"/>
      <c r="L240" s="336"/>
      <c r="M240" s="341"/>
      <c r="N240" s="342"/>
      <c r="O240" s="342"/>
      <c r="P240" s="342"/>
      <c r="Q240" s="342"/>
      <c r="R240" s="342"/>
      <c r="S240" s="342"/>
      <c r="T240" s="343"/>
      <c r="AT240" s="337" t="s">
        <v>155</v>
      </c>
      <c r="AU240" s="337" t="s">
        <v>83</v>
      </c>
      <c r="AV240" s="335" t="s">
        <v>83</v>
      </c>
      <c r="AW240" s="335" t="s">
        <v>34</v>
      </c>
      <c r="AX240" s="335" t="s">
        <v>76</v>
      </c>
      <c r="AY240" s="337" t="s">
        <v>146</v>
      </c>
    </row>
    <row r="241" spans="2:51" s="347" customFormat="1" ht="12">
      <c r="B241" s="348"/>
      <c r="D241" s="328" t="s">
        <v>155</v>
      </c>
      <c r="E241" s="349" t="s">
        <v>1</v>
      </c>
      <c r="F241" s="356" t="s">
        <v>157</v>
      </c>
      <c r="H241" s="351">
        <v>644.45</v>
      </c>
      <c r="I241" s="499"/>
      <c r="L241" s="348"/>
      <c r="M241" s="353"/>
      <c r="N241" s="354"/>
      <c r="O241" s="354"/>
      <c r="P241" s="354"/>
      <c r="Q241" s="354"/>
      <c r="R241" s="354"/>
      <c r="S241" s="354"/>
      <c r="T241" s="355"/>
      <c r="AT241" s="349" t="s">
        <v>155</v>
      </c>
      <c r="AU241" s="349" t="s">
        <v>83</v>
      </c>
      <c r="AV241" s="347" t="s">
        <v>153</v>
      </c>
      <c r="AW241" s="347" t="s">
        <v>34</v>
      </c>
      <c r="AX241" s="347" t="s">
        <v>81</v>
      </c>
      <c r="AY241" s="349" t="s">
        <v>146</v>
      </c>
    </row>
    <row r="242" spans="1:65" s="225" customFormat="1" ht="24.2" customHeight="1">
      <c r="A242" s="222"/>
      <c r="B242" s="223"/>
      <c r="C242" s="314" t="s">
        <v>567</v>
      </c>
      <c r="D242" s="314" t="s">
        <v>148</v>
      </c>
      <c r="E242" s="315" t="s">
        <v>2371</v>
      </c>
      <c r="F242" s="316" t="s">
        <v>2372</v>
      </c>
      <c r="G242" s="317" t="s">
        <v>301</v>
      </c>
      <c r="H242" s="318">
        <v>70</v>
      </c>
      <c r="I242" s="79"/>
      <c r="J242" s="319">
        <f>ROUND(I242*H242,2)</f>
        <v>0</v>
      </c>
      <c r="K242" s="316" t="s">
        <v>1</v>
      </c>
      <c r="L242" s="223"/>
      <c r="M242" s="320" t="s">
        <v>1</v>
      </c>
      <c r="N242" s="321" t="s">
        <v>42</v>
      </c>
      <c r="O242" s="322">
        <v>0</v>
      </c>
      <c r="P242" s="322">
        <f>O242*H242</f>
        <v>0</v>
      </c>
      <c r="Q242" s="322">
        <v>0</v>
      </c>
      <c r="R242" s="322">
        <f>Q242*H242</f>
        <v>0</v>
      </c>
      <c r="S242" s="322">
        <v>0</v>
      </c>
      <c r="T242" s="323">
        <f>S242*H242</f>
        <v>0</v>
      </c>
      <c r="U242" s="222"/>
      <c r="V242" s="222"/>
      <c r="W242" s="222"/>
      <c r="X242" s="222"/>
      <c r="Y242" s="222"/>
      <c r="Z242" s="222"/>
      <c r="AA242" s="222"/>
      <c r="AB242" s="222"/>
      <c r="AC242" s="222"/>
      <c r="AD242" s="222"/>
      <c r="AE242" s="222"/>
      <c r="AR242" s="324" t="s">
        <v>212</v>
      </c>
      <c r="AT242" s="324" t="s">
        <v>148</v>
      </c>
      <c r="AU242" s="324" t="s">
        <v>83</v>
      </c>
      <c r="AY242" s="214" t="s">
        <v>146</v>
      </c>
      <c r="BE242" s="325">
        <f>IF(N242="základní",J242,0)</f>
        <v>0</v>
      </c>
      <c r="BF242" s="325">
        <f>IF(N242="snížená",J242,0)</f>
        <v>0</v>
      </c>
      <c r="BG242" s="325">
        <f>IF(N242="zákl. přenesená",J242,0)</f>
        <v>0</v>
      </c>
      <c r="BH242" s="325">
        <f>IF(N242="sníž. přenesená",J242,0)</f>
        <v>0</v>
      </c>
      <c r="BI242" s="325">
        <f>IF(N242="nulová",J242,0)</f>
        <v>0</v>
      </c>
      <c r="BJ242" s="214" t="s">
        <v>81</v>
      </c>
      <c r="BK242" s="325">
        <f>ROUND(I242*H242,2)</f>
        <v>0</v>
      </c>
      <c r="BL242" s="214" t="s">
        <v>212</v>
      </c>
      <c r="BM242" s="324" t="s">
        <v>2373</v>
      </c>
    </row>
    <row r="243" spans="1:65" s="225" customFormat="1" ht="24.2" customHeight="1">
      <c r="A243" s="222"/>
      <c r="B243" s="223"/>
      <c r="C243" s="314" t="s">
        <v>572</v>
      </c>
      <c r="D243" s="314" t="s">
        <v>148</v>
      </c>
      <c r="E243" s="315" t="s">
        <v>2374</v>
      </c>
      <c r="F243" s="316" t="s">
        <v>3837</v>
      </c>
      <c r="G243" s="317" t="s">
        <v>194</v>
      </c>
      <c r="H243" s="318">
        <v>1.418</v>
      </c>
      <c r="I243" s="79"/>
      <c r="J243" s="319">
        <f>ROUND(I243*H243,2)</f>
        <v>0</v>
      </c>
      <c r="K243" s="316" t="s">
        <v>1</v>
      </c>
      <c r="L243" s="223"/>
      <c r="M243" s="320" t="s">
        <v>1</v>
      </c>
      <c r="N243" s="321" t="s">
        <v>42</v>
      </c>
      <c r="O243" s="322">
        <v>0</v>
      </c>
      <c r="P243" s="322">
        <f>O243*H243</f>
        <v>0</v>
      </c>
      <c r="Q243" s="322">
        <v>0</v>
      </c>
      <c r="R243" s="322">
        <f>Q243*H243</f>
        <v>0</v>
      </c>
      <c r="S243" s="322">
        <v>0</v>
      </c>
      <c r="T243" s="323">
        <f>S243*H243</f>
        <v>0</v>
      </c>
      <c r="U243" s="222"/>
      <c r="V243" s="222"/>
      <c r="W243" s="222"/>
      <c r="X243" s="222"/>
      <c r="Y243" s="222"/>
      <c r="Z243" s="222"/>
      <c r="AA243" s="222"/>
      <c r="AB243" s="222"/>
      <c r="AC243" s="222"/>
      <c r="AD243" s="222"/>
      <c r="AE243" s="222"/>
      <c r="AR243" s="324" t="s">
        <v>212</v>
      </c>
      <c r="AT243" s="324" t="s">
        <v>148</v>
      </c>
      <c r="AU243" s="324" t="s">
        <v>83</v>
      </c>
      <c r="AY243" s="214" t="s">
        <v>146</v>
      </c>
      <c r="BE243" s="325">
        <f>IF(N243="základní",J243,0)</f>
        <v>0</v>
      </c>
      <c r="BF243" s="325">
        <f>IF(N243="snížená",J243,0)</f>
        <v>0</v>
      </c>
      <c r="BG243" s="325">
        <f>IF(N243="zákl. přenesená",J243,0)</f>
        <v>0</v>
      </c>
      <c r="BH243" s="325">
        <f>IF(N243="sníž. přenesená",J243,0)</f>
        <v>0</v>
      </c>
      <c r="BI243" s="325">
        <f>IF(N243="nulová",J243,0)</f>
        <v>0</v>
      </c>
      <c r="BJ243" s="214" t="s">
        <v>81</v>
      </c>
      <c r="BK243" s="325">
        <f>ROUND(I243*H243,2)</f>
        <v>0</v>
      </c>
      <c r="BL243" s="214" t="s">
        <v>212</v>
      </c>
      <c r="BM243" s="324" t="s">
        <v>2375</v>
      </c>
    </row>
    <row r="244" spans="2:63" s="297" customFormat="1" ht="25.9" customHeight="1">
      <c r="B244" s="298"/>
      <c r="D244" s="299" t="s">
        <v>75</v>
      </c>
      <c r="E244" s="300" t="s">
        <v>2376</v>
      </c>
      <c r="F244" s="300" t="s">
        <v>2377</v>
      </c>
      <c r="I244" s="501"/>
      <c r="J244" s="301">
        <f>SUM(J245:J249)</f>
        <v>0</v>
      </c>
      <c r="L244" s="298"/>
      <c r="M244" s="303"/>
      <c r="N244" s="304"/>
      <c r="O244" s="304"/>
      <c r="P244" s="305">
        <f>SUM(P245:P249)</f>
        <v>0</v>
      </c>
      <c r="Q244" s="304"/>
      <c r="R244" s="305">
        <f>SUM(R245:R249)</f>
        <v>0</v>
      </c>
      <c r="S244" s="304"/>
      <c r="T244" s="313">
        <f>SUM(T245:T249)</f>
        <v>0</v>
      </c>
      <c r="AR244" s="299" t="s">
        <v>153</v>
      </c>
      <c r="AT244" s="308" t="s">
        <v>75</v>
      </c>
      <c r="AU244" s="308" t="s">
        <v>76</v>
      </c>
      <c r="AY244" s="299" t="s">
        <v>146</v>
      </c>
      <c r="BK244" s="309">
        <f>SUM(BK245:BK249)</f>
        <v>0</v>
      </c>
    </row>
    <row r="245" spans="1:65" s="225" customFormat="1" ht="16.5" customHeight="1">
      <c r="A245" s="222"/>
      <c r="B245" s="223"/>
      <c r="C245" s="314" t="s">
        <v>581</v>
      </c>
      <c r="D245" s="314" t="s">
        <v>148</v>
      </c>
      <c r="E245" s="315" t="s">
        <v>2378</v>
      </c>
      <c r="F245" s="316" t="s">
        <v>2379</v>
      </c>
      <c r="G245" s="317" t="s">
        <v>1548</v>
      </c>
      <c r="H245" s="318">
        <v>70</v>
      </c>
      <c r="I245" s="79"/>
      <c r="J245" s="319">
        <f>ROUND(I245*H245,2)</f>
        <v>0</v>
      </c>
      <c r="K245" s="316" t="s">
        <v>1</v>
      </c>
      <c r="L245" s="223"/>
      <c r="M245" s="320" t="s">
        <v>1</v>
      </c>
      <c r="N245" s="321" t="s">
        <v>42</v>
      </c>
      <c r="O245" s="322">
        <v>0</v>
      </c>
      <c r="P245" s="322">
        <f>O245*H245</f>
        <v>0</v>
      </c>
      <c r="Q245" s="322">
        <v>0</v>
      </c>
      <c r="R245" s="322">
        <f>Q245*H245</f>
        <v>0</v>
      </c>
      <c r="S245" s="322">
        <v>0</v>
      </c>
      <c r="T245" s="323">
        <f>S245*H245</f>
        <v>0</v>
      </c>
      <c r="U245" s="222"/>
      <c r="V245" s="222"/>
      <c r="W245" s="222"/>
      <c r="X245" s="222"/>
      <c r="Y245" s="222"/>
      <c r="Z245" s="222"/>
      <c r="AA245" s="222"/>
      <c r="AB245" s="222"/>
      <c r="AC245" s="222"/>
      <c r="AD245" s="222"/>
      <c r="AE245" s="222"/>
      <c r="AR245" s="324" t="s">
        <v>2380</v>
      </c>
      <c r="AT245" s="324" t="s">
        <v>148</v>
      </c>
      <c r="AU245" s="324" t="s">
        <v>81</v>
      </c>
      <c r="AY245" s="214" t="s">
        <v>146</v>
      </c>
      <c r="BE245" s="325">
        <f>IF(N245="základní",J245,0)</f>
        <v>0</v>
      </c>
      <c r="BF245" s="325">
        <f>IF(N245="snížená",J245,0)</f>
        <v>0</v>
      </c>
      <c r="BG245" s="325">
        <f>IF(N245="zákl. přenesená",J245,0)</f>
        <v>0</v>
      </c>
      <c r="BH245" s="325">
        <f>IF(N245="sníž. přenesená",J245,0)</f>
        <v>0</v>
      </c>
      <c r="BI245" s="325">
        <f>IF(N245="nulová",J245,0)</f>
        <v>0</v>
      </c>
      <c r="BJ245" s="214" t="s">
        <v>81</v>
      </c>
      <c r="BK245" s="325">
        <f>ROUND(I245*H245,2)</f>
        <v>0</v>
      </c>
      <c r="BL245" s="214" t="s">
        <v>2380</v>
      </c>
      <c r="BM245" s="324" t="s">
        <v>2381</v>
      </c>
    </row>
    <row r="246" spans="1:65" s="225" customFormat="1" ht="24.2" customHeight="1">
      <c r="A246" s="222"/>
      <c r="B246" s="223"/>
      <c r="C246" s="314" t="s">
        <v>586</v>
      </c>
      <c r="D246" s="314" t="s">
        <v>148</v>
      </c>
      <c r="E246" s="315" t="s">
        <v>2382</v>
      </c>
      <c r="F246" s="316" t="s">
        <v>2383</v>
      </c>
      <c r="G246" s="317" t="s">
        <v>1548</v>
      </c>
      <c r="H246" s="318">
        <v>30</v>
      </c>
      <c r="I246" s="79"/>
      <c r="J246" s="319">
        <f>ROUND(I246*H246,2)</f>
        <v>0</v>
      </c>
      <c r="K246" s="316" t="s">
        <v>1</v>
      </c>
      <c r="L246" s="223"/>
      <c r="M246" s="320" t="s">
        <v>1</v>
      </c>
      <c r="N246" s="321" t="s">
        <v>42</v>
      </c>
      <c r="O246" s="322">
        <v>0</v>
      </c>
      <c r="P246" s="322">
        <f>O246*H246</f>
        <v>0</v>
      </c>
      <c r="Q246" s="322">
        <v>0</v>
      </c>
      <c r="R246" s="322">
        <f>Q246*H246</f>
        <v>0</v>
      </c>
      <c r="S246" s="322">
        <v>0</v>
      </c>
      <c r="T246" s="323">
        <f>S246*H246</f>
        <v>0</v>
      </c>
      <c r="U246" s="222"/>
      <c r="V246" s="222"/>
      <c r="W246" s="222"/>
      <c r="X246" s="222"/>
      <c r="Y246" s="222"/>
      <c r="Z246" s="222"/>
      <c r="AA246" s="222"/>
      <c r="AB246" s="222"/>
      <c r="AC246" s="222"/>
      <c r="AD246" s="222"/>
      <c r="AE246" s="222"/>
      <c r="AR246" s="324" t="s">
        <v>2380</v>
      </c>
      <c r="AT246" s="324" t="s">
        <v>148</v>
      </c>
      <c r="AU246" s="324" t="s">
        <v>81</v>
      </c>
      <c r="AY246" s="214" t="s">
        <v>146</v>
      </c>
      <c r="BE246" s="325">
        <f>IF(N246="základní",J246,0)</f>
        <v>0</v>
      </c>
      <c r="BF246" s="325">
        <f>IF(N246="snížená",J246,0)</f>
        <v>0</v>
      </c>
      <c r="BG246" s="325">
        <f>IF(N246="zákl. přenesená",J246,0)</f>
        <v>0</v>
      </c>
      <c r="BH246" s="325">
        <f>IF(N246="sníž. přenesená",J246,0)</f>
        <v>0</v>
      </c>
      <c r="BI246" s="325">
        <f>IF(N246="nulová",J246,0)</f>
        <v>0</v>
      </c>
      <c r="BJ246" s="214" t="s">
        <v>81</v>
      </c>
      <c r="BK246" s="325">
        <f>ROUND(I246*H246,2)</f>
        <v>0</v>
      </c>
      <c r="BL246" s="214" t="s">
        <v>2380</v>
      </c>
      <c r="BM246" s="324" t="s">
        <v>2384</v>
      </c>
    </row>
    <row r="247" spans="1:65" s="225" customFormat="1" ht="16.5" customHeight="1">
      <c r="A247" s="222"/>
      <c r="B247" s="223"/>
      <c r="C247" s="314" t="s">
        <v>590</v>
      </c>
      <c r="D247" s="314" t="s">
        <v>148</v>
      </c>
      <c r="E247" s="315" t="s">
        <v>2385</v>
      </c>
      <c r="F247" s="316" t="s">
        <v>2386</v>
      </c>
      <c r="G247" s="317" t="s">
        <v>1361</v>
      </c>
      <c r="H247" s="318">
        <v>1</v>
      </c>
      <c r="I247" s="79"/>
      <c r="J247" s="319">
        <f>ROUND(I247*H247,2)</f>
        <v>0</v>
      </c>
      <c r="K247" s="316" t="s">
        <v>1</v>
      </c>
      <c r="L247" s="223"/>
      <c r="M247" s="320" t="s">
        <v>1</v>
      </c>
      <c r="N247" s="321" t="s">
        <v>42</v>
      </c>
      <c r="O247" s="322">
        <v>0</v>
      </c>
      <c r="P247" s="322">
        <f>O247*H247</f>
        <v>0</v>
      </c>
      <c r="Q247" s="322">
        <v>0</v>
      </c>
      <c r="R247" s="322">
        <f>Q247*H247</f>
        <v>0</v>
      </c>
      <c r="S247" s="322">
        <v>0</v>
      </c>
      <c r="T247" s="323">
        <f>S247*H247</f>
        <v>0</v>
      </c>
      <c r="U247" s="222"/>
      <c r="V247" s="222"/>
      <c r="W247" s="222"/>
      <c r="X247" s="222"/>
      <c r="Y247" s="222"/>
      <c r="Z247" s="222"/>
      <c r="AA247" s="222"/>
      <c r="AB247" s="222"/>
      <c r="AC247" s="222"/>
      <c r="AD247" s="222"/>
      <c r="AE247" s="222"/>
      <c r="AR247" s="324" t="s">
        <v>2380</v>
      </c>
      <c r="AT247" s="324" t="s">
        <v>148</v>
      </c>
      <c r="AU247" s="324" t="s">
        <v>81</v>
      </c>
      <c r="AY247" s="214" t="s">
        <v>146</v>
      </c>
      <c r="BE247" s="325">
        <f>IF(N247="základní",J247,0)</f>
        <v>0</v>
      </c>
      <c r="BF247" s="325">
        <f>IF(N247="snížená",J247,0)</f>
        <v>0</v>
      </c>
      <c r="BG247" s="325">
        <f>IF(N247="zákl. přenesená",J247,0)</f>
        <v>0</v>
      </c>
      <c r="BH247" s="325">
        <f>IF(N247="sníž. přenesená",J247,0)</f>
        <v>0</v>
      </c>
      <c r="BI247" s="325">
        <f>IF(N247="nulová",J247,0)</f>
        <v>0</v>
      </c>
      <c r="BJ247" s="214" t="s">
        <v>81</v>
      </c>
      <c r="BK247" s="325">
        <f>ROUND(I247*H247,2)</f>
        <v>0</v>
      </c>
      <c r="BL247" s="214" t="s">
        <v>2380</v>
      </c>
      <c r="BM247" s="324" t="s">
        <v>2387</v>
      </c>
    </row>
    <row r="248" spans="1:65" s="225" customFormat="1" ht="16.5" customHeight="1">
      <c r="A248" s="222"/>
      <c r="B248" s="223"/>
      <c r="C248" s="314" t="s">
        <v>595</v>
      </c>
      <c r="D248" s="314" t="s">
        <v>148</v>
      </c>
      <c r="E248" s="315" t="s">
        <v>2388</v>
      </c>
      <c r="F248" s="316" t="s">
        <v>2389</v>
      </c>
      <c r="G248" s="317" t="s">
        <v>1361</v>
      </c>
      <c r="H248" s="318">
        <v>1</v>
      </c>
      <c r="I248" s="79"/>
      <c r="J248" s="319">
        <f>ROUND(I248*H248,2)</f>
        <v>0</v>
      </c>
      <c r="K248" s="316" t="s">
        <v>1</v>
      </c>
      <c r="L248" s="223"/>
      <c r="M248" s="320" t="s">
        <v>1</v>
      </c>
      <c r="N248" s="321" t="s">
        <v>42</v>
      </c>
      <c r="O248" s="322">
        <v>0</v>
      </c>
      <c r="P248" s="322">
        <f>O248*H248</f>
        <v>0</v>
      </c>
      <c r="Q248" s="322">
        <v>0</v>
      </c>
      <c r="R248" s="322">
        <f>Q248*H248</f>
        <v>0</v>
      </c>
      <c r="S248" s="322">
        <v>0</v>
      </c>
      <c r="T248" s="323">
        <f>S248*H248</f>
        <v>0</v>
      </c>
      <c r="U248" s="222"/>
      <c r="V248" s="222"/>
      <c r="W248" s="222"/>
      <c r="X248" s="222"/>
      <c r="Y248" s="222"/>
      <c r="Z248" s="222"/>
      <c r="AA248" s="222"/>
      <c r="AB248" s="222"/>
      <c r="AC248" s="222"/>
      <c r="AD248" s="222"/>
      <c r="AE248" s="222"/>
      <c r="AR248" s="324" t="s">
        <v>2380</v>
      </c>
      <c r="AT248" s="324" t="s">
        <v>148</v>
      </c>
      <c r="AU248" s="324" t="s">
        <v>81</v>
      </c>
      <c r="AY248" s="214" t="s">
        <v>146</v>
      </c>
      <c r="BE248" s="325">
        <f>IF(N248="základní",J248,0)</f>
        <v>0</v>
      </c>
      <c r="BF248" s="325">
        <f>IF(N248="snížená",J248,0)</f>
        <v>0</v>
      </c>
      <c r="BG248" s="325">
        <f>IF(N248="zákl. přenesená",J248,0)</f>
        <v>0</v>
      </c>
      <c r="BH248" s="325">
        <f>IF(N248="sníž. přenesená",J248,0)</f>
        <v>0</v>
      </c>
      <c r="BI248" s="325">
        <f>IF(N248="nulová",J248,0)</f>
        <v>0</v>
      </c>
      <c r="BJ248" s="214" t="s">
        <v>81</v>
      </c>
      <c r="BK248" s="325">
        <f>ROUND(I248*H248,2)</f>
        <v>0</v>
      </c>
      <c r="BL248" s="214" t="s">
        <v>2380</v>
      </c>
      <c r="BM248" s="324" t="s">
        <v>2390</v>
      </c>
    </row>
    <row r="249" spans="1:65" s="225" customFormat="1" ht="16.5" customHeight="1">
      <c r="A249" s="222"/>
      <c r="B249" s="223"/>
      <c r="C249" s="314" t="s">
        <v>599</v>
      </c>
      <c r="D249" s="314" t="s">
        <v>148</v>
      </c>
      <c r="E249" s="315" t="s">
        <v>2391</v>
      </c>
      <c r="F249" s="316" t="s">
        <v>2392</v>
      </c>
      <c r="G249" s="317" t="s">
        <v>1361</v>
      </c>
      <c r="H249" s="318">
        <v>1</v>
      </c>
      <c r="I249" s="79"/>
      <c r="J249" s="319">
        <f>ROUND(I249*H249,2)</f>
        <v>0</v>
      </c>
      <c r="K249" s="316" t="s">
        <v>1</v>
      </c>
      <c r="L249" s="223"/>
      <c r="M249" s="661" t="s">
        <v>1</v>
      </c>
      <c r="N249" s="662" t="s">
        <v>42</v>
      </c>
      <c r="O249" s="663">
        <v>0</v>
      </c>
      <c r="P249" s="663">
        <f>O249*H249</f>
        <v>0</v>
      </c>
      <c r="Q249" s="663">
        <v>0</v>
      </c>
      <c r="R249" s="663">
        <f>Q249*H249</f>
        <v>0</v>
      </c>
      <c r="S249" s="663">
        <v>0</v>
      </c>
      <c r="T249" s="664">
        <f>S249*H249</f>
        <v>0</v>
      </c>
      <c r="U249" s="222"/>
      <c r="V249" s="222"/>
      <c r="W249" s="222"/>
      <c r="X249" s="222"/>
      <c r="Y249" s="222"/>
      <c r="Z249" s="222"/>
      <c r="AA249" s="222"/>
      <c r="AB249" s="222"/>
      <c r="AC249" s="222"/>
      <c r="AD249" s="222"/>
      <c r="AE249" s="222"/>
      <c r="AR249" s="324" t="s">
        <v>2380</v>
      </c>
      <c r="AT249" s="324" t="s">
        <v>148</v>
      </c>
      <c r="AU249" s="324" t="s">
        <v>81</v>
      </c>
      <c r="AY249" s="214" t="s">
        <v>146</v>
      </c>
      <c r="BE249" s="325">
        <f>IF(N249="základní",J249,0)</f>
        <v>0</v>
      </c>
      <c r="BF249" s="325">
        <f>IF(N249="snížená",J249,0)</f>
        <v>0</v>
      </c>
      <c r="BG249" s="325">
        <f>IF(N249="zákl. přenesená",J249,0)</f>
        <v>0</v>
      </c>
      <c r="BH249" s="325">
        <f>IF(N249="sníž. přenesená",J249,0)</f>
        <v>0</v>
      </c>
      <c r="BI249" s="325">
        <f>IF(N249="nulová",J249,0)</f>
        <v>0</v>
      </c>
      <c r="BJ249" s="214" t="s">
        <v>81</v>
      </c>
      <c r="BK249" s="325">
        <f>ROUND(I249*H249,2)</f>
        <v>0</v>
      </c>
      <c r="BL249" s="214" t="s">
        <v>2380</v>
      </c>
      <c r="BM249" s="324" t="s">
        <v>2393</v>
      </c>
    </row>
    <row r="250" spans="1:31" s="225" customFormat="1" ht="6.95" customHeight="1">
      <c r="A250" s="222"/>
      <c r="B250" s="253"/>
      <c r="C250" s="254"/>
      <c r="D250" s="254"/>
      <c r="E250" s="254"/>
      <c r="F250" s="254"/>
      <c r="G250" s="254"/>
      <c r="H250" s="254"/>
      <c r="I250" s="254"/>
      <c r="J250" s="254"/>
      <c r="K250" s="254"/>
      <c r="L250" s="223"/>
      <c r="M250" s="222"/>
      <c r="O250" s="222"/>
      <c r="P250" s="222"/>
      <c r="Q250" s="222"/>
      <c r="R250" s="222"/>
      <c r="S250" s="222"/>
      <c r="T250" s="222"/>
      <c r="U250" s="222"/>
      <c r="V250" s="222"/>
      <c r="W250" s="222"/>
      <c r="X250" s="222"/>
      <c r="Y250" s="222"/>
      <c r="Z250" s="222"/>
      <c r="AA250" s="222"/>
      <c r="AB250" s="222"/>
      <c r="AC250" s="222"/>
      <c r="AD250" s="222"/>
      <c r="AE250" s="222"/>
    </row>
  </sheetData>
  <sheetProtection password="CABD" sheet="1" objects="1" scenarios="1"/>
  <autoFilter ref="C126:K249"/>
  <mergeCells count="12">
    <mergeCell ref="E119:H119"/>
    <mergeCell ref="L2:V2"/>
    <mergeCell ref="E85:H85"/>
    <mergeCell ref="E87:H87"/>
    <mergeCell ref="E89:H89"/>
    <mergeCell ref="E115:H115"/>
    <mergeCell ref="E117:H117"/>
    <mergeCell ref="E7:H7"/>
    <mergeCell ref="E9:H9"/>
    <mergeCell ref="E11:H11"/>
    <mergeCell ref="E20:H20"/>
    <mergeCell ref="E29:H29"/>
  </mergeCells>
  <printOptions/>
  <pageMargins left="0.5905511811023623" right="0.3937007874015748" top="0.3937007874015748" bottom="0.3937007874015748" header="0" footer="0"/>
  <pageSetup blackAndWhite="1" fitToHeight="100" fitToWidth="1" horizontalDpi="600" verticalDpi="600" orientation="portrait" paperSize="9" scale="85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 Havlas</dc:creator>
  <cp:keywords/>
  <dc:description/>
  <cp:lastModifiedBy>Miroslav Havlas</cp:lastModifiedBy>
  <cp:lastPrinted>2023-12-01T17:44:15Z</cp:lastPrinted>
  <dcterms:created xsi:type="dcterms:W3CDTF">2022-03-15T13:41:05Z</dcterms:created>
  <dcterms:modified xsi:type="dcterms:W3CDTF">2024-01-16T06:16:31Z</dcterms:modified>
  <cp:category/>
  <cp:version/>
  <cp:contentType/>
  <cp:contentStatus/>
</cp:coreProperties>
</file>